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C:\Users\afox\Desktop\Princeton Ct\2025 4% App\"/>
    </mc:Choice>
  </mc:AlternateContent>
  <xr:revisionPtr revIDLastSave="0" documentId="13_ncr:1_{BB289A76-6986-47B8-90DA-26FB300C85E7}" xr6:coauthVersionLast="47" xr6:coauthVersionMax="47" xr10:uidLastSave="{00000000-0000-0000-0000-000000000000}"/>
  <workbookProtection workbookAlgorithmName="SHA-512" workbookHashValue="1vEj1vc6QAjpriAzSKndci6fCykYorCzGILm/J4RHm8qgQWAv7wVIjjQcekCxdqeNt8QDeaLG9PB8Y+jn82Wqg==" workbookSaltValue="nWq9/8rVGykGIiAzTxxsDQ==" workbookSpinCount="100000" lockStructure="1"/>
  <bookViews>
    <workbookView xWindow="-110" yWindow="-110" windowWidth="19420" windowHeight="10300" tabRatio="939" firstSheet="8"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112" l="1"/>
  <c r="I55" i="106"/>
  <c r="K27" i="111" l="1"/>
  <c r="J27" i="111"/>
  <c r="B59" i="111"/>
  <c r="J32" i="111"/>
  <c r="F27" i="111"/>
  <c r="G27" i="111"/>
  <c r="H27" i="111"/>
  <c r="I27" i="111"/>
  <c r="I32" i="111"/>
  <c r="B32" i="111"/>
  <c r="L36" i="106"/>
  <c r="L34" i="106"/>
  <c r="L32" i="106"/>
  <c r="G13" i="107"/>
  <c r="G80" i="107"/>
  <c r="S135" i="107" l="1"/>
  <c r="P80" i="107" l="1"/>
  <c r="S64" i="107"/>
  <c r="G31" i="107"/>
  <c r="S108" i="107"/>
  <c r="S132" i="107"/>
  <c r="P84" i="107" l="1"/>
  <c r="G97" i="107" l="1"/>
  <c r="F243" i="110" l="1"/>
  <c r="L268" i="110"/>
  <c r="L259" i="110" l="1"/>
  <c r="F253" i="110"/>
  <c r="F265" i="110" l="1"/>
  <c r="F262" i="110"/>
  <c r="L251" i="110"/>
  <c r="F252" i="110"/>
  <c r="F244" i="110"/>
  <c r="H35" i="110"/>
  <c r="H34" i="110"/>
  <c r="H33" i="110"/>
  <c r="H32" i="110"/>
  <c r="H31" i="110"/>
  <c r="H30" i="110"/>
  <c r="H28" i="110"/>
  <c r="H27" i="110"/>
  <c r="H26" i="110"/>
  <c r="H25" i="110"/>
  <c r="H23" i="110"/>
  <c r="H22" i="110"/>
  <c r="H21" i="110"/>
  <c r="H20" i="110"/>
  <c r="H19" i="110"/>
  <c r="H18" i="110"/>
  <c r="P71" i="107" l="1"/>
  <c r="P68" i="107" l="1"/>
  <c r="P70" i="107" l="1"/>
  <c r="L250" i="110" l="1"/>
  <c r="G33" i="110"/>
  <c r="G32" i="110"/>
  <c r="G31" i="110"/>
  <c r="G30" i="110"/>
  <c r="G26" i="110"/>
  <c r="G25" i="110"/>
  <c r="G23" i="110"/>
  <c r="G22" i="110"/>
  <c r="G21" i="110"/>
  <c r="G20" i="110"/>
  <c r="G19" i="110"/>
  <c r="G18" i="110"/>
  <c r="P134" i="107" l="1"/>
  <c r="S133" i="107"/>
  <c r="S131" i="107"/>
  <c r="S130" i="107"/>
  <c r="S129" i="107"/>
  <c r="S118" i="107" l="1"/>
  <c r="S116" i="107"/>
  <c r="S111" i="107"/>
  <c r="G111" i="107"/>
  <c r="S107" i="107"/>
  <c r="G107" i="107"/>
  <c r="S106" i="107"/>
  <c r="S97" i="107"/>
  <c r="S98" i="107"/>
  <c r="P88" i="107"/>
  <c r="S83" i="107"/>
  <c r="P82" i="107"/>
  <c r="G83" i="107" l="1"/>
  <c r="G77" i="107"/>
  <c r="G15" i="107"/>
  <c r="P15" i="107"/>
  <c r="P85" i="107"/>
  <c r="P79" i="107"/>
  <c r="G79" i="107"/>
  <c r="G78" i="107"/>
  <c r="P78" i="107" s="1"/>
  <c r="P76" i="107"/>
  <c r="P75" i="107"/>
  <c r="P77" i="107" l="1"/>
  <c r="S69" i="107" l="1"/>
  <c r="P69" i="107" s="1"/>
  <c r="P66" i="107"/>
  <c r="P65" i="107"/>
  <c r="P63" i="107"/>
  <c r="P55" i="107"/>
  <c r="P39" i="107"/>
  <c r="P40" i="107"/>
  <c r="P38" i="107"/>
  <c r="P31" i="107" l="1"/>
  <c r="P26" i="107"/>
  <c r="M23" i="107"/>
  <c r="S20" i="107"/>
  <c r="P13" i="107"/>
  <c r="P11" i="107"/>
  <c r="P10" i="107"/>
  <c r="P9" i="107"/>
  <c r="L213" i="112" l="1"/>
  <c r="P1121" i="123"/>
  <c r="O50" i="123"/>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62" i="123"/>
  <c r="E862" i="123"/>
  <c r="D862" i="123"/>
  <c r="C862" i="123"/>
  <c r="B862" i="123"/>
  <c r="K832" i="123"/>
  <c r="J832" i="123"/>
  <c r="I832" i="123"/>
  <c r="H832" i="123"/>
  <c r="G832" i="123"/>
  <c r="F832" i="123"/>
  <c r="E832" i="123"/>
  <c r="D832" i="123"/>
  <c r="C832" i="123"/>
  <c r="B832" i="123"/>
  <c r="K802" i="123"/>
  <c r="J802" i="123"/>
  <c r="I802" i="123"/>
  <c r="H802" i="123"/>
  <c r="G802" i="123"/>
  <c r="K800" i="123"/>
  <c r="J800" i="123"/>
  <c r="I800" i="123"/>
  <c r="H800" i="123"/>
  <c r="G800" i="123"/>
  <c r="F800" i="123"/>
  <c r="E800" i="123"/>
  <c r="D800" i="123"/>
  <c r="C800" i="123"/>
  <c r="B800"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L719" i="123"/>
  <c r="F719" i="123"/>
  <c r="F718" i="123"/>
  <c r="H718" i="123" s="1"/>
  <c r="F717" i="123"/>
  <c r="F716" i="123"/>
  <c r="F715" i="123"/>
  <c r="H715" i="123" s="1"/>
  <c r="F714" i="123"/>
  <c r="F710" i="123"/>
  <c r="F709" i="123"/>
  <c r="F708" i="123"/>
  <c r="F707" i="123"/>
  <c r="F706" i="123"/>
  <c r="F705" i="123"/>
  <c r="H705" i="123" s="1"/>
  <c r="L715" i="123"/>
  <c r="L714" i="123"/>
  <c r="L713" i="123"/>
  <c r="L712" i="123"/>
  <c r="N712" i="123" s="1"/>
  <c r="L711" i="123"/>
  <c r="L710" i="123"/>
  <c r="F697" i="123"/>
  <c r="H697" i="123" s="1"/>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HM467" i="123" s="1"/>
  <c r="O467" i="123"/>
  <c r="P467" i="123"/>
  <c r="Q467" i="123"/>
  <c r="N468" i="123"/>
  <c r="O468" i="123"/>
  <c r="P468" i="123"/>
  <c r="Q468" i="123"/>
  <c r="N469" i="123"/>
  <c r="O469" i="123"/>
  <c r="P469" i="123"/>
  <c r="Q469" i="123"/>
  <c r="N470" i="123"/>
  <c r="O470" i="123"/>
  <c r="P470" i="123"/>
  <c r="Q470" i="123"/>
  <c r="N471" i="123"/>
  <c r="O471" i="123"/>
  <c r="P471" i="123"/>
  <c r="Q471" i="123"/>
  <c r="N472" i="123"/>
  <c r="O472" i="123"/>
  <c r="P472" i="123"/>
  <c r="Q472" i="123"/>
  <c r="N473" i="123"/>
  <c r="II473" i="123" s="1"/>
  <c r="O473" i="123"/>
  <c r="P473" i="123"/>
  <c r="Q473" i="123"/>
  <c r="N474" i="123"/>
  <c r="O474" i="123"/>
  <c r="P474" i="123"/>
  <c r="Q474" i="123"/>
  <c r="N475" i="123"/>
  <c r="O475" i="123"/>
  <c r="P475" i="123"/>
  <c r="Q475" i="123"/>
  <c r="N476" i="123"/>
  <c r="O476" i="123"/>
  <c r="P476" i="123"/>
  <c r="Q476" i="123"/>
  <c r="N477" i="123"/>
  <c r="O477" i="123"/>
  <c r="P477" i="123"/>
  <c r="Q477" i="123"/>
  <c r="N478" i="123"/>
  <c r="O478" i="123"/>
  <c r="P478" i="123"/>
  <c r="Q478" i="123"/>
  <c r="N479" i="123"/>
  <c r="O479" i="123"/>
  <c r="P479" i="123"/>
  <c r="Q479" i="123"/>
  <c r="N480" i="123"/>
  <c r="O480" i="123"/>
  <c r="P480" i="123"/>
  <c r="Q480" i="123"/>
  <c r="N481" i="123"/>
  <c r="O481" i="123"/>
  <c r="P481" i="123"/>
  <c r="Q481" i="123"/>
  <c r="N482" i="123"/>
  <c r="O482" i="123"/>
  <c r="P482" i="123"/>
  <c r="Q482" i="123"/>
  <c r="N483" i="123"/>
  <c r="O483" i="123"/>
  <c r="P483" i="123"/>
  <c r="Q483" i="123"/>
  <c r="N484" i="123"/>
  <c r="O484" i="123"/>
  <c r="P484" i="123"/>
  <c r="Q484" i="123"/>
  <c r="N485" i="123"/>
  <c r="IK485" i="123" s="1"/>
  <c r="O485" i="123"/>
  <c r="P485" i="123"/>
  <c r="Q485" i="123"/>
  <c r="N486" i="123"/>
  <c r="O486" i="123"/>
  <c r="P486" i="123"/>
  <c r="Q486" i="123"/>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LO464" i="123" s="1"/>
  <c r="P464" i="123"/>
  <c r="O464" i="123"/>
  <c r="N464" i="123"/>
  <c r="B465" i="123"/>
  <c r="C465" i="123"/>
  <c r="D465" i="123"/>
  <c r="E465" i="123"/>
  <c r="F465" i="123"/>
  <c r="G465" i="123"/>
  <c r="H465" i="123"/>
  <c r="I465" i="123"/>
  <c r="J465" i="123"/>
  <c r="K465" i="123"/>
  <c r="B466" i="123"/>
  <c r="MV466" i="123" s="1"/>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H471" i="123"/>
  <c r="I471" i="123"/>
  <c r="K471" i="123"/>
  <c r="B472" i="123"/>
  <c r="C472" i="123"/>
  <c r="D472" i="123"/>
  <c r="E472" i="123"/>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EC476" i="123" s="1"/>
  <c r="C476" i="123"/>
  <c r="D476" i="123"/>
  <c r="E476" i="123"/>
  <c r="F476" i="123"/>
  <c r="G476" i="123"/>
  <c r="H476" i="123"/>
  <c r="I476" i="123"/>
  <c r="K476" i="123"/>
  <c r="B477" i="123"/>
  <c r="C477" i="123"/>
  <c r="D477" i="123"/>
  <c r="E477" i="123"/>
  <c r="F477" i="123"/>
  <c r="G477" i="123"/>
  <c r="H477" i="123"/>
  <c r="I477" i="123"/>
  <c r="K477" i="123"/>
  <c r="FA477" i="123" s="1"/>
  <c r="B478" i="123"/>
  <c r="C478" i="123"/>
  <c r="D478" i="123"/>
  <c r="E478" i="123"/>
  <c r="F478" i="123"/>
  <c r="G478" i="123"/>
  <c r="H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D485" i="123"/>
  <c r="E485" i="123"/>
  <c r="F485" i="123"/>
  <c r="G485" i="123"/>
  <c r="H485" i="123"/>
  <c r="I485" i="123"/>
  <c r="K485" i="123"/>
  <c r="B486" i="123"/>
  <c r="C486" i="123"/>
  <c r="ME486" i="123" s="1"/>
  <c r="D486" i="123"/>
  <c r="E486" i="123"/>
  <c r="F486" i="123"/>
  <c r="G486" i="123"/>
  <c r="H486" i="123"/>
  <c r="I486" i="123"/>
  <c r="K486" i="123"/>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F486" i="123"/>
  <c r="KV486" i="123"/>
  <c r="JK486" i="123"/>
  <c r="FN486" i="123"/>
  <c r="MP485" i="123"/>
  <c r="LX485" i="123"/>
  <c r="JM485" i="123"/>
  <c r="JI485" i="123"/>
  <c r="IM485" i="123"/>
  <c r="HE485" i="123"/>
  <c r="GH485" i="123"/>
  <c r="FP485" i="123"/>
  <c r="BD485" i="123"/>
  <c r="AM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O476" i="123"/>
  <c r="ML476" i="123"/>
  <c r="MB476" i="123"/>
  <c r="KK476" i="123"/>
  <c r="KC476" i="123"/>
  <c r="JI476"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OC474" i="123"/>
  <c r="OB474" i="123"/>
  <c r="OA474" i="123"/>
  <c r="NZ474" i="123"/>
  <c r="NY474" i="123"/>
  <c r="NW474" i="123"/>
  <c r="NV474" i="123"/>
  <c r="NU474" i="123"/>
  <c r="NT474" i="123"/>
  <c r="NS474" i="123"/>
  <c r="NR474" i="123"/>
  <c r="NQ474" i="123"/>
  <c r="NP474" i="123"/>
  <c r="NO474" i="123"/>
  <c r="NN474" i="123"/>
  <c r="NM474" i="123"/>
  <c r="NL474" i="123"/>
  <c r="NK474" i="123"/>
  <c r="NI474" i="123"/>
  <c r="NH474" i="123"/>
  <c r="NG474" i="123"/>
  <c r="NF474" i="123"/>
  <c r="NE474" i="123"/>
  <c r="ND474" i="123"/>
  <c r="NC474" i="123"/>
  <c r="NB474" i="123"/>
  <c r="NA474" i="123"/>
  <c r="MZ474"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H474" i="123"/>
  <c r="JG474" i="123"/>
  <c r="JF474" i="123"/>
  <c r="JE474" i="123"/>
  <c r="JD474" i="123"/>
  <c r="JC474" i="123"/>
  <c r="JA474" i="123"/>
  <c r="IZ474" i="123"/>
  <c r="IY474" i="123"/>
  <c r="IX474" i="123"/>
  <c r="IW474" i="123"/>
  <c r="IV474" i="123"/>
  <c r="IU474" i="123"/>
  <c r="IT474" i="123"/>
  <c r="IS474" i="123"/>
  <c r="IR474" i="123"/>
  <c r="IQ474" i="123"/>
  <c r="IP474" i="123"/>
  <c r="IO474" i="123"/>
  <c r="IM474" i="123"/>
  <c r="IL474" i="123"/>
  <c r="IK474" i="123"/>
  <c r="IJ474" i="123"/>
  <c r="II474" i="123"/>
  <c r="IH474" i="123"/>
  <c r="IG474" i="123"/>
  <c r="IF474" i="123"/>
  <c r="IE474" i="123"/>
  <c r="ID474" i="123"/>
  <c r="IC474" i="123"/>
  <c r="IB474" i="123"/>
  <c r="IA474" i="123"/>
  <c r="HY474" i="123"/>
  <c r="HX474" i="123"/>
  <c r="HW474" i="123"/>
  <c r="HV474" i="123"/>
  <c r="HU474" i="123"/>
  <c r="HT474" i="123"/>
  <c r="HS474" i="123"/>
  <c r="HR474" i="123"/>
  <c r="HQ474" i="123"/>
  <c r="HP474" i="123"/>
  <c r="HO474" i="123"/>
  <c r="HN474" i="123"/>
  <c r="HM474" i="123"/>
  <c r="HK474" i="123"/>
  <c r="HJ474" i="123"/>
  <c r="HI474" i="123"/>
  <c r="HH474" i="123"/>
  <c r="HG474" i="123"/>
  <c r="HF474" i="123"/>
  <c r="HE474" i="123"/>
  <c r="HD474" i="123"/>
  <c r="HC474" i="123"/>
  <c r="HB474" i="123"/>
  <c r="HA474" i="123"/>
  <c r="GZ474" i="123"/>
  <c r="GY474" i="123"/>
  <c r="GW474" i="123"/>
  <c r="GV474" i="123"/>
  <c r="GU474" i="123"/>
  <c r="GT474" i="123"/>
  <c r="GS474" i="123"/>
  <c r="GR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L474" i="123"/>
  <c r="FK474" i="123"/>
  <c r="FJ474" i="123"/>
  <c r="FI474" i="123"/>
  <c r="FG474" i="123"/>
  <c r="FF474" i="123"/>
  <c r="FE474" i="123"/>
  <c r="FD474" i="123"/>
  <c r="FC474" i="123"/>
  <c r="FB474" i="123"/>
  <c r="FA474" i="123"/>
  <c r="EZ474" i="123"/>
  <c r="EY474" i="123"/>
  <c r="EX474" i="123"/>
  <c r="EW474" i="123"/>
  <c r="EV474" i="123"/>
  <c r="EU474" i="123"/>
  <c r="ES474" i="123"/>
  <c r="ER474" i="123"/>
  <c r="EQ474" i="123"/>
  <c r="EP474" i="123"/>
  <c r="EO474" i="123"/>
  <c r="EN474" i="123"/>
  <c r="EM474" i="123"/>
  <c r="EL474" i="123"/>
  <c r="EK474" i="123"/>
  <c r="EJ474" i="123"/>
  <c r="EI474" i="123"/>
  <c r="EH474" i="123"/>
  <c r="EG474" i="123"/>
  <c r="EE474" i="123"/>
  <c r="ED474" i="123"/>
  <c r="EC474" i="123"/>
  <c r="EB474" i="123"/>
  <c r="EA474" i="123"/>
  <c r="DZ474" i="123"/>
  <c r="DY474" i="123"/>
  <c r="DX474" i="123"/>
  <c r="DW474" i="123"/>
  <c r="DV474" i="123"/>
  <c r="DU474" i="123"/>
  <c r="DT474" i="123"/>
  <c r="DS474" i="123"/>
  <c r="DQ474" i="123"/>
  <c r="DP474" i="123"/>
  <c r="DO474" i="123"/>
  <c r="DN474" i="123"/>
  <c r="DM474" i="123"/>
  <c r="DL474" i="123"/>
  <c r="DK474" i="123"/>
  <c r="DJ474" i="123"/>
  <c r="DI474" i="123"/>
  <c r="DH474" i="123"/>
  <c r="DG474" i="123"/>
  <c r="DF474" i="123"/>
  <c r="DE474" i="123"/>
  <c r="DC474" i="123"/>
  <c r="DB474" i="123"/>
  <c r="DA474" i="123"/>
  <c r="CZ474" i="123"/>
  <c r="CY474" i="123"/>
  <c r="CX474" i="123"/>
  <c r="CW474" i="123"/>
  <c r="CV474" i="123"/>
  <c r="CU474" i="123"/>
  <c r="CT474" i="123"/>
  <c r="CS474" i="123"/>
  <c r="CR474" i="123"/>
  <c r="CQ474" i="123"/>
  <c r="CO474" i="123"/>
  <c r="CN474" i="123"/>
  <c r="CM474" i="123"/>
  <c r="CL474" i="123"/>
  <c r="CK474" i="123"/>
  <c r="CJ474" i="123"/>
  <c r="CI474" i="123"/>
  <c r="CH474" i="123"/>
  <c r="CG474" i="123"/>
  <c r="CF474" i="123"/>
  <c r="CE474" i="123"/>
  <c r="CD474" i="123"/>
  <c r="CC474" i="123"/>
  <c r="CA474" i="123"/>
  <c r="BZ474" i="123"/>
  <c r="BY474" i="123"/>
  <c r="BX474" i="123"/>
  <c r="BW474" i="123"/>
  <c r="BV474" i="123"/>
  <c r="BU474" i="123"/>
  <c r="BT474" i="123"/>
  <c r="BS474" i="123"/>
  <c r="BR474" i="123"/>
  <c r="BQ474" i="123"/>
  <c r="BP474" i="123"/>
  <c r="BO474" i="123"/>
  <c r="BM474" i="123"/>
  <c r="BL474" i="123"/>
  <c r="BK474" i="123"/>
  <c r="BJ474" i="123"/>
  <c r="BI474" i="123"/>
  <c r="BH474" i="123"/>
  <c r="BG474" i="123"/>
  <c r="BF474" i="123"/>
  <c r="BE474" i="123"/>
  <c r="BD474" i="123"/>
  <c r="BC474" i="123"/>
  <c r="BB474" i="123"/>
  <c r="BA474" i="123"/>
  <c r="AY474" i="123"/>
  <c r="AX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OA473" i="123"/>
  <c r="NZ473" i="123"/>
  <c r="NY473" i="123"/>
  <c r="NX473" i="123"/>
  <c r="NO473" i="123"/>
  <c r="ML473" i="123"/>
  <c r="MK473" i="123"/>
  <c r="MH473" i="123"/>
  <c r="MG473" i="123"/>
  <c r="ME473" i="123"/>
  <c r="MD473" i="123"/>
  <c r="MA473" i="123"/>
  <c r="LL473" i="123"/>
  <c r="LH473" i="123"/>
  <c r="LF473" i="123"/>
  <c r="LC473" i="123"/>
  <c r="LB473" i="123"/>
  <c r="KY473" i="123"/>
  <c r="KR473" i="123"/>
  <c r="KQ473" i="123"/>
  <c r="KL473" i="123"/>
  <c r="KD473" i="123"/>
  <c r="JY473" i="123"/>
  <c r="JU473" i="123"/>
  <c r="JO473" i="123"/>
  <c r="JM473" i="123"/>
  <c r="JL473" i="123"/>
  <c r="JJ473" i="123"/>
  <c r="JI473" i="123"/>
  <c r="OC472" i="123"/>
  <c r="OB472" i="123"/>
  <c r="OA472" i="123"/>
  <c r="NZ472" i="123"/>
  <c r="NY472" i="123"/>
  <c r="NX472" i="123"/>
  <c r="NW472" i="123"/>
  <c r="NV472" i="123"/>
  <c r="NU472" i="123"/>
  <c r="NT472" i="123"/>
  <c r="NS472" i="123"/>
  <c r="NR472" i="123"/>
  <c r="NQ472" i="123"/>
  <c r="NO472" i="123"/>
  <c r="NL472" i="123"/>
  <c r="NI472" i="123"/>
  <c r="NG472" i="123"/>
  <c r="NF472" i="123"/>
  <c r="ND472" i="123"/>
  <c r="MZ472" i="123"/>
  <c r="MV472" i="123"/>
  <c r="MS472" i="123"/>
  <c r="MO472" i="123"/>
  <c r="MN472" i="123"/>
  <c r="MM472" i="123"/>
  <c r="ML472" i="123"/>
  <c r="MJ472" i="123"/>
  <c r="MI472" i="123"/>
  <c r="MH472" i="123"/>
  <c r="MG472" i="123"/>
  <c r="MF472" i="123"/>
  <c r="ME472" i="123"/>
  <c r="MD472" i="123"/>
  <c r="MC472" i="123"/>
  <c r="MB472" i="123"/>
  <c r="MA472" i="123"/>
  <c r="LZ472" i="123"/>
  <c r="LY472" i="123"/>
  <c r="LX472" i="123"/>
  <c r="LV472" i="123"/>
  <c r="LU472" i="123"/>
  <c r="LT472" i="123"/>
  <c r="LS472" i="123"/>
  <c r="LR472" i="123"/>
  <c r="LQ472" i="123"/>
  <c r="LP472" i="123"/>
  <c r="LO472" i="123"/>
  <c r="LN472" i="123"/>
  <c r="LM472" i="123"/>
  <c r="LL472" i="123"/>
  <c r="LK472" i="123"/>
  <c r="LJ472" i="123"/>
  <c r="LH472" i="123"/>
  <c r="LG472" i="123"/>
  <c r="LF472" i="123"/>
  <c r="LE472" i="123"/>
  <c r="LD472" i="123"/>
  <c r="LC472" i="123"/>
  <c r="LB472" i="123"/>
  <c r="LA472" i="123"/>
  <c r="KZ472" i="123"/>
  <c r="KY472" i="123"/>
  <c r="KX472" i="123"/>
  <c r="KW472" i="123"/>
  <c r="KV472" i="123"/>
  <c r="KT472" i="123"/>
  <c r="KS472" i="123"/>
  <c r="KR472" i="123"/>
  <c r="KQ472" i="123"/>
  <c r="KP472" i="123"/>
  <c r="KO472" i="123"/>
  <c r="KN472" i="123"/>
  <c r="KM472" i="123"/>
  <c r="KL472" i="123"/>
  <c r="KK472" i="123"/>
  <c r="KJ472" i="123"/>
  <c r="KI472" i="123"/>
  <c r="KH472" i="123"/>
  <c r="KF472" i="123"/>
  <c r="KE472" i="123"/>
  <c r="KD472" i="123"/>
  <c r="KC472" i="123"/>
  <c r="KB472" i="123"/>
  <c r="KA472" i="123"/>
  <c r="JZ472" i="123"/>
  <c r="JY472" i="123"/>
  <c r="JX472" i="123"/>
  <c r="JW472" i="123"/>
  <c r="JV472" i="123"/>
  <c r="JU472" i="123"/>
  <c r="JT472" i="123"/>
  <c r="JR472" i="123"/>
  <c r="JQ472" i="123"/>
  <c r="JP472" i="123"/>
  <c r="JO472" i="123"/>
  <c r="JN472" i="123"/>
  <c r="JM472" i="123"/>
  <c r="JL472" i="123"/>
  <c r="JK472" i="123"/>
  <c r="JJ472" i="123"/>
  <c r="JI472" i="123"/>
  <c r="JB472" i="123"/>
  <c r="JA472" i="123"/>
  <c r="IQ472" i="123"/>
  <c r="IP472" i="123"/>
  <c r="IM472" i="123"/>
  <c r="IL472" i="123"/>
  <c r="IK472" i="123"/>
  <c r="IJ472" i="123"/>
  <c r="ID472" i="123"/>
  <c r="HP472" i="123"/>
  <c r="HO472" i="123"/>
  <c r="HN472" i="123"/>
  <c r="HM472" i="123"/>
  <c r="HL472" i="123"/>
  <c r="HK472" i="123"/>
  <c r="HJ472" i="123"/>
  <c r="HI472" i="123"/>
  <c r="HH472" i="123"/>
  <c r="HG472" i="123"/>
  <c r="HF472" i="123"/>
  <c r="GW472" i="123"/>
  <c r="GV472" i="123"/>
  <c r="GT472" i="123"/>
  <c r="GR472" i="123"/>
  <c r="GL472" i="123"/>
  <c r="GH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I472" i="123"/>
  <c r="AH472" i="123"/>
  <c r="Z472" i="123"/>
  <c r="NX471" i="123"/>
  <c r="NW471" i="123"/>
  <c r="NV471" i="123"/>
  <c r="NU471" i="123"/>
  <c r="NT471"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KC471" i="123"/>
  <c r="JM471" i="123"/>
  <c r="JL471" i="123"/>
  <c r="JK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OC466" i="123"/>
  <c r="NZ466" i="123"/>
  <c r="NV466" i="123"/>
  <c r="NU466" i="123"/>
  <c r="NS466" i="123"/>
  <c r="NR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EB466" i="123"/>
  <c r="L466" i="123"/>
  <c r="M466" i="123" s="1"/>
  <c r="OC465" i="123"/>
  <c r="OB465" i="123"/>
  <c r="OA465" i="123"/>
  <c r="NZ465" i="123"/>
  <c r="NY465" i="123"/>
  <c r="NX465" i="123"/>
  <c r="NW465" i="123"/>
  <c r="NV465" i="123"/>
  <c r="NU465" i="123"/>
  <c r="NT465" i="123"/>
  <c r="NS465" i="123"/>
  <c r="NR465" i="123"/>
  <c r="NQ465" i="123"/>
  <c r="NP465" i="123"/>
  <c r="NO465" i="123"/>
  <c r="NL465" i="123"/>
  <c r="MU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IT465" i="123"/>
  <c r="ID465" i="123"/>
  <c r="HN465" i="123"/>
  <c r="HF465" i="123"/>
  <c r="GS465" i="123"/>
  <c r="GC465" i="123"/>
  <c r="FO465" i="123"/>
  <c r="FC465" i="123"/>
  <c r="EM465" i="123"/>
  <c r="DW465" i="123"/>
  <c r="DG465" i="123"/>
  <c r="CP465" i="123"/>
  <c r="CE465" i="123"/>
  <c r="BN465" i="123"/>
  <c r="AX465" i="123"/>
  <c r="AG465" i="123"/>
  <c r="L465" i="123"/>
  <c r="M465" i="123" s="1"/>
  <c r="NN464" i="123"/>
  <c r="NM464" i="123"/>
  <c r="NG464" i="123"/>
  <c r="MZ464" i="123"/>
  <c r="MY464" i="123"/>
  <c r="MX464" i="123"/>
  <c r="MW464" i="123"/>
  <c r="MU464" i="123"/>
  <c r="MT464" i="123"/>
  <c r="MS464" i="123"/>
  <c r="MQ464" i="123"/>
  <c r="MP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3" i="110"/>
  <c r="J476" i="123" s="1"/>
  <c r="L476" i="123" s="1"/>
  <c r="M476" i="123" s="1"/>
  <c r="J24" i="110"/>
  <c r="J477" i="123" s="1"/>
  <c r="J25" i="110"/>
  <c r="J478" i="123" s="1"/>
  <c r="L478" i="123" s="1"/>
  <c r="M478" i="123" s="1"/>
  <c r="J26" i="110"/>
  <c r="J479" i="123" s="1"/>
  <c r="L479" i="123" s="1"/>
  <c r="M479" i="123" s="1"/>
  <c r="J27" i="110"/>
  <c r="J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19" i="110"/>
  <c r="J472" i="123" s="1"/>
  <c r="J20" i="110"/>
  <c r="J473" i="123" s="1"/>
  <c r="J21" i="110"/>
  <c r="J474" i="123" s="1"/>
  <c r="J22" i="110"/>
  <c r="J475" i="123" s="1"/>
  <c r="L475" i="123" s="1"/>
  <c r="M475" i="123" s="1"/>
  <c r="J18" i="110"/>
  <c r="J471"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P142" i="123" s="1"/>
  <c r="M140" i="123"/>
  <c r="M142" i="123" s="1"/>
  <c r="J140" i="123"/>
  <c r="G140" i="123"/>
  <c r="F140"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L1572"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A807" i="123"/>
  <c r="A838" i="123" s="1"/>
  <c r="A868" i="123" s="1"/>
  <c r="A799" i="123"/>
  <c r="A831" i="123" s="1"/>
  <c r="A861" i="123" s="1"/>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C752" i="123"/>
  <c r="N750" i="123"/>
  <c r="C747" i="123"/>
  <c r="K746" i="123"/>
  <c r="B746" i="123"/>
  <c r="G745" i="123"/>
  <c r="B745" i="123"/>
  <c r="K744" i="123"/>
  <c r="B744" i="123"/>
  <c r="N742" i="123"/>
  <c r="C742" i="123"/>
  <c r="A740" i="123"/>
  <c r="N740" i="123" s="1"/>
  <c r="Q728" i="123"/>
  <c r="N720" i="123"/>
  <c r="H720" i="123"/>
  <c r="O719" i="123"/>
  <c r="N719" i="123"/>
  <c r="H719" i="123"/>
  <c r="H717" i="123"/>
  <c r="H716" i="123"/>
  <c r="N715" i="123"/>
  <c r="N714" i="123"/>
  <c r="H714" i="123"/>
  <c r="N713" i="123"/>
  <c r="N711" i="123"/>
  <c r="N710" i="123"/>
  <c r="H710" i="123"/>
  <c r="H709" i="123"/>
  <c r="H708" i="123"/>
  <c r="H707" i="123"/>
  <c r="H706" i="123"/>
  <c r="N705" i="123"/>
  <c r="N704" i="123"/>
  <c r="N703" i="123"/>
  <c r="H700" i="123"/>
  <c r="H699" i="123"/>
  <c r="L698" i="123"/>
  <c r="N698" i="123" s="1"/>
  <c r="H698" i="123"/>
  <c r="N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W139" i="123"/>
  <c r="O139" i="123"/>
  <c r="V138" i="123"/>
  <c r="F134" i="123"/>
  <c r="W133" i="123"/>
  <c r="O133" i="123"/>
  <c r="V132" i="123"/>
  <c r="W122" i="123"/>
  <c r="O122" i="123"/>
  <c r="V120" i="123"/>
  <c r="D120" i="123"/>
  <c r="A116" i="123"/>
  <c r="W116" i="123" s="1"/>
  <c r="L48" i="123"/>
  <c r="I62" i="106"/>
  <c r="P47" i="106"/>
  <c r="P91" i="123" s="1"/>
  <c r="P45" i="106"/>
  <c r="P44" i="106"/>
  <c r="P43" i="106"/>
  <c r="P87" i="123" s="1"/>
  <c r="P42" i="106"/>
  <c r="P86" i="123" s="1"/>
  <c r="L35" i="106"/>
  <c r="L4" i="106"/>
  <c r="O6" i="123"/>
  <c r="A5" i="123"/>
  <c r="A3" i="113"/>
  <c r="O9" i="123"/>
  <c r="F132" i="107"/>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NB467" i="123" l="1"/>
  <c r="ED467" i="123"/>
  <c r="NI467" i="123"/>
  <c r="L480" i="123"/>
  <c r="L487" i="123"/>
  <c r="FJ467" i="123"/>
  <c r="DV467" i="123"/>
  <c r="GH467" i="123"/>
  <c r="BZ467" i="123"/>
  <c r="EL467" i="123"/>
  <c r="GX467" i="123"/>
  <c r="BR467" i="123"/>
  <c r="CH467" i="123"/>
  <c r="ET467" i="123"/>
  <c r="HF467" i="123"/>
  <c r="BJ467" i="123"/>
  <c r="IT467" i="123"/>
  <c r="AD467" i="123"/>
  <c r="CP467" i="123"/>
  <c r="FB467" i="123"/>
  <c r="HN467" i="123"/>
  <c r="AT467" i="123"/>
  <c r="DF467" i="123"/>
  <c r="FR467" i="123"/>
  <c r="ID467" i="123"/>
  <c r="AL467" i="123"/>
  <c r="CX467" i="123"/>
  <c r="HV467" i="123"/>
  <c r="BB467" i="123"/>
  <c r="DN467" i="123"/>
  <c r="FZ467" i="123"/>
  <c r="IL467" i="123"/>
  <c r="MT467" i="123"/>
  <c r="GP467" i="123"/>
  <c r="JB467" i="123"/>
  <c r="NJ467" i="123"/>
  <c r="BY466" i="123"/>
  <c r="JG466" i="123"/>
  <c r="MW466" i="123"/>
  <c r="FL464" i="123"/>
  <c r="DW466" i="123"/>
  <c r="EP466" i="123"/>
  <c r="GI466" i="123"/>
  <c r="GK466" i="123"/>
  <c r="BF466" i="123"/>
  <c r="HB466" i="123"/>
  <c r="BI466" i="123"/>
  <c r="IZ466" i="123"/>
  <c r="AE467" i="123"/>
  <c r="AM467" i="123"/>
  <c r="AU467" i="123"/>
  <c r="BC467" i="123"/>
  <c r="BK467" i="123"/>
  <c r="BS467" i="123"/>
  <c r="CA467" i="123"/>
  <c r="CI467" i="123"/>
  <c r="CQ467" i="123"/>
  <c r="CY467" i="123"/>
  <c r="DG467" i="123"/>
  <c r="DO467" i="123"/>
  <c r="DW467" i="123"/>
  <c r="EE467" i="123"/>
  <c r="EM467" i="123"/>
  <c r="EU467" i="123"/>
  <c r="FC467" i="123"/>
  <c r="FK467" i="123"/>
  <c r="FS467" i="123"/>
  <c r="GA467" i="123"/>
  <c r="GI467" i="123"/>
  <c r="GQ467" i="123"/>
  <c r="GY467" i="123"/>
  <c r="HG467" i="123"/>
  <c r="HO467" i="123"/>
  <c r="HW467" i="123"/>
  <c r="IE467" i="123"/>
  <c r="IM467" i="123"/>
  <c r="IU467" i="123"/>
  <c r="JC467" i="123"/>
  <c r="MU467" i="123"/>
  <c r="NC467" i="123"/>
  <c r="NK467" i="123"/>
  <c r="X467" i="123"/>
  <c r="AF467" i="123"/>
  <c r="AN467" i="123"/>
  <c r="AV467" i="123"/>
  <c r="BD467" i="123"/>
  <c r="BL467" i="123"/>
  <c r="BT467" i="123"/>
  <c r="CB467" i="123"/>
  <c r="CJ467" i="123"/>
  <c r="CR467" i="123"/>
  <c r="CZ467" i="123"/>
  <c r="DH467" i="123"/>
  <c r="DP467" i="123"/>
  <c r="DX467" i="123"/>
  <c r="EF467" i="123"/>
  <c r="EN467" i="123"/>
  <c r="EV467" i="123"/>
  <c r="FD467" i="123"/>
  <c r="FL467" i="123"/>
  <c r="FT467" i="123"/>
  <c r="GB467" i="123"/>
  <c r="GJ467" i="123"/>
  <c r="GR467" i="123"/>
  <c r="GZ467" i="123"/>
  <c r="HH467" i="123"/>
  <c r="HP467" i="123"/>
  <c r="HX467" i="123"/>
  <c r="IF467" i="123"/>
  <c r="IN467" i="123"/>
  <c r="IV467" i="123"/>
  <c r="JD467" i="123"/>
  <c r="MV467" i="123"/>
  <c r="ND467" i="123"/>
  <c r="NL467" i="123"/>
  <c r="Y467" i="123"/>
  <c r="AG467" i="123"/>
  <c r="AO467" i="123"/>
  <c r="AW467" i="123"/>
  <c r="BE467" i="123"/>
  <c r="BM467" i="123"/>
  <c r="BU467" i="123"/>
  <c r="CC467" i="123"/>
  <c r="CK467" i="123"/>
  <c r="CS467" i="123"/>
  <c r="DA467" i="123"/>
  <c r="DI467" i="123"/>
  <c r="DQ467" i="123"/>
  <c r="DY467" i="123"/>
  <c r="EG467" i="123"/>
  <c r="EO467" i="123"/>
  <c r="EW467" i="123"/>
  <c r="FE467" i="123"/>
  <c r="FM467" i="123"/>
  <c r="FU467" i="123"/>
  <c r="GC467" i="123"/>
  <c r="GK467" i="123"/>
  <c r="GS467" i="123"/>
  <c r="HA467" i="123"/>
  <c r="HI467" i="123"/>
  <c r="HQ467" i="123"/>
  <c r="HY467" i="123"/>
  <c r="IG467" i="123"/>
  <c r="IO467" i="123"/>
  <c r="IW467" i="123"/>
  <c r="JE467" i="123"/>
  <c r="MW467" i="123"/>
  <c r="NE467" i="123"/>
  <c r="NM467" i="123"/>
  <c r="Z467" i="123"/>
  <c r="AH467" i="123"/>
  <c r="AP467" i="123"/>
  <c r="AX467" i="123"/>
  <c r="BF467" i="123"/>
  <c r="BN467" i="123"/>
  <c r="BV467" i="123"/>
  <c r="CD467" i="123"/>
  <c r="CL467" i="123"/>
  <c r="CT467" i="123"/>
  <c r="DB467" i="123"/>
  <c r="DJ467" i="123"/>
  <c r="DR467" i="123"/>
  <c r="DZ467" i="123"/>
  <c r="EH467" i="123"/>
  <c r="EP467" i="123"/>
  <c r="EX467" i="123"/>
  <c r="FF467" i="123"/>
  <c r="FN467" i="123"/>
  <c r="FV467" i="123"/>
  <c r="GD467" i="123"/>
  <c r="GL467" i="123"/>
  <c r="GT467" i="123"/>
  <c r="HB467" i="123"/>
  <c r="HJ467" i="123"/>
  <c r="HR467" i="123"/>
  <c r="HZ467" i="123"/>
  <c r="IH467" i="123"/>
  <c r="IP467" i="123"/>
  <c r="IX467" i="123"/>
  <c r="JF467" i="123"/>
  <c r="MP467" i="123"/>
  <c r="MX467" i="123"/>
  <c r="NF467" i="123"/>
  <c r="NN467" i="123"/>
  <c r="AA467" i="123"/>
  <c r="AI467" i="123"/>
  <c r="AQ467" i="123"/>
  <c r="AY467" i="123"/>
  <c r="BG467" i="123"/>
  <c r="BO467" i="123"/>
  <c r="BW467" i="123"/>
  <c r="CE467" i="123"/>
  <c r="CM467" i="123"/>
  <c r="CU467" i="123"/>
  <c r="DC467" i="123"/>
  <c r="DK467" i="123"/>
  <c r="DS467" i="123"/>
  <c r="EA467" i="123"/>
  <c r="EI467" i="123"/>
  <c r="EQ467" i="123"/>
  <c r="EY467" i="123"/>
  <c r="FG467" i="123"/>
  <c r="FO467" i="123"/>
  <c r="FW467" i="123"/>
  <c r="GE467" i="123"/>
  <c r="GM467" i="123"/>
  <c r="GU467" i="123"/>
  <c r="HC467" i="123"/>
  <c r="HK467" i="123"/>
  <c r="HS467" i="123"/>
  <c r="IA467" i="123"/>
  <c r="II467" i="123"/>
  <c r="IQ467" i="123"/>
  <c r="IY467" i="123"/>
  <c r="JG467" i="123"/>
  <c r="MQ467" i="123"/>
  <c r="MY467" i="123"/>
  <c r="NG467" i="123"/>
  <c r="AB467" i="123"/>
  <c r="AJ467" i="123"/>
  <c r="AR467" i="123"/>
  <c r="AZ467" i="123"/>
  <c r="BH467" i="123"/>
  <c r="BP467" i="123"/>
  <c r="BX467" i="123"/>
  <c r="CF467" i="123"/>
  <c r="CN467" i="123"/>
  <c r="CV467" i="123"/>
  <c r="DD467" i="123"/>
  <c r="DL467" i="123"/>
  <c r="DT467" i="123"/>
  <c r="EB467" i="123"/>
  <c r="EJ467" i="123"/>
  <c r="ER467" i="123"/>
  <c r="EZ467" i="123"/>
  <c r="FH467" i="123"/>
  <c r="FP467" i="123"/>
  <c r="FX467" i="123"/>
  <c r="GF467" i="123"/>
  <c r="GN467" i="123"/>
  <c r="GV467" i="123"/>
  <c r="HD467" i="123"/>
  <c r="HL467" i="123"/>
  <c r="HT467" i="123"/>
  <c r="IB467" i="123"/>
  <c r="IJ467" i="123"/>
  <c r="IR467" i="123"/>
  <c r="IZ467" i="123"/>
  <c r="JH467" i="123"/>
  <c r="MR467" i="123"/>
  <c r="MZ467" i="123"/>
  <c r="NH467" i="123"/>
  <c r="AC467" i="123"/>
  <c r="AK467" i="123"/>
  <c r="AS467" i="123"/>
  <c r="BA467" i="123"/>
  <c r="BI467" i="123"/>
  <c r="BQ467" i="123"/>
  <c r="BY467" i="123"/>
  <c r="CG467" i="123"/>
  <c r="CO467" i="123"/>
  <c r="CW467" i="123"/>
  <c r="DE467" i="123"/>
  <c r="DM467" i="123"/>
  <c r="DU467" i="123"/>
  <c r="EC467" i="123"/>
  <c r="EK467" i="123"/>
  <c r="ES467" i="123"/>
  <c r="FA467" i="123"/>
  <c r="FI467" i="123"/>
  <c r="FQ467" i="123"/>
  <c r="FY467" i="123"/>
  <c r="GG467" i="123"/>
  <c r="GO467" i="123"/>
  <c r="GW467" i="123"/>
  <c r="HE467" i="123"/>
  <c r="HU467" i="123"/>
  <c r="IC467" i="123"/>
  <c r="IK467" i="123"/>
  <c r="IS467" i="123"/>
  <c r="JA467" i="123"/>
  <c r="MS467" i="123"/>
  <c r="NA467" i="123"/>
  <c r="L473" i="123"/>
  <c r="NJ465" i="123"/>
  <c r="Y485" i="123"/>
  <c r="AQ485" i="123"/>
  <c r="BF485" i="123"/>
  <c r="FQ485" i="123"/>
  <c r="GN485" i="123"/>
  <c r="HK485" i="123"/>
  <c r="IQ485" i="123"/>
  <c r="MQ485" i="123"/>
  <c r="FP486" i="123"/>
  <c r="JM486" i="123"/>
  <c r="KW486" i="123"/>
  <c r="MJ486" i="123"/>
  <c r="HG486" i="123"/>
  <c r="NH485" i="123"/>
  <c r="MK486" i="123"/>
  <c r="Z485" i="123"/>
  <c r="AR485" i="123"/>
  <c r="BK485" i="123"/>
  <c r="FS485" i="123"/>
  <c r="GO485" i="123"/>
  <c r="HL485" i="123"/>
  <c r="IR485" i="123"/>
  <c r="MY485" i="123"/>
  <c r="HF486" i="123"/>
  <c r="JT486" i="123"/>
  <c r="KX486" i="123"/>
  <c r="ML486" i="123"/>
  <c r="NV486" i="123"/>
  <c r="AA485" i="123"/>
  <c r="AS485" i="123"/>
  <c r="EC485" i="123"/>
  <c r="GB485" i="123"/>
  <c r="GQ485" i="123"/>
  <c r="HM485" i="123"/>
  <c r="IS485" i="123"/>
  <c r="ND485" i="123"/>
  <c r="HK486" i="123"/>
  <c r="JU486" i="123"/>
  <c r="KY486" i="123"/>
  <c r="MN486" i="123"/>
  <c r="AC485" i="123"/>
  <c r="AU485" i="123"/>
  <c r="EO485" i="123"/>
  <c r="GC485" i="123"/>
  <c r="GU485" i="123"/>
  <c r="HR485" i="123"/>
  <c r="IT485" i="123"/>
  <c r="NE485" i="123"/>
  <c r="HL486" i="123"/>
  <c r="JV486" i="123"/>
  <c r="LJ486" i="123"/>
  <c r="FM486" i="123"/>
  <c r="AD485" i="123"/>
  <c r="BA485" i="123"/>
  <c r="EW485" i="123"/>
  <c r="GD485" i="123"/>
  <c r="GV485" i="123"/>
  <c r="IC485" i="123"/>
  <c r="NG485" i="123"/>
  <c r="HM486" i="123"/>
  <c r="JW486" i="123"/>
  <c r="LL486" i="123"/>
  <c r="AE485" i="123"/>
  <c r="BB485" i="123"/>
  <c r="FN485" i="123"/>
  <c r="GE485" i="123"/>
  <c r="GW485" i="123"/>
  <c r="IE485" i="123"/>
  <c r="NJ485" i="123"/>
  <c r="HN486" i="123"/>
  <c r="KA486" i="123"/>
  <c r="LX486" i="123"/>
  <c r="AG485" i="123"/>
  <c r="BC485" i="123"/>
  <c r="FO485" i="123"/>
  <c r="GG485" i="123"/>
  <c r="HC485" i="123"/>
  <c r="DG486" i="123"/>
  <c r="JI486" i="123"/>
  <c r="KF486" i="123"/>
  <c r="OC483" i="123"/>
  <c r="MS480" i="123"/>
  <c r="LU479" i="123"/>
  <c r="MA476" i="123"/>
  <c r="FQ473" i="123"/>
  <c r="L472" i="123"/>
  <c r="M472" i="123" s="1"/>
  <c r="NP472" i="123"/>
  <c r="X465" i="123"/>
  <c r="CU465" i="123"/>
  <c r="FP465" i="123"/>
  <c r="IU465" i="123"/>
  <c r="MV465" i="123"/>
  <c r="AA465" i="123"/>
  <c r="AL465" i="123"/>
  <c r="BC465" i="123"/>
  <c r="BS465" i="123"/>
  <c r="CI465" i="123"/>
  <c r="CY465" i="123"/>
  <c r="DI465" i="123"/>
  <c r="DY465" i="123"/>
  <c r="EO465" i="123"/>
  <c r="FF465" i="123"/>
  <c r="FQ465" i="123"/>
  <c r="GE465" i="123"/>
  <c r="GV465" i="123"/>
  <c r="HH465" i="123"/>
  <c r="HS465" i="123"/>
  <c r="IF465" i="123"/>
  <c r="IV465" i="123"/>
  <c r="MZ465" i="123"/>
  <c r="FD465" i="123"/>
  <c r="AB465" i="123"/>
  <c r="AQ465" i="123"/>
  <c r="BD465" i="123"/>
  <c r="BT465" i="123"/>
  <c r="CJ465" i="123"/>
  <c r="CZ465" i="123"/>
  <c r="DP465" i="123"/>
  <c r="DZ465" i="123"/>
  <c r="EP465" i="123"/>
  <c r="FG465" i="123"/>
  <c r="FT465" i="123"/>
  <c r="GF465" i="123"/>
  <c r="GW465" i="123"/>
  <c r="HI465" i="123"/>
  <c r="HX465" i="123"/>
  <c r="IG465" i="123"/>
  <c r="IW465" i="123"/>
  <c r="NA465" i="123"/>
  <c r="BR465" i="123"/>
  <c r="DX465" i="123"/>
  <c r="HG465" i="123"/>
  <c r="AC465" i="123"/>
  <c r="AS465" i="123"/>
  <c r="BE465" i="123"/>
  <c r="BU465" i="123"/>
  <c r="CK465" i="123"/>
  <c r="DB465" i="123"/>
  <c r="DR465" i="123"/>
  <c r="EA465" i="123"/>
  <c r="ER465" i="123"/>
  <c r="FH465" i="123"/>
  <c r="FV465" i="123"/>
  <c r="GH465" i="123"/>
  <c r="GX465" i="123"/>
  <c r="HJ465" i="123"/>
  <c r="HY465" i="123"/>
  <c r="IN465" i="123"/>
  <c r="IX465" i="123"/>
  <c r="MP465" i="123"/>
  <c r="NE465" i="123"/>
  <c r="AK465" i="123"/>
  <c r="EN465" i="123"/>
  <c r="GT465" i="123"/>
  <c r="HO465" i="123"/>
  <c r="NM465" i="123"/>
  <c r="AD465" i="123"/>
  <c r="AT465" i="123"/>
  <c r="BI465" i="123"/>
  <c r="BV465" i="123"/>
  <c r="CL465" i="123"/>
  <c r="DC465" i="123"/>
  <c r="DT465" i="123"/>
  <c r="EI465" i="123"/>
  <c r="EV465" i="123"/>
  <c r="FL465" i="123"/>
  <c r="FX465" i="123"/>
  <c r="GM465" i="123"/>
  <c r="GZ465" i="123"/>
  <c r="HK465" i="123"/>
  <c r="HZ465" i="123"/>
  <c r="IQ465" i="123"/>
  <c r="IZ465" i="123"/>
  <c r="MQ465" i="123"/>
  <c r="NH465" i="123"/>
  <c r="CH465" i="123"/>
  <c r="GD465" i="123"/>
  <c r="AE465" i="123"/>
  <c r="AU465" i="123"/>
  <c r="BL465" i="123"/>
  <c r="BW465" i="123"/>
  <c r="CN465" i="123"/>
  <c r="DD465" i="123"/>
  <c r="DU465" i="123"/>
  <c r="EK465" i="123"/>
  <c r="EW465" i="123"/>
  <c r="FM465" i="123"/>
  <c r="FY465" i="123"/>
  <c r="GO465" i="123"/>
  <c r="HA465" i="123"/>
  <c r="HL465" i="123"/>
  <c r="IB465" i="123"/>
  <c r="IR465" i="123"/>
  <c r="JG465" i="123"/>
  <c r="MR465" i="123"/>
  <c r="NI465" i="123"/>
  <c r="BB465" i="123"/>
  <c r="DH465" i="123"/>
  <c r="IE465" i="123"/>
  <c r="AF465" i="123"/>
  <c r="AV465" i="123"/>
  <c r="BM465" i="123"/>
  <c r="CB465" i="123"/>
  <c r="CO465" i="123"/>
  <c r="DF465" i="123"/>
  <c r="DV465" i="123"/>
  <c r="EL465" i="123"/>
  <c r="FA465" i="123"/>
  <c r="FN465" i="123"/>
  <c r="GB465" i="123"/>
  <c r="GR465" i="123"/>
  <c r="HE465" i="123"/>
  <c r="HM465" i="123"/>
  <c r="IC465" i="123"/>
  <c r="IS465" i="123"/>
  <c r="MT465" i="123"/>
  <c r="DG464" i="123"/>
  <c r="KX464" i="123"/>
  <c r="DO464" i="123"/>
  <c r="LH464" i="123"/>
  <c r="J292" i="123"/>
  <c r="L1538"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U199" i="123"/>
  <c r="S132" i="123"/>
  <c r="J297" i="123"/>
  <c r="J1654" i="123"/>
  <c r="K1654" i="123" s="1"/>
  <c r="J1645" i="123"/>
  <c r="K1645" i="123" s="1"/>
  <c r="J142" i="123"/>
  <c r="A216" i="123"/>
  <c r="AD239" i="123"/>
  <c r="K1445" i="123"/>
  <c r="P1433" i="123" s="1"/>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J241" i="123"/>
  <c r="G250" i="123"/>
  <c r="S259" i="123"/>
  <c r="G138" i="123"/>
  <c r="L444" i="123"/>
  <c r="V261" i="123"/>
  <c r="D752" i="123"/>
  <c r="J1629" i="123"/>
  <c r="B1673" i="123"/>
  <c r="M155" i="123"/>
  <c r="M250" i="123"/>
  <c r="D1668" i="123"/>
  <c r="I1668" i="123" s="1"/>
  <c r="P155" i="123"/>
  <c r="P250" i="123"/>
  <c r="M444" i="123"/>
  <c r="A1204" i="123"/>
  <c r="G150" i="123"/>
  <c r="S155" i="123"/>
  <c r="G241" i="123"/>
  <c r="S138" i="123"/>
  <c r="U185" i="123"/>
  <c r="J424" i="123"/>
  <c r="M206" i="123"/>
  <c r="AD237" i="123"/>
  <c r="AD238" i="123" s="1"/>
  <c r="I1670" i="123"/>
  <c r="S206" i="123"/>
  <c r="P241" i="123"/>
  <c r="J132" i="123"/>
  <c r="G155" i="123"/>
  <c r="J155" i="123"/>
  <c r="S200" i="123"/>
  <c r="P206" i="123"/>
  <c r="A131" i="123"/>
  <c r="L79" i="123"/>
  <c r="P132" i="123"/>
  <c r="S217" i="123"/>
  <c r="U226" i="123"/>
  <c r="F239"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H702" i="123"/>
  <c r="D155" i="123"/>
  <c r="AD240" i="123"/>
  <c r="F55" i="89"/>
  <c r="C62" i="100"/>
  <c r="C61" i="100"/>
  <c r="K62" i="100" s="1"/>
  <c r="KX511" i="123" l="1"/>
  <c r="L615" i="123" s="1"/>
  <c r="L625" i="123" s="1"/>
  <c r="DB511" i="123"/>
  <c r="M571" i="123" s="1"/>
  <c r="IO511" i="123"/>
  <c r="IU511" i="123"/>
  <c r="L590" i="123" s="1"/>
  <c r="KD511" i="123"/>
  <c r="L619" i="123" s="1"/>
  <c r="MS511" i="123"/>
  <c r="LT511" i="123"/>
  <c r="N607" i="123" s="1"/>
  <c r="CX511" i="123"/>
  <c r="N572" i="123" s="1"/>
  <c r="P715" i="123"/>
  <c r="AF511" i="123"/>
  <c r="N519" i="123" s="1"/>
  <c r="JR511" i="123"/>
  <c r="O61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E153" i="123"/>
  <c r="CD511" i="123"/>
  <c r="N558" i="123" s="1"/>
  <c r="GM511" i="123"/>
  <c r="L636" i="123" s="1"/>
  <c r="CV511" i="123"/>
  <c r="L572" i="123" s="1"/>
  <c r="NN511" i="123"/>
  <c r="LI511" i="123"/>
  <c r="M606" i="123" s="1"/>
  <c r="IV511" i="123"/>
  <c r="M590" i="123" s="1"/>
  <c r="M511" i="123"/>
  <c r="M512"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K625" i="123" s="1"/>
  <c r="DJ511" i="123"/>
  <c r="K569" i="123" s="1"/>
  <c r="HJ511" i="123"/>
  <c r="Y511" i="123"/>
  <c r="L518" i="123" s="1"/>
  <c r="AO511" i="123"/>
  <c r="M521" i="123" s="1"/>
  <c r="AP511" i="123"/>
  <c r="N521" i="123" s="1"/>
  <c r="FN511" i="123"/>
  <c r="L528" i="123" s="1"/>
  <c r="FJ511" i="123"/>
  <c r="M581" i="123" s="1"/>
  <c r="HP511" i="123"/>
  <c r="K584" i="123" s="1"/>
  <c r="IF511" i="123"/>
  <c r="L587"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NJ511" i="123"/>
  <c r="HB511" i="123"/>
  <c r="L640" i="123" s="1"/>
  <c r="KK511" i="123"/>
  <c r="N616" i="123" s="1"/>
  <c r="IW511" i="123"/>
  <c r="N590" i="123" s="1"/>
  <c r="AT511" i="123"/>
  <c r="M522" i="123" s="1"/>
  <c r="FV511" i="123"/>
  <c r="O632" i="123" s="1"/>
  <c r="AW511" i="123"/>
  <c r="K523" i="123" s="1"/>
  <c r="IK511" i="123"/>
  <c r="L588" i="123" s="1"/>
  <c r="JW511" i="123"/>
  <c r="O61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LV511" i="123"/>
  <c r="K608" i="123" s="1"/>
  <c r="K626"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A511" i="123"/>
  <c r="A459" i="123" s="1"/>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O629"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K586" i="123" s="1"/>
  <c r="BJ511" i="123"/>
  <c r="N526" i="123" s="1"/>
  <c r="IX511" i="123"/>
  <c r="O590" i="123" s="1"/>
  <c r="BQ511" i="123"/>
  <c r="K560" i="123" s="1"/>
  <c r="FG511" i="123"/>
  <c r="O580" i="123" s="1"/>
  <c r="CZ511" i="123"/>
  <c r="K571" i="123" s="1"/>
  <c r="CW511" i="123"/>
  <c r="M572" i="123" s="1"/>
  <c r="ED511" i="123"/>
  <c r="K575" i="123" s="1"/>
  <c r="NY511" i="123"/>
  <c r="LP511" i="123"/>
  <c r="O605" i="123" s="1"/>
  <c r="IZ511" i="123"/>
  <c r="L591" i="123" s="1"/>
  <c r="GC511" i="123"/>
  <c r="L634" i="123" s="1"/>
  <c r="X511" i="123"/>
  <c r="K518" i="123" s="1"/>
  <c r="LM511" i="123"/>
  <c r="L605" i="123" s="1"/>
  <c r="JX511" i="123"/>
  <c r="K618" i="123" s="1"/>
  <c r="IJ511" i="123"/>
  <c r="K588" i="123" s="1"/>
  <c r="IG511" i="123"/>
  <c r="M587" i="123" s="1"/>
  <c r="HE511" i="123"/>
  <c r="O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627" i="123" s="1"/>
  <c r="MC511" i="123"/>
  <c r="M610" i="123" s="1"/>
  <c r="M628"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LH511" i="123"/>
  <c r="L606" i="123" s="1"/>
  <c r="CJ511" i="123"/>
  <c r="O557" i="123" s="1"/>
  <c r="CG511" i="123"/>
  <c r="L557" i="123" s="1"/>
  <c r="L562" i="123" s="1"/>
  <c r="HD511" i="123"/>
  <c r="N640" i="123" s="1"/>
  <c r="BZ511" i="123"/>
  <c r="O559" i="123" s="1"/>
  <c r="JN511" i="123"/>
  <c r="K612" i="123" s="1"/>
  <c r="EP511" i="123"/>
  <c r="M577" i="123" s="1"/>
  <c r="FT511" i="123"/>
  <c r="M632" i="123" s="1"/>
  <c r="NH511" i="123"/>
  <c r="AM511" i="123"/>
  <c r="K521" i="123" s="1"/>
  <c r="IA511" i="123"/>
  <c r="GD511" i="123"/>
  <c r="M634" i="123" s="1"/>
  <c r="NZ511" i="123"/>
  <c r="HI511" i="123"/>
  <c r="AJ511" i="123"/>
  <c r="M520" i="123" s="1"/>
  <c r="HX511" i="123"/>
  <c r="N585" i="123" s="1"/>
  <c r="LL511" i="123"/>
  <c r="K605"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N628"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M626" i="123" s="1"/>
  <c r="BT511" i="123"/>
  <c r="N560" i="123" s="1"/>
  <c r="DX511" i="123"/>
  <c r="O567" i="123" s="1"/>
  <c r="DZ511" i="123"/>
  <c r="L566" i="123" s="1"/>
  <c r="LZ511" i="123"/>
  <c r="O608" i="123" s="1"/>
  <c r="AY511" i="123"/>
  <c r="M523" i="123" s="1"/>
  <c r="MT511" i="123"/>
  <c r="FA511" i="123"/>
  <c r="N579" i="123" s="1"/>
  <c r="EZ511" i="123"/>
  <c r="M579" i="123" s="1"/>
  <c r="AN511" i="123"/>
  <c r="L521" i="123" s="1"/>
  <c r="KR511" i="123"/>
  <c r="K614" i="123" s="1"/>
  <c r="K624" i="123" s="1"/>
  <c r="HS511" i="123"/>
  <c r="N584" i="123" s="1"/>
  <c r="LR511" i="123"/>
  <c r="L607" i="123" s="1"/>
  <c r="JE511" i="123"/>
  <c r="OA511" i="123"/>
  <c r="FW511" i="123"/>
  <c r="K633" i="123" s="1"/>
  <c r="LW511" i="123"/>
  <c r="L608" i="123" s="1"/>
  <c r="GQ511" i="123"/>
  <c r="K637" i="123" s="1"/>
  <c r="MQ511" i="123"/>
  <c r="JV511" i="123"/>
  <c r="N613" i="123" s="1"/>
  <c r="MP511" i="123"/>
  <c r="GE511" i="123"/>
  <c r="N634" i="123" s="1"/>
  <c r="MM511" i="123"/>
  <c r="M611" i="123" s="1"/>
  <c r="MI511" i="123"/>
  <c r="N609" i="123" s="1"/>
  <c r="N627" i="123" s="1"/>
  <c r="JP511" i="123"/>
  <c r="M612" i="123" s="1"/>
  <c r="BF511" i="123"/>
  <c r="O524" i="123" s="1"/>
  <c r="EW511" i="123"/>
  <c r="O578" i="123" s="1"/>
  <c r="GS511" i="123"/>
  <c r="M637" i="123" s="1"/>
  <c r="LS511" i="123"/>
  <c r="M607" i="123" s="1"/>
  <c r="M629" i="123" s="1"/>
  <c r="FE511" i="123"/>
  <c r="M580" i="123" s="1"/>
  <c r="LQ511" i="123"/>
  <c r="K607" i="123" s="1"/>
  <c r="MY511" i="123"/>
  <c r="DW511" i="123"/>
  <c r="N567" i="123" s="1"/>
  <c r="NI511" i="123"/>
  <c r="LY511" i="123"/>
  <c r="N608"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BP511" i="123"/>
  <c r="O561" i="123" s="1"/>
  <c r="MV511" i="123"/>
  <c r="NK511" i="123"/>
  <c r="JA511" i="123"/>
  <c r="M591" i="123" s="1"/>
  <c r="NT511" i="123"/>
  <c r="IM511" i="123"/>
  <c r="N588" i="123" s="1"/>
  <c r="NX511" i="123"/>
  <c r="NW511" i="123"/>
  <c r="NE511" i="123"/>
  <c r="NS511" i="123"/>
  <c r="JC511" i="123"/>
  <c r="O591" i="123" s="1"/>
  <c r="HY511" i="123"/>
  <c r="O585" i="123" s="1"/>
  <c r="D1673" i="123"/>
  <c r="E152" i="123"/>
  <c r="K1673" i="123"/>
  <c r="K1678" i="123" s="1"/>
  <c r="E154" i="123"/>
  <c r="S261" i="123"/>
  <c r="AD241" i="123"/>
  <c r="C163" i="123"/>
  <c r="B172" i="123" s="1"/>
  <c r="P261" i="123"/>
  <c r="P277" i="123" s="1"/>
  <c r="P279" i="123" s="1"/>
  <c r="P281" i="123" s="1"/>
  <c r="G157" i="123"/>
  <c r="L1575" i="123"/>
  <c r="O628" i="123"/>
  <c r="N622" i="123"/>
  <c r="E752" i="123"/>
  <c r="Q715" i="123"/>
  <c r="G261" i="123"/>
  <c r="J291" i="123" s="1"/>
  <c r="J293" i="123" s="1"/>
  <c r="J295" i="123" s="1"/>
  <c r="J298" i="123" s="1"/>
  <c r="M261" i="123"/>
  <c r="M277" i="123" s="1"/>
  <c r="M279" i="123" s="1"/>
  <c r="M281" i="123" s="1"/>
  <c r="J261" i="123"/>
  <c r="J277" i="123" s="1"/>
  <c r="J279" i="123" s="1"/>
  <c r="J281" i="123" s="1"/>
  <c r="K1661" i="123"/>
  <c r="K1663" i="123" s="1"/>
  <c r="K1677" i="123" s="1"/>
  <c r="K1679" i="123" s="1"/>
  <c r="O622" i="123"/>
  <c r="L626" i="123"/>
  <c r="P654" i="123"/>
  <c r="Q716" i="123"/>
  <c r="P716" i="123"/>
  <c r="Q714" i="123"/>
  <c r="P714" i="123"/>
  <c r="G62" i="100"/>
  <c r="I62" i="100"/>
  <c r="E62" i="100"/>
  <c r="K573" i="123" l="1"/>
  <c r="P521" i="123"/>
  <c r="O596" i="123"/>
  <c r="P522" i="123"/>
  <c r="P560" i="123"/>
  <c r="P556" i="123"/>
  <c r="K623" i="123"/>
  <c r="P570" i="123"/>
  <c r="P634" i="123"/>
  <c r="O623" i="123"/>
  <c r="O525" i="123"/>
  <c r="O527" i="123" s="1"/>
  <c r="O529" i="123" s="1"/>
  <c r="O645" i="123" s="1"/>
  <c r="P577" i="123"/>
  <c r="P575" i="123"/>
  <c r="M622" i="123"/>
  <c r="P557" i="123"/>
  <c r="P640" i="123"/>
  <c r="O562" i="123"/>
  <c r="P579" i="123"/>
  <c r="O627" i="123"/>
  <c r="N623" i="123"/>
  <c r="N586" i="123"/>
  <c r="P642" i="123"/>
  <c r="P605" i="123"/>
  <c r="P616" i="123"/>
  <c r="O582" i="123"/>
  <c r="P580" i="123"/>
  <c r="P619" i="123"/>
  <c r="P568" i="123"/>
  <c r="P569" i="123"/>
  <c r="P523" i="123"/>
  <c r="N629" i="123"/>
  <c r="P518" i="123"/>
  <c r="Q632" i="123" s="1"/>
  <c r="P576" i="123"/>
  <c r="P638" i="123"/>
  <c r="P566" i="123"/>
  <c r="P561" i="123"/>
  <c r="P585" i="123"/>
  <c r="M582" i="123"/>
  <c r="P555" i="123"/>
  <c r="L525" i="123"/>
  <c r="L527" i="123" s="1"/>
  <c r="L529" i="123" s="1"/>
  <c r="L547" i="123" s="1"/>
  <c r="P524" i="123"/>
  <c r="Q638" i="123" s="1"/>
  <c r="P607" i="123"/>
  <c r="P520" i="123"/>
  <c r="P528" i="123"/>
  <c r="P590" i="123"/>
  <c r="P526" i="123"/>
  <c r="L603" i="123"/>
  <c r="L629" i="123"/>
  <c r="P635" i="123"/>
  <c r="N626" i="123"/>
  <c r="M596" i="123"/>
  <c r="M562" i="123"/>
  <c r="P618" i="123"/>
  <c r="M639" i="123"/>
  <c r="M641" i="123" s="1"/>
  <c r="M643" i="123" s="1"/>
  <c r="N573" i="123"/>
  <c r="P581" i="123"/>
  <c r="P578" i="123"/>
  <c r="P588" i="123"/>
  <c r="K629" i="123"/>
  <c r="P636" i="123"/>
  <c r="N639" i="123"/>
  <c r="N641" i="123" s="1"/>
  <c r="N643" i="123" s="1"/>
  <c r="K525" i="123"/>
  <c r="K527" i="123" s="1"/>
  <c r="O626" i="123"/>
  <c r="L627" i="123"/>
  <c r="P567" i="123"/>
  <c r="P611" i="123"/>
  <c r="M603" i="123"/>
  <c r="M623" i="123"/>
  <c r="P624" i="123"/>
  <c r="P614" i="123"/>
  <c r="L589" i="123"/>
  <c r="P613" i="123"/>
  <c r="L622" i="123"/>
  <c r="P637" i="123"/>
  <c r="P608" i="123"/>
  <c r="P587" i="123"/>
  <c r="O603" i="123"/>
  <c r="O639" i="123"/>
  <c r="O641" i="123" s="1"/>
  <c r="O643" i="123" s="1"/>
  <c r="P606" i="123"/>
  <c r="K596" i="123"/>
  <c r="K628" i="123"/>
  <c r="K582" i="123"/>
  <c r="L573" i="123"/>
  <c r="L596" i="123"/>
  <c r="L582" i="123"/>
  <c r="L628" i="123"/>
  <c r="P612" i="123"/>
  <c r="K589" i="123"/>
  <c r="P591" i="123"/>
  <c r="P571" i="123"/>
  <c r="L623" i="123"/>
  <c r="K603" i="123"/>
  <c r="P625" i="123"/>
  <c r="P604" i="123"/>
  <c r="N596" i="123"/>
  <c r="K627" i="123"/>
  <c r="P627" i="123" s="1"/>
  <c r="N525" i="123"/>
  <c r="N527" i="123" s="1"/>
  <c r="N529" i="123" s="1"/>
  <c r="N538" i="123" s="1"/>
  <c r="P633" i="123"/>
  <c r="O586" i="123"/>
  <c r="P559" i="123"/>
  <c r="M525" i="123"/>
  <c r="M527" i="123" s="1"/>
  <c r="M529" i="123" s="1"/>
  <c r="M544" i="123" s="1"/>
  <c r="K622" i="123"/>
  <c r="P572" i="123"/>
  <c r="L639" i="123"/>
  <c r="L641" i="123" s="1"/>
  <c r="L643" i="123" s="1"/>
  <c r="L645" i="123" s="1"/>
  <c r="M573" i="123"/>
  <c r="P609" i="123"/>
  <c r="P632" i="123"/>
  <c r="O589" i="123"/>
  <c r="O592" i="123"/>
  <c r="N562" i="123"/>
  <c r="K562" i="123"/>
  <c r="P610" i="123"/>
  <c r="P617" i="123"/>
  <c r="M586" i="123"/>
  <c r="O573" i="123"/>
  <c r="M589" i="123"/>
  <c r="N592" i="123"/>
  <c r="N603" i="123"/>
  <c r="P615" i="123"/>
  <c r="P558" i="123"/>
  <c r="L592" i="123"/>
  <c r="P519" i="123"/>
  <c r="Q633" i="123" s="1"/>
  <c r="P584" i="123"/>
  <c r="K639" i="123"/>
  <c r="K641" i="123" s="1"/>
  <c r="N589" i="123"/>
  <c r="M592" i="123"/>
  <c r="N582" i="123"/>
  <c r="L586" i="123"/>
  <c r="K592" i="123"/>
  <c r="E155" i="123"/>
  <c r="G151" i="123" s="1"/>
  <c r="O547" i="123"/>
  <c r="F169" i="123"/>
  <c r="O550" i="123"/>
  <c r="O541" i="123"/>
  <c r="O544" i="123"/>
  <c r="O535" i="123"/>
  <c r="O538" i="123"/>
  <c r="O532" i="123"/>
  <c r="F752" i="123"/>
  <c r="Q636" i="123"/>
  <c r="O130" i="112"/>
  <c r="O131" i="112"/>
  <c r="O132" i="112"/>
  <c r="O129" i="112"/>
  <c r="O128" i="112"/>
  <c r="O125" i="112"/>
  <c r="O126" i="112"/>
  <c r="O124" i="112"/>
  <c r="J374" i="112"/>
  <c r="Q635" i="123" l="1"/>
  <c r="Q642" i="123"/>
  <c r="Q640" i="123"/>
  <c r="L544" i="123"/>
  <c r="L535" i="123"/>
  <c r="L538" i="123"/>
  <c r="J511" i="123"/>
  <c r="L541" i="123"/>
  <c r="L532" i="123"/>
  <c r="P622" i="123"/>
  <c r="J512" i="123"/>
  <c r="Q634" i="123"/>
  <c r="Q637" i="123"/>
  <c r="P626" i="123"/>
  <c r="P629" i="123"/>
  <c r="L550" i="123"/>
  <c r="P623" i="123"/>
  <c r="P562" i="123"/>
  <c r="P586" i="123"/>
  <c r="P573" i="123"/>
  <c r="P628" i="123"/>
  <c r="P603" i="123"/>
  <c r="M645" i="123"/>
  <c r="P596" i="123"/>
  <c r="P718" i="123" s="1"/>
  <c r="M547" i="123"/>
  <c r="M550" i="123"/>
  <c r="M541" i="123"/>
  <c r="M535" i="123"/>
  <c r="P589" i="123"/>
  <c r="P582" i="123"/>
  <c r="N544" i="123"/>
  <c r="N645" i="123"/>
  <c r="N541" i="123"/>
  <c r="M538" i="123"/>
  <c r="P525" i="123"/>
  <c r="N535" i="123"/>
  <c r="N532" i="123"/>
  <c r="N547" i="123"/>
  <c r="N550" i="123"/>
  <c r="M532" i="123"/>
  <c r="P639" i="123"/>
  <c r="P592" i="123"/>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Q717" i="123" l="1"/>
  <c r="Q718" i="123" s="1"/>
  <c r="P717" i="123"/>
  <c r="H752" i="123"/>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B22" i="111"/>
  <c r="G334" i="112"/>
  <c r="J143" i="112"/>
  <c r="K87" i="113"/>
  <c r="I87" i="113"/>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F874" i="123" s="1"/>
  <c r="E136" i="111"/>
  <c r="E874" i="123" s="1"/>
  <c r="D136" i="111"/>
  <c r="D874" i="123" s="1"/>
  <c r="C136" i="111"/>
  <c r="C874" i="123" s="1"/>
  <c r="B136" i="111"/>
  <c r="B874" i="123" s="1"/>
  <c r="F135" i="111"/>
  <c r="F873" i="123" s="1"/>
  <c r="E135" i="111"/>
  <c r="E873" i="123" s="1"/>
  <c r="D135" i="111"/>
  <c r="D873" i="123" s="1"/>
  <c r="C135" i="111"/>
  <c r="C873" i="123" s="1"/>
  <c r="B135" i="111"/>
  <c r="B873" i="123" s="1"/>
  <c r="K106" i="111"/>
  <c r="K844" i="123" s="1"/>
  <c r="J106" i="111"/>
  <c r="J844" i="123" s="1"/>
  <c r="I106" i="111"/>
  <c r="I844" i="123" s="1"/>
  <c r="H106" i="111"/>
  <c r="H844" i="123" s="1"/>
  <c r="G106" i="111"/>
  <c r="G844" i="123" s="1"/>
  <c r="F106" i="111"/>
  <c r="F844" i="123" s="1"/>
  <c r="E106" i="111"/>
  <c r="E844" i="123" s="1"/>
  <c r="D106" i="111"/>
  <c r="D844" i="123" s="1"/>
  <c r="C106" i="111"/>
  <c r="C844" i="123" s="1"/>
  <c r="B106" i="111"/>
  <c r="B844" i="123" s="1"/>
  <c r="K105" i="111"/>
  <c r="K843" i="123" s="1"/>
  <c r="J105" i="111"/>
  <c r="J843" i="123" s="1"/>
  <c r="I105" i="111"/>
  <c r="I843" i="123" s="1"/>
  <c r="H105" i="111"/>
  <c r="H843" i="123" s="1"/>
  <c r="G105" i="111"/>
  <c r="G843" i="123" s="1"/>
  <c r="F105" i="111"/>
  <c r="F843" i="123" s="1"/>
  <c r="E105" i="111"/>
  <c r="E843" i="123" s="1"/>
  <c r="D105" i="111"/>
  <c r="D843" i="123" s="1"/>
  <c r="C105" i="111"/>
  <c r="C843" i="123" s="1"/>
  <c r="B105" i="111"/>
  <c r="B843" i="123" s="1"/>
  <c r="K76" i="111"/>
  <c r="K814" i="123" s="1"/>
  <c r="J76" i="111"/>
  <c r="J814" i="123" s="1"/>
  <c r="I76" i="111"/>
  <c r="I814" i="123" s="1"/>
  <c r="H76" i="111"/>
  <c r="H814" i="123" s="1"/>
  <c r="K75" i="111"/>
  <c r="K813" i="123" s="1"/>
  <c r="J75" i="111"/>
  <c r="J813" i="123" s="1"/>
  <c r="I75" i="111"/>
  <c r="I813" i="123" s="1"/>
  <c r="H75" i="111"/>
  <c r="H813" i="123" s="1"/>
  <c r="G75" i="111"/>
  <c r="G813" i="123" s="1"/>
  <c r="F75" i="111"/>
  <c r="F813" i="123" s="1"/>
  <c r="E75" i="111"/>
  <c r="E813" i="123" s="1"/>
  <c r="D75" i="111"/>
  <c r="D813" i="123" s="1"/>
  <c r="C75" i="111"/>
  <c r="C813" i="123" s="1"/>
  <c r="B75" i="111"/>
  <c r="B813" i="123" s="1"/>
  <c r="K74" i="111"/>
  <c r="K812" i="123" s="1"/>
  <c r="J74" i="111"/>
  <c r="J812" i="123" s="1"/>
  <c r="I74" i="111"/>
  <c r="I812" i="123" s="1"/>
  <c r="H74" i="111"/>
  <c r="H812" i="123" s="1"/>
  <c r="G74" i="111"/>
  <c r="G812" i="123" s="1"/>
  <c r="F74" i="111"/>
  <c r="F812" i="123" s="1"/>
  <c r="E74" i="111"/>
  <c r="E812" i="123" s="1"/>
  <c r="D74" i="111"/>
  <c r="D812" i="123" s="1"/>
  <c r="C74" i="111"/>
  <c r="C812" i="123" s="1"/>
  <c r="B74" i="111"/>
  <c r="B812" i="123" s="1"/>
  <c r="K43" i="111"/>
  <c r="K781" i="123" s="1"/>
  <c r="J43" i="111"/>
  <c r="J781" i="123" s="1"/>
  <c r="I43" i="111"/>
  <c r="I781" i="123" s="1"/>
  <c r="H43" i="111"/>
  <c r="H781" i="123" s="1"/>
  <c r="G43" i="111"/>
  <c r="G781" i="123" s="1"/>
  <c r="F43" i="111"/>
  <c r="F781" i="123" s="1"/>
  <c r="E43" i="111"/>
  <c r="E781" i="123" s="1"/>
  <c r="D43" i="111"/>
  <c r="D781" i="123" s="1"/>
  <c r="C43" i="111"/>
  <c r="C781" i="123" s="1"/>
  <c r="B43" i="111"/>
  <c r="B781" i="123" s="1"/>
  <c r="K42" i="111"/>
  <c r="K780" i="123" s="1"/>
  <c r="J42" i="111"/>
  <c r="J780" i="123" s="1"/>
  <c r="I42" i="111"/>
  <c r="I780" i="123" s="1"/>
  <c r="H42" i="111"/>
  <c r="H780" i="123" s="1"/>
  <c r="G42" i="111"/>
  <c r="G780" i="123" s="1"/>
  <c r="F42" i="111"/>
  <c r="F780" i="123" s="1"/>
  <c r="E42" i="111"/>
  <c r="E780" i="123" s="1"/>
  <c r="D42" i="111"/>
  <c r="D780" i="123" s="1"/>
  <c r="C42" i="111"/>
  <c r="C780" i="123" s="1"/>
  <c r="B42" i="111"/>
  <c r="B780" i="123" s="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229" i="112"/>
  <c r="O229" i="112"/>
  <c r="L226" i="112"/>
  <c r="L225" i="112"/>
  <c r="P224" i="112"/>
  <c r="O224" i="112"/>
  <c r="P222" i="112"/>
  <c r="L221" i="112"/>
  <c r="L220" i="112"/>
  <c r="P216" i="112"/>
  <c r="O216" i="112"/>
  <c r="Q214" i="112"/>
  <c r="L214"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O169" i="112"/>
  <c r="O136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O1240" i="123" s="1"/>
  <c r="P44" i="112"/>
  <c r="O44" i="112"/>
  <c r="O1238" i="123" s="1"/>
  <c r="Q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C31" i="111" s="1"/>
  <c r="D31" i="111" s="1"/>
  <c r="E31" i="111" s="1"/>
  <c r="F31" i="111" s="1"/>
  <c r="G31" i="111" s="1"/>
  <c r="H31" i="111" s="1"/>
  <c r="I31" i="111" s="1"/>
  <c r="J31" i="111" s="1"/>
  <c r="K31" i="111" s="1"/>
  <c r="C14" i="111"/>
  <c r="D14" i="111" s="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S39" i="106"/>
  <c r="S21" i="106"/>
  <c r="S4" i="106"/>
  <c r="K29" i="105"/>
  <c r="K28" i="123" s="1"/>
  <c r="E14" i="111" l="1"/>
  <c r="D24" i="111"/>
  <c r="D762" i="123" s="1"/>
  <c r="D22" i="111"/>
  <c r="D760" i="123" s="1"/>
  <c r="C22" i="111"/>
  <c r="C760" i="123" s="1"/>
  <c r="C24" i="111"/>
  <c r="C762" i="123" s="1"/>
  <c r="C769" i="123"/>
  <c r="B769" i="123"/>
  <c r="A58" i="110"/>
  <c r="A6" i="110" s="1"/>
  <c r="F125" i="107"/>
  <c r="D47" i="106"/>
  <c r="D91" i="123" s="1"/>
  <c r="P147" i="107"/>
  <c r="P163" i="107" s="1"/>
  <c r="P165" i="107" s="1"/>
  <c r="P167" i="107" s="1"/>
  <c r="F38" i="107"/>
  <c r="F39" i="107"/>
  <c r="M147" i="107"/>
  <c r="M163" i="107" s="1"/>
  <c r="M165" i="107" s="1"/>
  <c r="M167" i="107" s="1"/>
  <c r="H15" i="100"/>
  <c r="H8" i="100"/>
  <c r="J26" i="123"/>
  <c r="A1" i="123" s="1"/>
  <c r="A315" i="123"/>
  <c r="A46" i="123"/>
  <c r="A2" i="106"/>
  <c r="Q1240" i="123"/>
  <c r="L1231" i="123"/>
  <c r="Q1219" i="123"/>
  <c r="L1219" i="123"/>
  <c r="P274" i="112"/>
  <c r="O332" i="112"/>
  <c r="P332" i="112"/>
  <c r="P1526" i="123" s="1"/>
  <c r="P89" i="112"/>
  <c r="P1283" i="123" s="1"/>
  <c r="P1286" i="123"/>
  <c r="O1286" i="123"/>
  <c r="O1283" i="123"/>
  <c r="Q695" i="123"/>
  <c r="O697" i="123" s="1"/>
  <c r="B760" i="123"/>
  <c r="H784" i="123"/>
  <c r="L29" i="110"/>
  <c r="M29" i="110" s="1"/>
  <c r="F123" i="111"/>
  <c r="C93" i="111"/>
  <c r="S147" i="107"/>
  <c r="AD126" i="107"/>
  <c r="G43" i="107"/>
  <c r="G147" i="107"/>
  <c r="V147" i="107"/>
  <c r="C135" i="90"/>
  <c r="E38" i="107"/>
  <c r="J147" i="107"/>
  <c r="J163" i="107" s="1"/>
  <c r="F122" i="107"/>
  <c r="E40" i="107"/>
  <c r="C29" i="111"/>
  <c r="E29" i="111"/>
  <c r="D64" i="111"/>
  <c r="C64" i="111"/>
  <c r="E64" i="111"/>
  <c r="D29" i="111"/>
  <c r="H60" i="111"/>
  <c r="I60" i="111"/>
  <c r="K92" i="111"/>
  <c r="B64" i="111"/>
  <c r="B93" i="111"/>
  <c r="E58" i="111"/>
  <c r="E59" i="111" s="1"/>
  <c r="B92" i="111"/>
  <c r="B122" i="111"/>
  <c r="K26" i="111"/>
  <c r="E28" i="111"/>
  <c r="I29" i="111"/>
  <c r="I767" i="123" s="1"/>
  <c r="I775" i="123" s="1"/>
  <c r="F58" i="111"/>
  <c r="F59" i="111" s="1"/>
  <c r="D61" i="111"/>
  <c r="I90" i="111"/>
  <c r="I91" i="111" s="1"/>
  <c r="C92" i="111"/>
  <c r="C830" i="123" s="1"/>
  <c r="C837" i="123" s="1"/>
  <c r="G93" i="111"/>
  <c r="C122" i="111"/>
  <c r="J26" i="111"/>
  <c r="D28" i="111"/>
  <c r="H29" i="111"/>
  <c r="C61" i="111"/>
  <c r="F93" i="111"/>
  <c r="B27" i="111"/>
  <c r="F28" i="111"/>
  <c r="J29" i="111"/>
  <c r="G58" i="111"/>
  <c r="G59" i="111" s="1"/>
  <c r="E61" i="111"/>
  <c r="J90" i="111"/>
  <c r="J91" i="111" s="1"/>
  <c r="D92" i="111"/>
  <c r="H93" i="111"/>
  <c r="H831" i="123" s="1"/>
  <c r="H838" i="123" s="1"/>
  <c r="D122" i="111"/>
  <c r="E26" i="111"/>
  <c r="E32" i="111" s="1"/>
  <c r="C90" i="111"/>
  <c r="C91" i="111" s="1"/>
  <c r="F26" i="111"/>
  <c r="F32" i="111" s="1"/>
  <c r="D90" i="111"/>
  <c r="D91" i="111" s="1"/>
  <c r="G26" i="111"/>
  <c r="G32" i="111" s="1"/>
  <c r="B58" i="111"/>
  <c r="J60" i="111"/>
  <c r="E90" i="111"/>
  <c r="E91" i="111" s="1"/>
  <c r="H26" i="111"/>
  <c r="H32" i="111" s="1"/>
  <c r="B28" i="111"/>
  <c r="F29" i="111"/>
  <c r="C58" i="111"/>
  <c r="C59" i="111" s="1"/>
  <c r="K60" i="111"/>
  <c r="F90" i="111"/>
  <c r="F91" i="111" s="1"/>
  <c r="D93" i="111"/>
  <c r="D831" i="123" s="1"/>
  <c r="D838" i="123" s="1"/>
  <c r="C28" i="111"/>
  <c r="K32" i="111"/>
  <c r="D58" i="111"/>
  <c r="D59" i="111" s="1"/>
  <c r="B61" i="111"/>
  <c r="F64" i="111"/>
  <c r="G90" i="111"/>
  <c r="G91" i="111" s="1"/>
  <c r="E93" i="111"/>
  <c r="H90" i="111"/>
  <c r="H91" i="111" s="1"/>
  <c r="C27" i="111"/>
  <c r="G28" i="111"/>
  <c r="K29" i="111"/>
  <c r="H58" i="111"/>
  <c r="H59" i="111" s="1"/>
  <c r="B60" i="111"/>
  <c r="F61" i="111"/>
  <c r="F799" i="123" s="1"/>
  <c r="F807" i="123" s="1"/>
  <c r="K90" i="111"/>
  <c r="K91" i="111" s="1"/>
  <c r="E92" i="111"/>
  <c r="I93" i="111"/>
  <c r="E122" i="111"/>
  <c r="J178" i="107"/>
  <c r="D27" i="111"/>
  <c r="H28" i="111"/>
  <c r="I58" i="111"/>
  <c r="I59" i="111" s="1"/>
  <c r="C60" i="111"/>
  <c r="G61" i="111"/>
  <c r="F92" i="111"/>
  <c r="J93" i="111"/>
  <c r="B120" i="111"/>
  <c r="B121" i="111" s="1"/>
  <c r="F122" i="111"/>
  <c r="E27" i="111"/>
  <c r="I28" i="111"/>
  <c r="J58" i="111"/>
  <c r="J59" i="111" s="1"/>
  <c r="D60" i="111"/>
  <c r="H61" i="111"/>
  <c r="G92" i="111"/>
  <c r="K93" i="111"/>
  <c r="C120" i="111"/>
  <c r="C121" i="111" s="1"/>
  <c r="B123" i="111"/>
  <c r="G29" i="111"/>
  <c r="G767" i="123" s="1"/>
  <c r="G775" i="123" s="1"/>
  <c r="B26" i="111"/>
  <c r="J28" i="111"/>
  <c r="K58" i="111"/>
  <c r="K59" i="111" s="1"/>
  <c r="E60" i="111"/>
  <c r="E798" i="123" s="1"/>
  <c r="E806" i="123" s="1"/>
  <c r="I61" i="111"/>
  <c r="H92" i="111"/>
  <c r="D120" i="111"/>
  <c r="D121" i="111" s="1"/>
  <c r="C123" i="111"/>
  <c r="C26" i="111"/>
  <c r="K28" i="111"/>
  <c r="F60" i="111"/>
  <c r="J61" i="111"/>
  <c r="I92" i="111"/>
  <c r="E120" i="111"/>
  <c r="D123" i="111"/>
  <c r="I26" i="111"/>
  <c r="D26" i="111"/>
  <c r="D32" i="111" s="1"/>
  <c r="B29" i="111"/>
  <c r="G60" i="111"/>
  <c r="K61" i="111"/>
  <c r="B90" i="111"/>
  <c r="B91" i="111" s="1"/>
  <c r="J92" i="111"/>
  <c r="F120" i="111"/>
  <c r="E123" i="11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D769" i="123"/>
  <c r="C53" i="82"/>
  <c r="E12" i="86"/>
  <c r="D52" i="86"/>
  <c r="E52" i="86"/>
  <c r="G12" i="86"/>
  <c r="F52" i="86"/>
  <c r="H12" i="86"/>
  <c r="G52" i="86"/>
  <c r="F12" i="86"/>
  <c r="I12" i="86"/>
  <c r="H52" i="86"/>
  <c r="D32" i="86"/>
  <c r="E32" i="86"/>
  <c r="F32" i="86"/>
  <c r="G32" i="86"/>
  <c r="H32" i="86"/>
  <c r="I32" i="86"/>
  <c r="C32" i="86"/>
  <c r="B53" i="82"/>
  <c r="D12" i="86"/>
  <c r="C12" i="86"/>
  <c r="C52" i="86"/>
  <c r="K44" i="87"/>
  <c r="O117" i="112"/>
  <c r="O1311" i="123" s="1"/>
  <c r="AZ438" i="112"/>
  <c r="K144" i="112"/>
  <c r="O27" i="112"/>
  <c r="O1221" i="123" s="1"/>
  <c r="Q1221" i="123" s="1"/>
  <c r="AW434" i="112"/>
  <c r="I60" i="115"/>
  <c r="I63" i="115"/>
  <c r="I62" i="115"/>
  <c r="J251" i="112"/>
  <c r="O143" i="112"/>
  <c r="O1337" i="123" s="1"/>
  <c r="R160" i="112"/>
  <c r="R169" i="112"/>
  <c r="P37" i="112"/>
  <c r="K378" i="112"/>
  <c r="L37" i="112"/>
  <c r="Q44" i="112"/>
  <c r="L378" i="112"/>
  <c r="AW433" i="112"/>
  <c r="AZ434"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AV436" i="112"/>
  <c r="O100" i="112"/>
  <c r="O1294" i="123" s="1"/>
  <c r="AX432" i="112"/>
  <c r="AW432" i="112"/>
  <c r="AV432" i="112"/>
  <c r="BA436" i="112"/>
  <c r="AZ436" i="112"/>
  <c r="AJ457" i="112"/>
  <c r="L265" i="112"/>
  <c r="AW438" i="112"/>
  <c r="AV438" i="112"/>
  <c r="P351" i="112"/>
  <c r="P1545" i="123" s="1"/>
  <c r="O340" i="112"/>
  <c r="S190" i="112"/>
  <c r="E12" i="112"/>
  <c r="G274" i="112"/>
  <c r="O351" i="112"/>
  <c r="O1545" i="123" s="1"/>
  <c r="O1526" i="123"/>
  <c r="R1526" i="123" s="1"/>
  <c r="K286" i="112"/>
  <c r="R141" i="112"/>
  <c r="O78" i="112"/>
  <c r="O1272" i="123" s="1"/>
  <c r="P100" i="112"/>
  <c r="P143" i="112"/>
  <c r="P1337" i="123" s="1"/>
  <c r="BB432" i="112"/>
  <c r="BA432" i="112"/>
  <c r="AZ432" i="112"/>
  <c r="AJ458" i="112"/>
  <c r="AZ437" i="112"/>
  <c r="BA437" i="112"/>
  <c r="AI457" i="112"/>
  <c r="AJ450" i="112"/>
  <c r="AY432" i="112"/>
  <c r="AI459" i="112"/>
  <c r="K379" i="112"/>
  <c r="K1573" i="123" s="1"/>
  <c r="AV434"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37" i="107" s="1"/>
  <c r="F124" i="107"/>
  <c r="O238" i="112" l="1"/>
  <c r="J51" i="115"/>
  <c r="D130" i="111"/>
  <c r="D861" i="123"/>
  <c r="D868" i="123" s="1"/>
  <c r="B130" i="111"/>
  <c r="B861" i="123"/>
  <c r="H36" i="111"/>
  <c r="H766" i="123"/>
  <c r="H774" i="123" s="1"/>
  <c r="B68" i="111"/>
  <c r="B798" i="123"/>
  <c r="B806" i="123" s="1"/>
  <c r="J68" i="111"/>
  <c r="J798" i="123"/>
  <c r="J806" i="123" s="1"/>
  <c r="D129" i="111"/>
  <c r="D860" i="123"/>
  <c r="D867" i="123" s="1"/>
  <c r="B99" i="111"/>
  <c r="B830" i="123"/>
  <c r="B837" i="123" s="1"/>
  <c r="J99" i="111"/>
  <c r="J830" i="123"/>
  <c r="J837" i="123" s="1"/>
  <c r="H99" i="111"/>
  <c r="H830" i="123"/>
  <c r="H837" i="123" s="1"/>
  <c r="F129" i="111"/>
  <c r="F860" i="123"/>
  <c r="F867" i="123" s="1"/>
  <c r="K68" i="111"/>
  <c r="K798" i="123"/>
  <c r="K806" i="123" s="1"/>
  <c r="F100" i="111"/>
  <c r="F831" i="123"/>
  <c r="F838" i="123" s="1"/>
  <c r="I99" i="111"/>
  <c r="I830" i="123"/>
  <c r="I837" i="123" s="1"/>
  <c r="I69" i="111"/>
  <c r="I799" i="123"/>
  <c r="I807" i="123" s="1"/>
  <c r="K39" i="87"/>
  <c r="K831" i="123"/>
  <c r="K838" i="123" s="1"/>
  <c r="K37" i="111"/>
  <c r="K767" i="123"/>
  <c r="K775" i="123" s="1"/>
  <c r="B69" i="111"/>
  <c r="B799" i="123"/>
  <c r="B807" i="123" s="1"/>
  <c r="D99" i="111"/>
  <c r="D830" i="123"/>
  <c r="D837" i="123" s="1"/>
  <c r="C69" i="111"/>
  <c r="C799" i="123"/>
  <c r="C807" i="123" s="1"/>
  <c r="D69" i="111"/>
  <c r="D799" i="123"/>
  <c r="D807" i="123" s="1"/>
  <c r="B100" i="111"/>
  <c r="B831" i="123"/>
  <c r="B838" i="123" s="1"/>
  <c r="C100" i="111"/>
  <c r="C831" i="123"/>
  <c r="C838" i="123" s="1"/>
  <c r="K69" i="111"/>
  <c r="K799" i="123"/>
  <c r="K807" i="123" s="1"/>
  <c r="J69" i="111"/>
  <c r="J799" i="123"/>
  <c r="J807" i="123" s="1"/>
  <c r="G99" i="111"/>
  <c r="G830" i="123"/>
  <c r="G837" i="123" s="1"/>
  <c r="J100" i="111"/>
  <c r="J831" i="123"/>
  <c r="J838" i="123" s="1"/>
  <c r="E129" i="111"/>
  <c r="E860" i="123"/>
  <c r="E867" i="123" s="1"/>
  <c r="G36" i="111"/>
  <c r="G766" i="123"/>
  <c r="G774" i="123" s="1"/>
  <c r="F37" i="111"/>
  <c r="F767" i="123"/>
  <c r="F775" i="123" s="1"/>
  <c r="K16" i="87"/>
  <c r="H767" i="123"/>
  <c r="H775" i="123" s="1"/>
  <c r="E37" i="111"/>
  <c r="E767" i="123"/>
  <c r="E775" i="123" s="1"/>
  <c r="F130" i="111"/>
  <c r="F861" i="123"/>
  <c r="F868" i="123" s="1"/>
  <c r="F22" i="111"/>
  <c r="F760" i="123" s="1"/>
  <c r="F24" i="111"/>
  <c r="F762" i="123" s="1"/>
  <c r="G68" i="111"/>
  <c r="G798" i="123"/>
  <c r="G806" i="123" s="1"/>
  <c r="F68" i="111"/>
  <c r="F798" i="123"/>
  <c r="F806" i="123" s="1"/>
  <c r="H69" i="111"/>
  <c r="H799" i="123"/>
  <c r="H807" i="123" s="1"/>
  <c r="F99" i="111"/>
  <c r="F830" i="123"/>
  <c r="F837" i="123" s="1"/>
  <c r="K37" i="87"/>
  <c r="I831" i="123"/>
  <c r="I838" i="123" s="1"/>
  <c r="B36" i="111"/>
  <c r="B766" i="123"/>
  <c r="B774" i="123" s="1"/>
  <c r="E69" i="111"/>
  <c r="E799" i="123"/>
  <c r="E807" i="123" s="1"/>
  <c r="D36" i="111"/>
  <c r="D766" i="123"/>
  <c r="D774" i="123" s="1"/>
  <c r="K99" i="111"/>
  <c r="K830" i="123"/>
  <c r="K837" i="123" s="1"/>
  <c r="C37" i="111"/>
  <c r="C767" i="123"/>
  <c r="C775" i="123" s="1"/>
  <c r="B37" i="111"/>
  <c r="B767" i="123"/>
  <c r="B775" i="123" s="1"/>
  <c r="K36" i="111"/>
  <c r="K766" i="123"/>
  <c r="K774" i="123" s="1"/>
  <c r="J36" i="111"/>
  <c r="J766" i="123"/>
  <c r="J774" i="123" s="1"/>
  <c r="D68" i="111"/>
  <c r="D798" i="123"/>
  <c r="D806" i="123" s="1"/>
  <c r="K25" i="87"/>
  <c r="G799" i="123"/>
  <c r="G807" i="123" s="1"/>
  <c r="E99" i="111"/>
  <c r="E830" i="123"/>
  <c r="E837" i="123" s="1"/>
  <c r="C36" i="111"/>
  <c r="C766" i="123"/>
  <c r="C774" i="123" s="1"/>
  <c r="E36" i="111"/>
  <c r="E766" i="123"/>
  <c r="E774" i="123" s="1"/>
  <c r="I68" i="111"/>
  <c r="I798" i="123"/>
  <c r="I806" i="123" s="1"/>
  <c r="C68" i="111"/>
  <c r="C798" i="123"/>
  <c r="C806" i="123" s="1"/>
  <c r="J37" i="111"/>
  <c r="J767" i="123"/>
  <c r="J775" i="123" s="1"/>
  <c r="C129" i="111"/>
  <c r="C860" i="123"/>
  <c r="C867" i="123" s="1"/>
  <c r="H68" i="111"/>
  <c r="H798" i="123"/>
  <c r="H806" i="123" s="1"/>
  <c r="E130" i="111"/>
  <c r="E861" i="123"/>
  <c r="E868" i="123" s="1"/>
  <c r="C130" i="111"/>
  <c r="C861" i="123"/>
  <c r="C868" i="123" s="1"/>
  <c r="I36" i="111"/>
  <c r="I766" i="123"/>
  <c r="I774" i="123" s="1"/>
  <c r="E100" i="111"/>
  <c r="E831" i="123"/>
  <c r="E838" i="123" s="1"/>
  <c r="F36" i="111"/>
  <c r="F766" i="123"/>
  <c r="F774" i="123" s="1"/>
  <c r="K35" i="87"/>
  <c r="G831" i="123"/>
  <c r="G838" i="123" s="1"/>
  <c r="B129" i="111"/>
  <c r="B860" i="123"/>
  <c r="B867" i="123" s="1"/>
  <c r="D37" i="111"/>
  <c r="D767" i="123"/>
  <c r="D775" i="123" s="1"/>
  <c r="E24" i="111"/>
  <c r="E762" i="123" s="1"/>
  <c r="E22" i="111"/>
  <c r="E760" i="123" s="1"/>
  <c r="Q703" i="123"/>
  <c r="P704" i="123" s="1"/>
  <c r="O696" i="123"/>
  <c r="K48" i="115"/>
  <c r="J50" i="115"/>
  <c r="K50" i="115" s="1"/>
  <c r="J49" i="115"/>
  <c r="K49" i="115" s="1"/>
  <c r="J47" i="115"/>
  <c r="I63" i="106"/>
  <c r="I107" i="123"/>
  <c r="D35" i="111"/>
  <c r="D765" i="123"/>
  <c r="D773" i="123" s="1"/>
  <c r="F34" i="86"/>
  <c r="B802" i="123"/>
  <c r="H770" i="123"/>
  <c r="F802" i="123"/>
  <c r="H14" i="86"/>
  <c r="G770" i="123"/>
  <c r="B35" i="111"/>
  <c r="B765" i="123"/>
  <c r="B773" i="123" s="1"/>
  <c r="B41" i="111"/>
  <c r="C41" i="111" s="1"/>
  <c r="D41" i="111" s="1"/>
  <c r="E41" i="111" s="1"/>
  <c r="E11" i="87"/>
  <c r="C765" i="123"/>
  <c r="C773" i="123" s="1"/>
  <c r="J770" i="123"/>
  <c r="I34" i="86"/>
  <c r="E802" i="123"/>
  <c r="G14" i="86"/>
  <c r="F770" i="123"/>
  <c r="E35" i="111"/>
  <c r="E765" i="123"/>
  <c r="E773" i="123" s="1"/>
  <c r="K770" i="123"/>
  <c r="G34" i="86"/>
  <c r="C802" i="123"/>
  <c r="I770" i="123"/>
  <c r="H34" i="86"/>
  <c r="D802" i="123"/>
  <c r="B858" i="123"/>
  <c r="C828" i="123"/>
  <c r="G796" i="123"/>
  <c r="J764" i="123"/>
  <c r="F858" i="123"/>
  <c r="D858" i="123"/>
  <c r="H796" i="123"/>
  <c r="G828" i="123"/>
  <c r="H764" i="123"/>
  <c r="G764" i="123"/>
  <c r="E764" i="123"/>
  <c r="B10" i="87"/>
  <c r="B764" i="123"/>
  <c r="B40" i="111"/>
  <c r="K764" i="123"/>
  <c r="B12" i="87"/>
  <c r="D764" i="123"/>
  <c r="J796" i="123"/>
  <c r="F828" i="123"/>
  <c r="B30" i="87"/>
  <c r="B828" i="123"/>
  <c r="I764" i="123"/>
  <c r="E828" i="123"/>
  <c r="D828" i="123"/>
  <c r="I828" i="123"/>
  <c r="C858" i="123"/>
  <c r="H828" i="123"/>
  <c r="B22" i="87"/>
  <c r="D796" i="123"/>
  <c r="J828" i="123"/>
  <c r="E858" i="123"/>
  <c r="B29" i="87"/>
  <c r="K796" i="123"/>
  <c r="I796" i="123"/>
  <c r="K828" i="123"/>
  <c r="C796" i="123"/>
  <c r="E796" i="123"/>
  <c r="C764" i="123"/>
  <c r="B796" i="123"/>
  <c r="F764" i="123"/>
  <c r="F796" i="123"/>
  <c r="N28" i="123"/>
  <c r="Q705" i="123"/>
  <c r="P457" i="123"/>
  <c r="O28" i="123"/>
  <c r="G1468" i="123"/>
  <c r="O274" i="112"/>
  <c r="P1579" i="123"/>
  <c r="P369" i="112"/>
  <c r="BB447" i="112" s="1"/>
  <c r="O1579" i="123"/>
  <c r="K1579" i="123" s="1"/>
  <c r="K1572" i="123"/>
  <c r="A594" i="123"/>
  <c r="O1534" i="123"/>
  <c r="R1534" i="123" s="1"/>
  <c r="I784" i="123"/>
  <c r="K31" i="87"/>
  <c r="K13" i="87"/>
  <c r="E41" i="107"/>
  <c r="G37" i="107" s="1"/>
  <c r="AD124" i="107"/>
  <c r="H39" i="87"/>
  <c r="K11" i="87"/>
  <c r="B37" i="87"/>
  <c r="K26" i="87"/>
  <c r="B36" i="87"/>
  <c r="H37" i="87"/>
  <c r="B34" i="87"/>
  <c r="B15" i="87"/>
  <c r="C35" i="111"/>
  <c r="C99" i="111"/>
  <c r="H31" i="87"/>
  <c r="G69" i="111"/>
  <c r="B25" i="87"/>
  <c r="K19" i="87"/>
  <c r="K100" i="111"/>
  <c r="K27" i="87"/>
  <c r="H100" i="111"/>
  <c r="H28" i="87"/>
  <c r="G100" i="111"/>
  <c r="B18" i="87"/>
  <c r="J46" i="115"/>
  <c r="K46" i="115" s="1"/>
  <c r="J45" i="115"/>
  <c r="K45" i="115" s="1"/>
  <c r="J165" i="107"/>
  <c r="J167" i="107" s="1"/>
  <c r="E3" i="86"/>
  <c r="J43" i="115"/>
  <c r="K43" i="115" s="1"/>
  <c r="J44" i="115"/>
  <c r="K44" i="115" s="1"/>
  <c r="J42" i="115"/>
  <c r="J41" i="115"/>
  <c r="K41" i="115" s="1"/>
  <c r="J40" i="115"/>
  <c r="K40" i="115" s="1"/>
  <c r="J38" i="115"/>
  <c r="J177" i="107"/>
  <c r="J179" i="107" s="1"/>
  <c r="J181" i="107" s="1"/>
  <c r="B4" i="82"/>
  <c r="C18" i="100"/>
  <c r="J39" i="115"/>
  <c r="K39" i="115" s="1"/>
  <c r="J37" i="115"/>
  <c r="K37" i="115" s="1"/>
  <c r="J36" i="115"/>
  <c r="K36" i="115" s="1"/>
  <c r="J35" i="115"/>
  <c r="K35" i="115" s="1"/>
  <c r="J34" i="115"/>
  <c r="K34" i="115" s="1"/>
  <c r="J33" i="115"/>
  <c r="K33" i="115" s="1"/>
  <c r="K52" i="115" s="1"/>
  <c r="K54" i="115" s="1"/>
  <c r="K68" i="115" s="1"/>
  <c r="K70" i="115" s="1"/>
  <c r="H26" i="87"/>
  <c r="H42" i="87"/>
  <c r="H30" i="87"/>
  <c r="K30" i="87"/>
  <c r="B33" i="87"/>
  <c r="I14" i="86"/>
  <c r="K12" i="87"/>
  <c r="B24" i="87"/>
  <c r="H37" i="111"/>
  <c r="H34" i="87"/>
  <c r="H32" i="87"/>
  <c r="K23" i="87"/>
  <c r="K41" i="87"/>
  <c r="H36" i="87"/>
  <c r="B38" i="87"/>
  <c r="B23" i="87"/>
  <c r="B17" i="87"/>
  <c r="H11" i="87"/>
  <c r="K34" i="87"/>
  <c r="B20" i="87"/>
  <c r="K42" i="87"/>
  <c r="B35" i="87"/>
  <c r="H17" i="87"/>
  <c r="K21" i="87"/>
  <c r="B43" i="87"/>
  <c r="B39" i="87"/>
  <c r="B19" i="87"/>
  <c r="K14" i="87"/>
  <c r="K40" i="87"/>
  <c r="K15" i="87"/>
  <c r="K29" i="87"/>
  <c r="H13" i="87"/>
  <c r="H40" i="87"/>
  <c r="F69" i="111"/>
  <c r="H33" i="87"/>
  <c r="B13" i="87"/>
  <c r="B16" i="87"/>
  <c r="H44" i="87"/>
  <c r="E45" i="82"/>
  <c r="B11" i="87"/>
  <c r="C76" i="100"/>
  <c r="K10" i="87"/>
  <c r="C45" i="82"/>
  <c r="H12" i="87"/>
  <c r="H24" i="87"/>
  <c r="H10" i="87"/>
  <c r="B41" i="87"/>
  <c r="I37" i="111"/>
  <c r="E13" i="87"/>
  <c r="C54" i="86"/>
  <c r="K36" i="87"/>
  <c r="K20" i="87"/>
  <c r="B21" i="87"/>
  <c r="H18" i="87"/>
  <c r="K33" i="87"/>
  <c r="H27" i="87"/>
  <c r="H23" i="87"/>
  <c r="E68" i="111"/>
  <c r="B14" i="87"/>
  <c r="B44" i="87"/>
  <c r="K24" i="87"/>
  <c r="B45" i="82"/>
  <c r="B40" i="87"/>
  <c r="I100" i="111"/>
  <c r="H19" i="87"/>
  <c r="H38" i="87"/>
  <c r="K18" i="87"/>
  <c r="H20" i="87"/>
  <c r="B31" i="87"/>
  <c r="B28" i="87"/>
  <c r="K38" i="87"/>
  <c r="H43" i="87"/>
  <c r="E10" i="87"/>
  <c r="B32" i="87"/>
  <c r="E12" i="87"/>
  <c r="G37" i="111"/>
  <c r="D45" i="82"/>
  <c r="H14" i="87"/>
  <c r="K28" i="87"/>
  <c r="B26" i="87"/>
  <c r="D100" i="111"/>
  <c r="C34" i="86"/>
  <c r="E34" i="86"/>
  <c r="D34" i="86"/>
  <c r="K17" i="87"/>
  <c r="K22" i="87"/>
  <c r="B27" i="87"/>
  <c r="H21" i="87"/>
  <c r="B42" i="87"/>
  <c r="H35" i="87"/>
  <c r="K43" i="87"/>
  <c r="H15" i="87"/>
  <c r="H41" i="87"/>
  <c r="H29" i="87"/>
  <c r="K32" i="87"/>
  <c r="H25" i="87"/>
  <c r="H22" i="87"/>
  <c r="R117" i="111"/>
  <c r="S117" i="111" s="1"/>
  <c r="H16" i="87"/>
  <c r="P4" i="110"/>
  <c r="K64" i="115"/>
  <c r="K69" i="115" s="1"/>
  <c r="K51" i="115"/>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58" i="110"/>
  <c r="M59" i="110" s="1"/>
  <c r="M176" i="110"/>
  <c r="L170" i="110"/>
  <c r="K133" i="110"/>
  <c r="O175" i="110"/>
  <c r="M139" i="110"/>
  <c r="E769" i="123"/>
  <c r="D53" i="82"/>
  <c r="AY430" i="112"/>
  <c r="M133" i="110"/>
  <c r="P103" i="110"/>
  <c r="O139" i="110"/>
  <c r="O136" i="110"/>
  <c r="P185" i="110"/>
  <c r="P65" i="110"/>
  <c r="J25" i="95" s="1"/>
  <c r="N109" i="110"/>
  <c r="P180" i="110"/>
  <c r="P117" i="110"/>
  <c r="N139" i="110"/>
  <c r="N136" i="110"/>
  <c r="P132" i="110"/>
  <c r="M169" i="110"/>
  <c r="Q27"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Q250" i="110"/>
  <c r="K38" i="115"/>
  <c r="K47" i="115"/>
  <c r="K42" i="115"/>
  <c r="AV443" i="112"/>
  <c r="R332" i="112"/>
  <c r="AX429" i="112"/>
  <c r="AW429" i="112"/>
  <c r="AV429" i="112"/>
  <c r="AY429" i="112"/>
  <c r="BB429" i="112"/>
  <c r="AZ429" i="112"/>
  <c r="BA429" i="112"/>
  <c r="BC429" i="112"/>
  <c r="O1468" i="123"/>
  <c r="E1468" i="123" s="1"/>
  <c r="P1468" i="123"/>
  <c r="AV444" i="112"/>
  <c r="R340" i="112"/>
  <c r="AV445" i="112"/>
  <c r="AX445"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O1432" i="123" l="1"/>
  <c r="AW437" i="112"/>
  <c r="L238" i="112"/>
  <c r="D12" i="112"/>
  <c r="AI458" i="112"/>
  <c r="N228" i="112"/>
  <c r="AV437" i="112"/>
  <c r="J304" i="112"/>
  <c r="J308" i="112"/>
  <c r="J1502" i="123" s="1"/>
  <c r="G24" i="111"/>
  <c r="G762" i="123" s="1"/>
  <c r="G22" i="111"/>
  <c r="G760" i="123" s="1"/>
  <c r="R855" i="123"/>
  <c r="S855" i="123" s="1"/>
  <c r="B868" i="123"/>
  <c r="Q187" i="110"/>
  <c r="B15" i="82"/>
  <c r="J184" i="107"/>
  <c r="AD224" i="123"/>
  <c r="AF224" i="123" s="1"/>
  <c r="L80" i="123"/>
  <c r="L81" i="123" s="1"/>
  <c r="L37" i="106"/>
  <c r="P98" i="123"/>
  <c r="P97" i="123"/>
  <c r="I108" i="123"/>
  <c r="P54" i="106"/>
  <c r="P53" i="106"/>
  <c r="I64" i="106"/>
  <c r="P49" i="106" s="1"/>
  <c r="P93" i="123" s="1"/>
  <c r="E779" i="123"/>
  <c r="D779" i="123"/>
  <c r="F11" i="86"/>
  <c r="C779" i="123"/>
  <c r="E11" i="86"/>
  <c r="B779" i="123"/>
  <c r="C11" i="86"/>
  <c r="D11" i="86"/>
  <c r="B778" i="123"/>
  <c r="C10" i="86"/>
  <c r="C40" i="111"/>
  <c r="P1563" i="123"/>
  <c r="BC447" i="112"/>
  <c r="BA431" i="112"/>
  <c r="P1335" i="123"/>
  <c r="AY431" i="112"/>
  <c r="O1335" i="123"/>
  <c r="J307" i="112"/>
  <c r="J1501" i="123" s="1"/>
  <c r="O207" i="112"/>
  <c r="AD228" i="123"/>
  <c r="J784" i="123"/>
  <c r="AD223" i="123"/>
  <c r="AF223" i="123" s="1"/>
  <c r="AF225" i="123" s="1"/>
  <c r="B15" i="111"/>
  <c r="AF228" i="123"/>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769" i="123"/>
  <c r="E53" i="8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H14" i="111"/>
  <c r="Q185" i="110"/>
  <c r="P175" i="110"/>
  <c r="K74" i="110"/>
  <c r="P72" i="110"/>
  <c r="Q182" i="110"/>
  <c r="K188" i="110"/>
  <c r="P186" i="110"/>
  <c r="Q181" i="110"/>
  <c r="P143" i="110"/>
  <c r="P150" i="110"/>
  <c r="AD227" i="123" s="1"/>
  <c r="AF227" i="123" s="1"/>
  <c r="P173" i="110"/>
  <c r="P120" i="110"/>
  <c r="P176" i="110"/>
  <c r="A10" i="112" l="1"/>
  <c r="AI450" i="112"/>
  <c r="AH450" i="112"/>
  <c r="L1432" i="123"/>
  <c r="O1433" i="123"/>
  <c r="H24" i="111"/>
  <c r="H762" i="123" s="1"/>
  <c r="H22" i="111"/>
  <c r="H760" i="123" s="1"/>
  <c r="P201" i="110"/>
  <c r="P55" i="106"/>
  <c r="P99" i="123"/>
  <c r="C778" i="123"/>
  <c r="D40" i="111"/>
  <c r="D10" i="86"/>
  <c r="G21" i="111"/>
  <c r="B759" i="123"/>
  <c r="C52" i="100"/>
  <c r="B753" i="123"/>
  <c r="AD225" i="123"/>
  <c r="F21" i="111"/>
  <c r="G15" i="111"/>
  <c r="G753" i="123" s="1"/>
  <c r="D21" i="111"/>
  <c r="E21" i="111"/>
  <c r="C21" i="111"/>
  <c r="D15" i="111"/>
  <c r="D753" i="123" s="1"/>
  <c r="F15" i="111"/>
  <c r="F753" i="123" s="1"/>
  <c r="K784" i="123"/>
  <c r="E15" i="111"/>
  <c r="E753" i="123" s="1"/>
  <c r="C15" i="111"/>
  <c r="C753" i="123" s="1"/>
  <c r="AD229" i="123"/>
  <c r="AF229" i="123"/>
  <c r="E223" i="123" s="1"/>
  <c r="I223" i="123" s="1"/>
  <c r="B16" i="111"/>
  <c r="B754" i="123" s="1"/>
  <c r="P311" i="112"/>
  <c r="P1505" i="123" s="1"/>
  <c r="O311" i="112"/>
  <c r="O1505" i="123" s="1"/>
  <c r="L1505" i="123" s="1"/>
  <c r="BB450" i="112"/>
  <c r="P408" i="112" s="1"/>
  <c r="P1602" i="123" s="1"/>
  <c r="P1200" i="123" s="1"/>
  <c r="BC450" i="112"/>
  <c r="BA450" i="112"/>
  <c r="AZ440" i="112"/>
  <c r="K382" i="112"/>
  <c r="J311" i="112"/>
  <c r="J1505" i="123" s="1"/>
  <c r="AW450" i="112"/>
  <c r="L382" i="112"/>
  <c r="L381" i="112" s="1"/>
  <c r="M85" i="110"/>
  <c r="G769" i="123"/>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21" i="111"/>
  <c r="H15" i="111"/>
  <c r="H753" i="123" s="1"/>
  <c r="K190" i="110"/>
  <c r="P190" i="110" s="1"/>
  <c r="P188" i="110"/>
  <c r="P265" i="110"/>
  <c r="K76" i="110"/>
  <c r="P74" i="110"/>
  <c r="I24" i="111" l="1"/>
  <c r="I762" i="123" s="1"/>
  <c r="I22" i="111"/>
  <c r="I760" i="123" s="1"/>
  <c r="F759" i="123"/>
  <c r="C759" i="123"/>
  <c r="G759" i="123"/>
  <c r="H759" i="123"/>
  <c r="D759" i="123"/>
  <c r="E759" i="123"/>
  <c r="Q710" i="123"/>
  <c r="R710" i="123"/>
  <c r="Q722" i="123"/>
  <c r="D778" i="123"/>
  <c r="E40" i="111"/>
  <c r="E10" i="86"/>
  <c r="P282" i="123"/>
  <c r="P283" i="123" s="1"/>
  <c r="P285" i="123" s="1"/>
  <c r="M282" i="123"/>
  <c r="M283" i="123" s="1"/>
  <c r="M285" i="123" s="1"/>
  <c r="J282" i="123"/>
  <c r="J283" i="123" s="1"/>
  <c r="J285" i="123" s="1"/>
  <c r="B816" i="123"/>
  <c r="K1341" i="123"/>
  <c r="F162" i="123"/>
  <c r="F171" i="123"/>
  <c r="F163" i="123"/>
  <c r="F172" i="123"/>
  <c r="K197" i="110"/>
  <c r="J163" i="123"/>
  <c r="J172" i="123"/>
  <c r="B17" i="111"/>
  <c r="B39" i="111" s="1"/>
  <c r="D16" i="111"/>
  <c r="C53" i="100"/>
  <c r="G16" i="111"/>
  <c r="H16" i="111"/>
  <c r="H754" i="123" s="1"/>
  <c r="F16" i="111"/>
  <c r="F754" i="123" s="1"/>
  <c r="C16" i="111"/>
  <c r="E16" i="111"/>
  <c r="E754" i="123" s="1"/>
  <c r="P6" i="112"/>
  <c r="P304" i="112"/>
  <c r="P1498" i="123" s="1"/>
  <c r="O304" i="112"/>
  <c r="O1498" i="123" s="1"/>
  <c r="K1498" i="123" s="1"/>
  <c r="L311" i="112"/>
  <c r="K381" i="112"/>
  <c r="O376" i="112" s="1"/>
  <c r="H769" i="123"/>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753" i="123" s="1"/>
  <c r="I21" i="111"/>
  <c r="I16" i="111"/>
  <c r="I754" i="123" s="1"/>
  <c r="Q257" i="110"/>
  <c r="R257" i="110"/>
  <c r="Q269" i="110"/>
  <c r="P76" i="110"/>
  <c r="K192" i="110"/>
  <c r="K94" i="110"/>
  <c r="K82" i="110"/>
  <c r="K91" i="110"/>
  <c r="K79" i="110"/>
  <c r="K85" i="110"/>
  <c r="K88" i="110"/>
  <c r="K97" i="110"/>
  <c r="J24" i="111" l="1"/>
  <c r="J762" i="123" s="1"/>
  <c r="J22" i="111"/>
  <c r="J760" i="123" s="1"/>
  <c r="I759" i="123"/>
  <c r="J133" i="110"/>
  <c r="J139" i="110"/>
  <c r="J136" i="110"/>
  <c r="Q252" i="110"/>
  <c r="E778" i="123"/>
  <c r="F40" i="111"/>
  <c r="F10" i="86"/>
  <c r="O1570" i="123"/>
  <c r="K1570" i="123" s="1"/>
  <c r="O369" i="112"/>
  <c r="K376" i="112"/>
  <c r="C17" i="111"/>
  <c r="C754" i="123"/>
  <c r="G17" i="111"/>
  <c r="G755" i="123" s="1"/>
  <c r="G754" i="123"/>
  <c r="D17" i="111"/>
  <c r="D755" i="123" s="1"/>
  <c r="D754" i="123"/>
  <c r="K6" i="111"/>
  <c r="B755" i="123"/>
  <c r="B777" i="123" s="1"/>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F755" i="123" s="1"/>
  <c r="F777" i="123" s="1"/>
  <c r="H17" i="111"/>
  <c r="H39" i="111" s="1"/>
  <c r="E17" i="111"/>
  <c r="AV441" i="112"/>
  <c r="AV450" i="112" s="1"/>
  <c r="K304" i="112"/>
  <c r="AI460" i="112"/>
  <c r="K238" i="112"/>
  <c r="J265" i="112"/>
  <c r="AZ441" i="112"/>
  <c r="AZ450" i="112" s="1"/>
  <c r="AJ460" i="112"/>
  <c r="C13" i="86"/>
  <c r="I769" i="123"/>
  <c r="H53" i="82"/>
  <c r="J105" i="112"/>
  <c r="J1299" i="123" s="1"/>
  <c r="J171" i="107"/>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15" i="111"/>
  <c r="J753" i="123" s="1"/>
  <c r="J16" i="111"/>
  <c r="J754" i="123" s="1"/>
  <c r="I17" i="111"/>
  <c r="I755" i="123" s="1"/>
  <c r="K261" i="110"/>
  <c r="K262" i="110"/>
  <c r="K260" i="110"/>
  <c r="O243" i="110"/>
  <c r="K259" i="110"/>
  <c r="K257" i="110"/>
  <c r="K258" i="110"/>
  <c r="J59" i="110"/>
  <c r="J58" i="110"/>
  <c r="O244" i="110"/>
  <c r="P79" i="110"/>
  <c r="P82" i="110"/>
  <c r="P94" i="110"/>
  <c r="P251" i="110"/>
  <c r="P91" i="110"/>
  <c r="P88" i="110"/>
  <c r="P97" i="110"/>
  <c r="P85" i="110"/>
  <c r="D33" i="90"/>
  <c r="D35" i="90"/>
  <c r="D34" i="90" s="1"/>
  <c r="H16" i="85"/>
  <c r="G20" i="111" l="1"/>
  <c r="G758" i="123" s="1"/>
  <c r="D777" i="123"/>
  <c r="G777" i="123"/>
  <c r="K24" i="111"/>
  <c r="K762" i="123" s="1"/>
  <c r="K22" i="111"/>
  <c r="K760" i="123" s="1"/>
  <c r="E39" i="111"/>
  <c r="F39" i="111"/>
  <c r="I39" i="111"/>
  <c r="I777" i="123"/>
  <c r="G39" i="111"/>
  <c r="C755" i="123"/>
  <c r="C777" i="123" s="1"/>
  <c r="C39" i="111"/>
  <c r="D39" i="111"/>
  <c r="J759" i="123"/>
  <c r="J172" i="107"/>
  <c r="I334" i="112"/>
  <c r="I333" i="112"/>
  <c r="F778" i="123"/>
  <c r="G40" i="111"/>
  <c r="G10" i="86"/>
  <c r="O1563" i="123"/>
  <c r="I1563" i="123" s="1"/>
  <c r="I369" i="112"/>
  <c r="AX447" i="112"/>
  <c r="AX450" i="112" s="1"/>
  <c r="AY447" i="112"/>
  <c r="AY450" i="112" s="1"/>
  <c r="O408" i="112" s="1"/>
  <c r="R183" i="113"/>
  <c r="L1065" i="123"/>
  <c r="G763" i="123"/>
  <c r="C20" i="111"/>
  <c r="C758" i="123" s="1"/>
  <c r="C763" i="123" s="1"/>
  <c r="E20" i="111"/>
  <c r="E758" i="123" s="1"/>
  <c r="E763" i="123" s="1"/>
  <c r="E755" i="123"/>
  <c r="E777" i="123" s="1"/>
  <c r="H20" i="111"/>
  <c r="H758" i="123" s="1"/>
  <c r="H763" i="123" s="1"/>
  <c r="H755" i="123"/>
  <c r="H777" i="123" s="1"/>
  <c r="B25" i="111"/>
  <c r="B758" i="123"/>
  <c r="B763" i="123" s="1"/>
  <c r="D20" i="111"/>
  <c r="D758" i="123" s="1"/>
  <c r="D763" i="123" s="1"/>
  <c r="D816" i="123"/>
  <c r="M1268" i="123"/>
  <c r="J1268" i="123"/>
  <c r="AF236" i="123"/>
  <c r="AF239" i="123"/>
  <c r="AH239" i="123" s="1"/>
  <c r="F20" i="111"/>
  <c r="F758" i="123" s="1"/>
  <c r="F763" i="123" s="1"/>
  <c r="L182" i="113"/>
  <c r="R181" i="113"/>
  <c r="D33" i="86"/>
  <c r="I20" i="111"/>
  <c r="I758" i="123" s="1"/>
  <c r="I763" i="123" s="1"/>
  <c r="C33" i="86"/>
  <c r="J769" i="123"/>
  <c r="I53" i="82"/>
  <c r="AF122" i="107"/>
  <c r="AH122" i="107" s="1"/>
  <c r="G13" i="86"/>
  <c r="G25" i="111"/>
  <c r="H13" i="86"/>
  <c r="D13" i="86"/>
  <c r="F13" i="86"/>
  <c r="I13" i="86"/>
  <c r="E13" i="86"/>
  <c r="AF125" i="107"/>
  <c r="AH125" i="107" s="1"/>
  <c r="M74" i="112"/>
  <c r="M76" i="112" s="1"/>
  <c r="O76" i="112"/>
  <c r="J74" i="112"/>
  <c r="J76" i="112" s="1"/>
  <c r="J1270" i="123" s="1"/>
  <c r="J17" i="111"/>
  <c r="J755" i="123" s="1"/>
  <c r="B46" i="111"/>
  <c r="K15" i="111"/>
  <c r="K753" i="123" s="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J188" i="107" l="1"/>
  <c r="J192" i="107" s="1"/>
  <c r="E15" i="87"/>
  <c r="G45" i="82"/>
  <c r="G35" i="111"/>
  <c r="G765" i="123"/>
  <c r="G773" i="123" s="1"/>
  <c r="B56" i="111"/>
  <c r="B794" i="123" s="1"/>
  <c r="B54" i="111"/>
  <c r="B792" i="123" s="1"/>
  <c r="J39" i="111"/>
  <c r="J777" i="123"/>
  <c r="K759" i="123"/>
  <c r="G34" i="111"/>
  <c r="G38" i="111"/>
  <c r="C772" i="123"/>
  <c r="C776" i="123"/>
  <c r="D776" i="123"/>
  <c r="D772" i="123"/>
  <c r="G772" i="123"/>
  <c r="F772" i="123"/>
  <c r="B44" i="82"/>
  <c r="B38" i="111"/>
  <c r="B34" i="111"/>
  <c r="H772" i="123"/>
  <c r="B776" i="123"/>
  <c r="B772" i="123"/>
  <c r="C25" i="111"/>
  <c r="C32" i="111" s="1"/>
  <c r="I772" i="123"/>
  <c r="E772" i="123"/>
  <c r="E776" i="123"/>
  <c r="G778" i="123"/>
  <c r="H40" i="111"/>
  <c r="H10" i="86"/>
  <c r="O6" i="112"/>
  <c r="O1602" i="123"/>
  <c r="O1200" i="123" s="1"/>
  <c r="R182" i="113"/>
  <c r="L1064" i="123"/>
  <c r="E25" i="111"/>
  <c r="H25" i="111"/>
  <c r="D25" i="111"/>
  <c r="E816" i="123"/>
  <c r="AH236" i="123"/>
  <c r="E241" i="123"/>
  <c r="A241" i="123" s="1"/>
  <c r="I25" i="111"/>
  <c r="F25" i="111"/>
  <c r="E33" i="86"/>
  <c r="J20" i="111"/>
  <c r="J758" i="123" s="1"/>
  <c r="J763" i="123" s="1"/>
  <c r="K769" i="123"/>
  <c r="J53" i="82"/>
  <c r="G33" i="111"/>
  <c r="G44" i="82"/>
  <c r="E127" i="107"/>
  <c r="A127" i="107" s="1"/>
  <c r="C46" i="111"/>
  <c r="B55" i="111"/>
  <c r="B793" i="123" s="1"/>
  <c r="B53" i="111"/>
  <c r="B47" i="111"/>
  <c r="B785" i="123" s="1"/>
  <c r="B48" i="111"/>
  <c r="B786" i="123" s="1"/>
  <c r="K17" i="111"/>
  <c r="K755" i="123" s="1"/>
  <c r="M190" i="107" l="1"/>
  <c r="J302" i="123"/>
  <c r="L98" i="123"/>
  <c r="N98" i="123" s="1"/>
  <c r="L97" i="123"/>
  <c r="N97" i="123" s="1"/>
  <c r="I10" i="105"/>
  <c r="M67" i="85"/>
  <c r="C21" i="86"/>
  <c r="D21" i="86" s="1"/>
  <c r="E21" i="86" s="1"/>
  <c r="F21" i="86" s="1"/>
  <c r="G21" i="86" s="1"/>
  <c r="H21" i="86" s="1"/>
  <c r="I21" i="86" s="1"/>
  <c r="I9" i="123"/>
  <c r="L53" i="106"/>
  <c r="N53" i="106" s="1"/>
  <c r="E108" i="107"/>
  <c r="J108" i="107" s="1"/>
  <c r="L54" i="106"/>
  <c r="N54" i="106" s="1"/>
  <c r="G771" i="123"/>
  <c r="R27" i="111"/>
  <c r="F45" i="82"/>
  <c r="E14" i="87"/>
  <c r="F35" i="111"/>
  <c r="F765" i="123"/>
  <c r="F41" i="111"/>
  <c r="C56" i="111"/>
  <c r="C794" i="123" s="1"/>
  <c r="C54" i="111"/>
  <c r="C792" i="123" s="1"/>
  <c r="D14" i="86"/>
  <c r="C770" i="123"/>
  <c r="C771" i="123" s="1"/>
  <c r="E14" i="86"/>
  <c r="D770" i="123"/>
  <c r="D771" i="123" s="1"/>
  <c r="B44" i="111"/>
  <c r="B782" i="123" s="1"/>
  <c r="R34" i="111"/>
  <c r="R36" i="111"/>
  <c r="R30" i="111"/>
  <c r="R40" i="111"/>
  <c r="C14" i="86"/>
  <c r="R25" i="111"/>
  <c r="R35" i="111"/>
  <c r="I49" i="106" s="1"/>
  <c r="I93" i="123" s="1"/>
  <c r="R26" i="111"/>
  <c r="R39" i="111"/>
  <c r="R38" i="111"/>
  <c r="R32" i="111"/>
  <c r="R31" i="111"/>
  <c r="R23" i="111"/>
  <c r="R28" i="111"/>
  <c r="R24" i="111"/>
  <c r="R22" i="111"/>
  <c r="R21" i="111"/>
  <c r="R37" i="111"/>
  <c r="R29" i="111"/>
  <c r="B770" i="123"/>
  <c r="R33" i="111"/>
  <c r="E17" i="87"/>
  <c r="I35" i="111"/>
  <c r="I765" i="123"/>
  <c r="I45" i="82"/>
  <c r="H44" i="82"/>
  <c r="G776" i="123"/>
  <c r="B33" i="111"/>
  <c r="K39" i="111"/>
  <c r="K777" i="123"/>
  <c r="B791" i="123"/>
  <c r="H33" i="111"/>
  <c r="I9" i="86" s="1"/>
  <c r="E44" i="82"/>
  <c r="J306" i="123"/>
  <c r="E222" i="123" s="1"/>
  <c r="J222" i="123" s="1"/>
  <c r="M304" i="123"/>
  <c r="C34" i="111"/>
  <c r="C38" i="111"/>
  <c r="D44" i="82"/>
  <c r="D38" i="111"/>
  <c r="D34" i="111"/>
  <c r="I33" i="111"/>
  <c r="C29" i="86" s="1"/>
  <c r="I34" i="111"/>
  <c r="I38" i="111"/>
  <c r="H34" i="111"/>
  <c r="H38" i="111"/>
  <c r="J772" i="123"/>
  <c r="C44" i="82"/>
  <c r="E34" i="111"/>
  <c r="E38" i="111"/>
  <c r="C33" i="111"/>
  <c r="F33" i="111"/>
  <c r="G9" i="86" s="1"/>
  <c r="F38" i="111"/>
  <c r="F34" i="111"/>
  <c r="H778" i="123"/>
  <c r="I40" i="111"/>
  <c r="I10" i="86"/>
  <c r="D33" i="111"/>
  <c r="F816" i="123"/>
  <c r="F44" i="82"/>
  <c r="I44" i="82"/>
  <c r="K20" i="111"/>
  <c r="K758" i="123" s="1"/>
  <c r="K763" i="123" s="1"/>
  <c r="J25" i="111"/>
  <c r="F33" i="86"/>
  <c r="H9" i="86"/>
  <c r="B63" i="111"/>
  <c r="K53" i="82"/>
  <c r="B49" i="111"/>
  <c r="B787" i="123" s="1"/>
  <c r="D46" i="111"/>
  <c r="C47" i="111"/>
  <c r="C785" i="123" s="1"/>
  <c r="C53" i="111"/>
  <c r="C55" i="111"/>
  <c r="C793" i="123" s="1"/>
  <c r="C48" i="111"/>
  <c r="C786" i="123" s="1"/>
  <c r="B14" i="82" l="1"/>
  <c r="S21" i="111"/>
  <c r="C9" i="86"/>
  <c r="G11" i="86"/>
  <c r="F779" i="123"/>
  <c r="G41" i="111"/>
  <c r="D54" i="111"/>
  <c r="D792" i="123" s="1"/>
  <c r="D56" i="111"/>
  <c r="D794" i="123" s="1"/>
  <c r="F773" i="123"/>
  <c r="F771" i="123"/>
  <c r="F776" i="123"/>
  <c r="B801" i="123"/>
  <c r="C63" i="111"/>
  <c r="D63" i="111" s="1"/>
  <c r="E63" i="111" s="1"/>
  <c r="F63" i="111" s="1"/>
  <c r="G63" i="111" s="1"/>
  <c r="H63" i="111" s="1"/>
  <c r="E16" i="87"/>
  <c r="H45" i="82"/>
  <c r="H35" i="111"/>
  <c r="H765" i="123"/>
  <c r="R759" i="123"/>
  <c r="R761" i="123"/>
  <c r="R760" i="123"/>
  <c r="B771" i="123"/>
  <c r="C44" i="111"/>
  <c r="B71" i="111"/>
  <c r="F14" i="86"/>
  <c r="E770" i="123"/>
  <c r="E771" i="123" s="1"/>
  <c r="E18" i="87"/>
  <c r="J35" i="111"/>
  <c r="J45" i="82"/>
  <c r="J765" i="123"/>
  <c r="I773" i="123"/>
  <c r="I776" i="123"/>
  <c r="I771" i="123"/>
  <c r="E33" i="111"/>
  <c r="F9" i="86" s="1"/>
  <c r="B809" i="123"/>
  <c r="C791" i="123"/>
  <c r="S22" i="111"/>
  <c r="D9" i="86"/>
  <c r="K772" i="123"/>
  <c r="J34" i="111"/>
  <c r="J38" i="111"/>
  <c r="S23" i="111"/>
  <c r="E9" i="86"/>
  <c r="I778" i="123"/>
  <c r="J40" i="111"/>
  <c r="C30" i="86"/>
  <c r="G816" i="123"/>
  <c r="B52" i="111"/>
  <c r="B790" i="123" s="1"/>
  <c r="B795" i="123" s="1"/>
  <c r="G33" i="86"/>
  <c r="J33" i="111"/>
  <c r="J44" i="82"/>
  <c r="K25" i="111"/>
  <c r="C801" i="123"/>
  <c r="B73" i="82"/>
  <c r="C49" i="111"/>
  <c r="C787" i="123" s="1"/>
  <c r="E46" i="111"/>
  <c r="D47" i="111"/>
  <c r="D785" i="123" s="1"/>
  <c r="D53" i="111"/>
  <c r="D55" i="111"/>
  <c r="D793" i="123" s="1"/>
  <c r="D48" i="111"/>
  <c r="D786" i="123" s="1"/>
  <c r="S24" i="111" l="1"/>
  <c r="R764" i="123"/>
  <c r="S764" i="123" s="1"/>
  <c r="R776" i="123"/>
  <c r="R762" i="123"/>
  <c r="S762" i="123" s="1"/>
  <c r="R772" i="123"/>
  <c r="R765" i="123"/>
  <c r="R773" i="123"/>
  <c r="S26" i="111"/>
  <c r="R775" i="123"/>
  <c r="R767" i="123"/>
  <c r="C782" i="123"/>
  <c r="D44" i="111"/>
  <c r="S760" i="123"/>
  <c r="S759" i="123"/>
  <c r="S761" i="123"/>
  <c r="E56" i="111"/>
  <c r="E794" i="123" s="1"/>
  <c r="E54" i="111"/>
  <c r="E792" i="123" s="1"/>
  <c r="G779" i="123"/>
  <c r="H11" i="86"/>
  <c r="J773" i="123"/>
  <c r="J771" i="123"/>
  <c r="J776" i="123"/>
  <c r="R766" i="123"/>
  <c r="R771" i="123"/>
  <c r="S28" i="111"/>
  <c r="R770" i="123"/>
  <c r="R777" i="123"/>
  <c r="R778" i="123"/>
  <c r="K35" i="111"/>
  <c r="E19" i="87"/>
  <c r="K765" i="123"/>
  <c r="K45" i="82"/>
  <c r="R769" i="123"/>
  <c r="R768" i="123"/>
  <c r="H41" i="111"/>
  <c r="S27" i="111"/>
  <c r="S25" i="111"/>
  <c r="R763" i="123"/>
  <c r="S763" i="123" s="1"/>
  <c r="R774" i="123"/>
  <c r="H773" i="123"/>
  <c r="H776" i="123"/>
  <c r="H771" i="123"/>
  <c r="C71" i="111"/>
  <c r="C809" i="123"/>
  <c r="D791" i="123"/>
  <c r="B804" i="123"/>
  <c r="K34" i="111"/>
  <c r="K38" i="111"/>
  <c r="J778" i="123"/>
  <c r="K40" i="111"/>
  <c r="D30" i="86"/>
  <c r="H816" i="123"/>
  <c r="H33" i="86"/>
  <c r="K33" i="111"/>
  <c r="S30" i="111" s="1"/>
  <c r="K44" i="82"/>
  <c r="C52" i="111"/>
  <c r="C790" i="123" s="1"/>
  <c r="C795" i="123" s="1"/>
  <c r="S29" i="111"/>
  <c r="D29" i="86"/>
  <c r="B57" i="111"/>
  <c r="D801" i="123"/>
  <c r="C73" i="82"/>
  <c r="D49" i="111"/>
  <c r="D787" i="123" s="1"/>
  <c r="F46" i="111"/>
  <c r="E47" i="111"/>
  <c r="E785" i="123" s="1"/>
  <c r="E55" i="111"/>
  <c r="E793" i="123" s="1"/>
  <c r="E53" i="111"/>
  <c r="E48" i="111"/>
  <c r="E786" i="123" s="1"/>
  <c r="S765" i="123" l="1"/>
  <c r="H779" i="123"/>
  <c r="I41" i="111"/>
  <c r="B797" i="123"/>
  <c r="B65" i="82"/>
  <c r="E20" i="87"/>
  <c r="B67" i="111"/>
  <c r="I11" i="86"/>
  <c r="S766" i="123"/>
  <c r="K773" i="123"/>
  <c r="K771" i="123"/>
  <c r="S768" i="123" s="1"/>
  <c r="K776" i="123"/>
  <c r="F56" i="111"/>
  <c r="F794" i="123" s="1"/>
  <c r="F54" i="111"/>
  <c r="F792" i="123" s="1"/>
  <c r="D782" i="123"/>
  <c r="E44" i="111"/>
  <c r="S767" i="123"/>
  <c r="D71" i="111"/>
  <c r="D809" i="123"/>
  <c r="E791" i="123"/>
  <c r="C804" i="123"/>
  <c r="B70" i="111"/>
  <c r="B66" i="111"/>
  <c r="K778" i="123"/>
  <c r="B72" i="111"/>
  <c r="E30" i="86"/>
  <c r="I816" i="123"/>
  <c r="D52" i="111"/>
  <c r="D790" i="123" s="1"/>
  <c r="D795" i="123" s="1"/>
  <c r="B65" i="111"/>
  <c r="S31" i="111" s="1"/>
  <c r="B64" i="82"/>
  <c r="I33" i="86"/>
  <c r="C57" i="111"/>
  <c r="E29" i="86"/>
  <c r="E801" i="123"/>
  <c r="D73" i="82"/>
  <c r="G46" i="111"/>
  <c r="F55" i="111"/>
  <c r="F793" i="123" s="1"/>
  <c r="F47" i="111"/>
  <c r="F785" i="123" s="1"/>
  <c r="F53" i="111"/>
  <c r="F48" i="111"/>
  <c r="F786" i="123" s="1"/>
  <c r="E49" i="111"/>
  <c r="E787" i="123" s="1"/>
  <c r="V176" i="72"/>
  <c r="V177" i="72"/>
  <c r="C67" i="111" l="1"/>
  <c r="E21" i="87"/>
  <c r="C65" i="82"/>
  <c r="C797" i="123"/>
  <c r="B805" i="123"/>
  <c r="B803" i="123"/>
  <c r="S769" i="123" s="1"/>
  <c r="B808" i="123"/>
  <c r="I779" i="123"/>
  <c r="J41" i="111"/>
  <c r="G56" i="111"/>
  <c r="G794" i="123" s="1"/>
  <c r="G54" i="111"/>
  <c r="G792" i="123" s="1"/>
  <c r="C31" i="86"/>
  <c r="E782" i="123"/>
  <c r="F44" i="111"/>
  <c r="E71" i="111"/>
  <c r="E809" i="123"/>
  <c r="F791" i="123"/>
  <c r="D804" i="123"/>
  <c r="C70" i="111"/>
  <c r="C66" i="111"/>
  <c r="B810" i="123"/>
  <c r="C72" i="111"/>
  <c r="F30" i="86"/>
  <c r="J816" i="123"/>
  <c r="C65" i="111"/>
  <c r="S32" i="111" s="1"/>
  <c r="C64" i="82"/>
  <c r="F29" i="86"/>
  <c r="C53" i="86"/>
  <c r="E52" i="111"/>
  <c r="E790" i="123" s="1"/>
  <c r="E795" i="123" s="1"/>
  <c r="D57" i="111"/>
  <c r="F801" i="123"/>
  <c r="E73" i="82"/>
  <c r="H46" i="111"/>
  <c r="G47" i="111"/>
  <c r="G785" i="123" s="1"/>
  <c r="G53" i="111"/>
  <c r="G55" i="111"/>
  <c r="G793" i="123" s="1"/>
  <c r="G48" i="111"/>
  <c r="G786" i="123" s="1"/>
  <c r="F49" i="111"/>
  <c r="F787" i="123" s="1"/>
  <c r="F782" i="123" l="1"/>
  <c r="G44" i="111"/>
  <c r="H56" i="111"/>
  <c r="H794" i="123" s="1"/>
  <c r="H54" i="111"/>
  <c r="H792" i="123" s="1"/>
  <c r="C805" i="123"/>
  <c r="C803" i="123"/>
  <c r="S770" i="123" s="1"/>
  <c r="C808" i="123"/>
  <c r="E22" i="87"/>
  <c r="D67" i="111"/>
  <c r="D797" i="123"/>
  <c r="D65" i="82"/>
  <c r="D31" i="86"/>
  <c r="J779" i="123"/>
  <c r="K41" i="111"/>
  <c r="F71" i="111"/>
  <c r="F809" i="123"/>
  <c r="G791" i="123"/>
  <c r="D66" i="111"/>
  <c r="D70" i="111"/>
  <c r="E804" i="123"/>
  <c r="C810" i="123"/>
  <c r="D72" i="111"/>
  <c r="G30" i="86"/>
  <c r="K816" i="123"/>
  <c r="D65" i="111"/>
  <c r="D64" i="82"/>
  <c r="D53" i="86"/>
  <c r="G29" i="86"/>
  <c r="F52" i="111"/>
  <c r="F790" i="123" s="1"/>
  <c r="F795" i="123" s="1"/>
  <c r="E57" i="111"/>
  <c r="G801" i="123"/>
  <c r="F73" i="82"/>
  <c r="I46" i="111"/>
  <c r="H55" i="111"/>
  <c r="H793" i="123" s="1"/>
  <c r="H47" i="111"/>
  <c r="H785" i="123" s="1"/>
  <c r="H53" i="111"/>
  <c r="H48" i="111"/>
  <c r="H786" i="123" s="1"/>
  <c r="G49" i="111"/>
  <c r="G787" i="123" s="1"/>
  <c r="K779" i="123" l="1"/>
  <c r="B73" i="111"/>
  <c r="E23" i="87"/>
  <c r="E67" i="111"/>
  <c r="E797" i="123"/>
  <c r="E65" i="82"/>
  <c r="E31" i="86"/>
  <c r="I56" i="111"/>
  <c r="I794" i="123" s="1"/>
  <c r="I54" i="111"/>
  <c r="I792" i="123" s="1"/>
  <c r="D805" i="123"/>
  <c r="D803" i="123"/>
  <c r="S771" i="123" s="1"/>
  <c r="D808" i="123"/>
  <c r="H44" i="111"/>
  <c r="G782" i="123"/>
  <c r="G71" i="111"/>
  <c r="G809" i="123"/>
  <c r="H791" i="123"/>
  <c r="F804" i="123"/>
  <c r="E66" i="111"/>
  <c r="E70" i="111"/>
  <c r="D810" i="123"/>
  <c r="E72" i="111"/>
  <c r="H30" i="86"/>
  <c r="B846" i="123"/>
  <c r="E65" i="111"/>
  <c r="E64" i="82"/>
  <c r="G52" i="111"/>
  <c r="G790" i="123" s="1"/>
  <c r="G795" i="123" s="1"/>
  <c r="E53" i="86"/>
  <c r="F57" i="111"/>
  <c r="H29" i="86"/>
  <c r="S33" i="111"/>
  <c r="H801" i="123"/>
  <c r="G73" i="82"/>
  <c r="J46" i="111"/>
  <c r="I47" i="111"/>
  <c r="I785" i="123" s="1"/>
  <c r="I53" i="111"/>
  <c r="I55" i="111"/>
  <c r="I793" i="123" s="1"/>
  <c r="I48" i="111"/>
  <c r="I786" i="123" s="1"/>
  <c r="H49" i="111"/>
  <c r="H787" i="123" s="1"/>
  <c r="H71" i="111" l="1"/>
  <c r="E24" i="87"/>
  <c r="F65" i="82"/>
  <c r="F67" i="111"/>
  <c r="F797" i="123"/>
  <c r="H782" i="123"/>
  <c r="I44" i="111"/>
  <c r="E805" i="123"/>
  <c r="E803" i="123"/>
  <c r="S772" i="123" s="1"/>
  <c r="E808" i="123"/>
  <c r="B811" i="123"/>
  <c r="C73" i="111"/>
  <c r="H809" i="123"/>
  <c r="F31" i="86"/>
  <c r="J56" i="111"/>
  <c r="J794" i="123" s="1"/>
  <c r="J54" i="111"/>
  <c r="J792" i="123" s="1"/>
  <c r="I791" i="123"/>
  <c r="G804" i="123"/>
  <c r="F66" i="111"/>
  <c r="F70" i="111"/>
  <c r="E810" i="123"/>
  <c r="F72" i="111"/>
  <c r="I30" i="86"/>
  <c r="C846" i="123"/>
  <c r="H52" i="111"/>
  <c r="H790" i="123" s="1"/>
  <c r="H795" i="123" s="1"/>
  <c r="F53" i="86"/>
  <c r="G57" i="111"/>
  <c r="F65" i="111"/>
  <c r="F64" i="82"/>
  <c r="S34" i="111"/>
  <c r="I29" i="86"/>
  <c r="I801" i="123"/>
  <c r="H73" i="82"/>
  <c r="K46" i="111"/>
  <c r="J55" i="111"/>
  <c r="J793" i="123" s="1"/>
  <c r="J53" i="111"/>
  <c r="J47" i="111"/>
  <c r="J785" i="123" s="1"/>
  <c r="J48" i="111"/>
  <c r="J786" i="123" s="1"/>
  <c r="I49" i="111"/>
  <c r="I787" i="123" s="1"/>
  <c r="I782" i="123" l="1"/>
  <c r="J44" i="111"/>
  <c r="G31" i="86"/>
  <c r="C811" i="123"/>
  <c r="D73" i="111"/>
  <c r="F805" i="123"/>
  <c r="F803" i="123"/>
  <c r="S773" i="123" s="1"/>
  <c r="F808" i="123"/>
  <c r="E25" i="87"/>
  <c r="G67" i="111"/>
  <c r="G797" i="123"/>
  <c r="G65" i="82"/>
  <c r="K56" i="111"/>
  <c r="K794" i="123" s="1"/>
  <c r="K54" i="111"/>
  <c r="K792" i="123" s="1"/>
  <c r="I71" i="111"/>
  <c r="I809" i="123"/>
  <c r="J791" i="123"/>
  <c r="H804" i="123"/>
  <c r="G70" i="111"/>
  <c r="G66" i="111"/>
  <c r="F810" i="123"/>
  <c r="G72" i="111"/>
  <c r="C50" i="86"/>
  <c r="D846" i="123"/>
  <c r="C49" i="86"/>
  <c r="I52" i="111"/>
  <c r="I790" i="123" s="1"/>
  <c r="I795" i="123" s="1"/>
  <c r="H57" i="111"/>
  <c r="G53" i="86"/>
  <c r="G65" i="111"/>
  <c r="G64" i="82"/>
  <c r="S35" i="111"/>
  <c r="J801" i="123"/>
  <c r="I73" i="82"/>
  <c r="J49" i="111"/>
  <c r="J787" i="123" s="1"/>
  <c r="B78" i="111"/>
  <c r="K53" i="111"/>
  <c r="K55" i="111"/>
  <c r="K793" i="123" s="1"/>
  <c r="K47" i="111"/>
  <c r="K785" i="123" s="1"/>
  <c r="K48" i="111"/>
  <c r="K786" i="123" s="1"/>
  <c r="I133" i="73"/>
  <c r="O138" i="72"/>
  <c r="D811" i="123" l="1"/>
  <c r="E73" i="111"/>
  <c r="H65" i="82"/>
  <c r="E26" i="87"/>
  <c r="H797" i="123"/>
  <c r="H67" i="111"/>
  <c r="H31" i="86"/>
  <c r="J71" i="111"/>
  <c r="G805" i="123"/>
  <c r="G803" i="123"/>
  <c r="S774" i="123" s="1"/>
  <c r="G808" i="123"/>
  <c r="B86" i="111"/>
  <c r="B824" i="123" s="1"/>
  <c r="B88" i="111"/>
  <c r="B826" i="123" s="1"/>
  <c r="K44" i="111"/>
  <c r="J782" i="123"/>
  <c r="J809" i="123"/>
  <c r="K791" i="123"/>
  <c r="I804" i="123"/>
  <c r="H70" i="111"/>
  <c r="H66" i="111"/>
  <c r="G810" i="123"/>
  <c r="H72" i="111"/>
  <c r="D50" i="86"/>
  <c r="E846" i="123"/>
  <c r="F49" i="106"/>
  <c r="S36" i="111"/>
  <c r="H53" i="86"/>
  <c r="J52" i="111"/>
  <c r="J790" i="123" s="1"/>
  <c r="J795" i="123" s="1"/>
  <c r="H64" i="82"/>
  <c r="H65" i="111"/>
  <c r="I57" i="111"/>
  <c r="K801" i="123"/>
  <c r="J73" i="82"/>
  <c r="K49" i="111"/>
  <c r="K787" i="123" s="1"/>
  <c r="C78" i="111"/>
  <c r="B85" i="111"/>
  <c r="B87" i="111"/>
  <c r="B825" i="123" s="1"/>
  <c r="B79" i="111"/>
  <c r="B817" i="123" s="1"/>
  <c r="B80" i="111"/>
  <c r="B818" i="123" s="1"/>
  <c r="P47" i="72"/>
  <c r="P46" i="72"/>
  <c r="P45" i="72"/>
  <c r="K71" i="111" l="1"/>
  <c r="B76" i="111"/>
  <c r="K782" i="123"/>
  <c r="H805" i="123"/>
  <c r="H803" i="123"/>
  <c r="S775" i="123" s="1"/>
  <c r="H808" i="123"/>
  <c r="I67" i="111"/>
  <c r="I65" i="82"/>
  <c r="E27" i="87"/>
  <c r="I797" i="123"/>
  <c r="I31" i="86"/>
  <c r="E811" i="123"/>
  <c r="F73" i="111"/>
  <c r="C51" i="86" s="1"/>
  <c r="C88" i="111"/>
  <c r="C826" i="123" s="1"/>
  <c r="C86" i="111"/>
  <c r="C824" i="123" s="1"/>
  <c r="K809" i="123"/>
  <c r="B823" i="123"/>
  <c r="J804" i="123"/>
  <c r="I70" i="111"/>
  <c r="I66" i="111"/>
  <c r="H810" i="123"/>
  <c r="I72" i="111"/>
  <c r="F50" i="86" s="1"/>
  <c r="E50" i="86"/>
  <c r="F846" i="123"/>
  <c r="L49" i="106"/>
  <c r="L93" i="123" s="1"/>
  <c r="F93" i="123"/>
  <c r="S37" i="111"/>
  <c r="I65" i="111"/>
  <c r="I64" i="82"/>
  <c r="K52" i="111"/>
  <c r="K790" i="123" s="1"/>
  <c r="K795" i="123" s="1"/>
  <c r="J57" i="111"/>
  <c r="K73" i="82"/>
  <c r="B81" i="111"/>
  <c r="B819" i="123" s="1"/>
  <c r="D78" i="111"/>
  <c r="C79" i="111"/>
  <c r="C817" i="123" s="1"/>
  <c r="C87" i="111"/>
  <c r="C825" i="123" s="1"/>
  <c r="C85" i="111"/>
  <c r="C80" i="111"/>
  <c r="C818" i="123" s="1"/>
  <c r="AB57" i="72"/>
  <c r="AB58" i="72"/>
  <c r="AB59" i="72"/>
  <c r="AB60" i="72"/>
  <c r="AB61" i="72"/>
  <c r="Z56" i="72"/>
  <c r="AI35" i="72"/>
  <c r="AH35" i="72"/>
  <c r="AG35" i="72"/>
  <c r="AF35" i="72"/>
  <c r="AE35" i="72"/>
  <c r="AD35" i="72"/>
  <c r="E28" i="87" l="1"/>
  <c r="J67" i="111"/>
  <c r="J797" i="123"/>
  <c r="J65" i="82"/>
  <c r="B833" i="123"/>
  <c r="F811" i="123"/>
  <c r="G73" i="111"/>
  <c r="B102" i="111"/>
  <c r="D88" i="111"/>
  <c r="D826" i="123" s="1"/>
  <c r="D86" i="111"/>
  <c r="D824" i="123" s="1"/>
  <c r="I805" i="123"/>
  <c r="I808" i="123"/>
  <c r="I803" i="123"/>
  <c r="S776" i="123" s="1"/>
  <c r="C76" i="111"/>
  <c r="B814" i="123"/>
  <c r="B840" i="123"/>
  <c r="C823" i="123"/>
  <c r="J70" i="111"/>
  <c r="J66" i="111"/>
  <c r="K804" i="123"/>
  <c r="I810" i="123"/>
  <c r="J72" i="111"/>
  <c r="J65" i="111"/>
  <c r="J64" i="82"/>
  <c r="K57" i="111"/>
  <c r="S38" i="111"/>
  <c r="B84" i="111"/>
  <c r="B822" i="123" s="1"/>
  <c r="B827" i="123" s="1"/>
  <c r="C833" i="123"/>
  <c r="E78" i="111"/>
  <c r="D79" i="111"/>
  <c r="D817" i="123" s="1"/>
  <c r="D85" i="111"/>
  <c r="D87" i="111"/>
  <c r="D825" i="123" s="1"/>
  <c r="D80" i="111"/>
  <c r="D818" i="123" s="1"/>
  <c r="C81" i="111"/>
  <c r="C819" i="123" s="1"/>
  <c r="R344" i="72"/>
  <c r="D4" i="93"/>
  <c r="K65" i="82" l="1"/>
  <c r="K67" i="111"/>
  <c r="K797" i="123"/>
  <c r="E29" i="87"/>
  <c r="J805" i="123"/>
  <c r="J808" i="123"/>
  <c r="J803" i="123"/>
  <c r="S777" i="123" s="1"/>
  <c r="G811" i="123"/>
  <c r="H73" i="111"/>
  <c r="E88" i="111"/>
  <c r="E826" i="123" s="1"/>
  <c r="E86" i="111"/>
  <c r="E824" i="123" s="1"/>
  <c r="C814" i="123"/>
  <c r="D76" i="111"/>
  <c r="D51" i="86"/>
  <c r="C102" i="111"/>
  <c r="C840" i="123"/>
  <c r="D823" i="123"/>
  <c r="K66" i="111"/>
  <c r="K70" i="111"/>
  <c r="B835" i="123"/>
  <c r="J810" i="123"/>
  <c r="K72" i="111"/>
  <c r="G50" i="86"/>
  <c r="S39" i="111"/>
  <c r="B89" i="111"/>
  <c r="C84" i="111"/>
  <c r="C822" i="123" s="1"/>
  <c r="C827" i="123" s="1"/>
  <c r="K65" i="111"/>
  <c r="K64" i="82"/>
  <c r="D833" i="123"/>
  <c r="F78" i="111"/>
  <c r="E79" i="111"/>
  <c r="E817" i="123" s="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D102" i="111" l="1"/>
  <c r="D814" i="123"/>
  <c r="E76" i="111"/>
  <c r="B98" i="111"/>
  <c r="B829" i="123"/>
  <c r="E30" i="87"/>
  <c r="F88" i="111"/>
  <c r="F826" i="123" s="1"/>
  <c r="F86" i="111"/>
  <c r="F824" i="123" s="1"/>
  <c r="H811" i="123"/>
  <c r="I73" i="111"/>
  <c r="K805" i="123"/>
  <c r="K808" i="123"/>
  <c r="K803" i="123"/>
  <c r="S778" i="123" s="1"/>
  <c r="E51" i="86"/>
  <c r="D840" i="123"/>
  <c r="E823" i="123"/>
  <c r="B97" i="111"/>
  <c r="B101" i="111"/>
  <c r="C835" i="123"/>
  <c r="K810" i="123"/>
  <c r="L100" i="85"/>
  <c r="L70" i="85"/>
  <c r="B103" i="111"/>
  <c r="H50" i="86"/>
  <c r="B96" i="111"/>
  <c r="B834" i="123" s="1"/>
  <c r="S40" i="111"/>
  <c r="D84" i="111"/>
  <c r="D822" i="123" s="1"/>
  <c r="D827" i="123" s="1"/>
  <c r="C89" i="111"/>
  <c r="E833" i="123"/>
  <c r="E81" i="111"/>
  <c r="E819" i="123" s="1"/>
  <c r="G78" i="111"/>
  <c r="F85" i="11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C98" i="111" l="1"/>
  <c r="C829" i="123"/>
  <c r="E31" i="87"/>
  <c r="B836" i="123"/>
  <c r="B839" i="123"/>
  <c r="G88" i="111"/>
  <c r="G826" i="123" s="1"/>
  <c r="G86" i="111"/>
  <c r="G824" i="123" s="1"/>
  <c r="I811" i="123"/>
  <c r="J73" i="111"/>
  <c r="E814" i="123"/>
  <c r="F76" i="111"/>
  <c r="F51" i="86"/>
  <c r="E102" i="111"/>
  <c r="E840" i="123"/>
  <c r="F823" i="123"/>
  <c r="C97" i="111"/>
  <c r="C101" i="111"/>
  <c r="D835" i="123"/>
  <c r="B841" i="123"/>
  <c r="C103" i="111"/>
  <c r="C96" i="111"/>
  <c r="C834" i="123" s="1"/>
  <c r="E84" i="111"/>
  <c r="E822" i="123" s="1"/>
  <c r="E827" i="123" s="1"/>
  <c r="D89" i="111"/>
  <c r="F833" i="123"/>
  <c r="F81" i="111"/>
  <c r="F819" i="123" s="1"/>
  <c r="H78" i="111"/>
  <c r="G79" i="111"/>
  <c r="G817" i="123" s="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E32" i="87" l="1"/>
  <c r="D829" i="123"/>
  <c r="D98" i="111"/>
  <c r="F814" i="123"/>
  <c r="G76" i="111"/>
  <c r="G814" i="123" s="1"/>
  <c r="J811" i="123"/>
  <c r="K73" i="111"/>
  <c r="H51" i="86" s="1"/>
  <c r="H88" i="111"/>
  <c r="H826" i="123" s="1"/>
  <c r="H86" i="111"/>
  <c r="H824" i="123" s="1"/>
  <c r="F102" i="111"/>
  <c r="G51" i="86"/>
  <c r="C836" i="123"/>
  <c r="C839" i="123"/>
  <c r="F840" i="123"/>
  <c r="G823" i="123"/>
  <c r="D97" i="111"/>
  <c r="D101" i="111"/>
  <c r="E835" i="123"/>
  <c r="C841" i="123"/>
  <c r="D103" i="111"/>
  <c r="F84" i="111"/>
  <c r="F822" i="123" s="1"/>
  <c r="F827" i="123" s="1"/>
  <c r="D96" i="111"/>
  <c r="D834" i="123" s="1"/>
  <c r="E89" i="111"/>
  <c r="G833" i="123"/>
  <c r="G81" i="111"/>
  <c r="G819" i="123" s="1"/>
  <c r="I78" i="111"/>
  <c r="H79" i="111"/>
  <c r="H817" i="123" s="1"/>
  <c r="H85" i="111"/>
  <c r="H87" i="111"/>
  <c r="H825" i="123" s="1"/>
  <c r="H80" i="111"/>
  <c r="H818" i="123" s="1"/>
  <c r="E63" i="100"/>
  <c r="K37" i="100"/>
  <c r="C40" i="100"/>
  <c r="K35" i="100"/>
  <c r="K63" i="100"/>
  <c r="I88" i="111" l="1"/>
  <c r="I826" i="123" s="1"/>
  <c r="I86" i="111"/>
  <c r="I824" i="123" s="1"/>
  <c r="E829" i="123"/>
  <c r="E33" i="87"/>
  <c r="E98" i="111"/>
  <c r="D836" i="123"/>
  <c r="D839" i="123"/>
  <c r="K811" i="123"/>
  <c r="B104" i="111"/>
  <c r="G102" i="111"/>
  <c r="G840" i="123"/>
  <c r="H823" i="123"/>
  <c r="E97" i="111"/>
  <c r="E101" i="111"/>
  <c r="F835" i="123"/>
  <c r="D841" i="123"/>
  <c r="E103" i="111"/>
  <c r="G84" i="111"/>
  <c r="G822" i="123" s="1"/>
  <c r="G827" i="123" s="1"/>
  <c r="E96" i="111"/>
  <c r="E834" i="123" s="1"/>
  <c r="F89" i="111"/>
  <c r="H833" i="123"/>
  <c r="J78" i="111"/>
  <c r="I79" i="111"/>
  <c r="I817" i="123" s="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E34" i="87" l="1"/>
  <c r="F98" i="111"/>
  <c r="F829" i="123"/>
  <c r="E836" i="123"/>
  <c r="E839" i="123"/>
  <c r="J86" i="111"/>
  <c r="J824" i="123" s="1"/>
  <c r="J88" i="111"/>
  <c r="J826" i="123" s="1"/>
  <c r="B842" i="123"/>
  <c r="C104" i="111"/>
  <c r="H102" i="111"/>
  <c r="H840" i="123"/>
  <c r="I823" i="123"/>
  <c r="F97" i="111"/>
  <c r="F101" i="111"/>
  <c r="G835" i="123"/>
  <c r="E841" i="123"/>
  <c r="F103" i="111"/>
  <c r="H84" i="111"/>
  <c r="H822" i="123" s="1"/>
  <c r="H827" i="123" s="1"/>
  <c r="F96" i="111"/>
  <c r="F834" i="123" s="1"/>
  <c r="G89" i="111"/>
  <c r="I833" i="123"/>
  <c r="I81" i="111"/>
  <c r="I819" i="123" s="1"/>
  <c r="K78" i="111"/>
  <c r="J87" i="111"/>
  <c r="J825" i="123" s="1"/>
  <c r="J85" i="111"/>
  <c r="J79" i="111"/>
  <c r="J817" i="123" s="1"/>
  <c r="J80" i="111"/>
  <c r="J818" i="123" s="1"/>
  <c r="I102" i="111" l="1"/>
  <c r="I840" i="123"/>
  <c r="F836" i="123"/>
  <c r="F839" i="123"/>
  <c r="K88" i="111"/>
  <c r="K826" i="123" s="1"/>
  <c r="K86" i="111"/>
  <c r="K824" i="123" s="1"/>
  <c r="C842" i="123"/>
  <c r="D104" i="111"/>
  <c r="G829" i="123"/>
  <c r="E35" i="87"/>
  <c r="G98" i="111"/>
  <c r="J823" i="123"/>
  <c r="H835" i="123"/>
  <c r="G101" i="111"/>
  <c r="G97" i="111"/>
  <c r="F841" i="123"/>
  <c r="G103" i="111"/>
  <c r="G96" i="111"/>
  <c r="G834" i="123" s="1"/>
  <c r="I84" i="111"/>
  <c r="I822" i="123" s="1"/>
  <c r="I827" i="123" s="1"/>
  <c r="H89" i="111"/>
  <c r="J833" i="123"/>
  <c r="J81" i="111"/>
  <c r="J819" i="123" s="1"/>
  <c r="B108" i="111"/>
  <c r="K85" i="111"/>
  <c r="K87" i="111"/>
  <c r="K825" i="123" s="1"/>
  <c r="K79" i="111"/>
  <c r="K817" i="123" s="1"/>
  <c r="K80" i="111"/>
  <c r="K818" i="123" s="1"/>
  <c r="F18" i="85"/>
  <c r="G836" i="123" l="1"/>
  <c r="G839" i="123"/>
  <c r="D842" i="123"/>
  <c r="E104" i="111"/>
  <c r="E36" i="87"/>
  <c r="H98" i="111"/>
  <c r="H829" i="123"/>
  <c r="B118" i="111"/>
  <c r="B856" i="123" s="1"/>
  <c r="B116" i="111"/>
  <c r="B854" i="123" s="1"/>
  <c r="J102" i="111"/>
  <c r="J840" i="123"/>
  <c r="K823" i="123"/>
  <c r="H97" i="111"/>
  <c r="H101" i="111"/>
  <c r="I835" i="123"/>
  <c r="G841" i="123"/>
  <c r="H103" i="111"/>
  <c r="J84" i="111"/>
  <c r="J822" i="123" s="1"/>
  <c r="J827" i="123" s="1"/>
  <c r="H96" i="111"/>
  <c r="H834" i="123" s="1"/>
  <c r="I89" i="111"/>
  <c r="K833" i="123"/>
  <c r="C108" i="111"/>
  <c r="B109" i="111"/>
  <c r="B847" i="123" s="1"/>
  <c r="B117" i="111"/>
  <c r="B855" i="123" s="1"/>
  <c r="B115" i="111"/>
  <c r="B110" i="111"/>
  <c r="B848" i="123" s="1"/>
  <c r="K81" i="111"/>
  <c r="K819" i="123" s="1"/>
  <c r="E242" i="72"/>
  <c r="H836" i="123" l="1"/>
  <c r="H839" i="123"/>
  <c r="I98" i="111"/>
  <c r="I829" i="123"/>
  <c r="E37" i="87"/>
  <c r="E842" i="123"/>
  <c r="F104" i="111"/>
  <c r="C118" i="111"/>
  <c r="C856" i="123" s="1"/>
  <c r="C116" i="111"/>
  <c r="C854" i="123" s="1"/>
  <c r="K840" i="123"/>
  <c r="K102" i="111"/>
  <c r="B853" i="123"/>
  <c r="J835" i="123"/>
  <c r="I101" i="111"/>
  <c r="I97" i="111"/>
  <c r="H841" i="123"/>
  <c r="I103" i="111"/>
  <c r="K84" i="111"/>
  <c r="K822" i="123" s="1"/>
  <c r="K827" i="123" s="1"/>
  <c r="I96" i="111"/>
  <c r="I834" i="123" s="1"/>
  <c r="J89" i="111"/>
  <c r="B111" i="111"/>
  <c r="B849" i="123" s="1"/>
  <c r="D108" i="111"/>
  <c r="C109" i="111"/>
  <c r="C847" i="123" s="1"/>
  <c r="C117" i="111"/>
  <c r="C855" i="123" s="1"/>
  <c r="C115" i="111"/>
  <c r="C110" i="111"/>
  <c r="C848" i="123" s="1"/>
  <c r="Q295" i="72"/>
  <c r="Q298" i="72"/>
  <c r="Q94" i="72"/>
  <c r="Q312" i="72"/>
  <c r="Q311" i="72"/>
  <c r="B132" i="111" l="1"/>
  <c r="B870" i="123"/>
  <c r="F842" i="123"/>
  <c r="G104" i="111"/>
  <c r="I836" i="123"/>
  <c r="I839" i="123"/>
  <c r="D118" i="111"/>
  <c r="D856" i="123" s="1"/>
  <c r="D116" i="111"/>
  <c r="D854" i="123" s="1"/>
  <c r="J829" i="123"/>
  <c r="J98" i="111"/>
  <c r="E38" i="87"/>
  <c r="B863" i="123"/>
  <c r="C853" i="123"/>
  <c r="J101" i="111"/>
  <c r="J97" i="111"/>
  <c r="K835" i="123"/>
  <c r="I841" i="123"/>
  <c r="J103" i="111"/>
  <c r="B114" i="111"/>
  <c r="B852" i="123" s="1"/>
  <c r="B857" i="123" s="1"/>
  <c r="J96" i="111"/>
  <c r="J834" i="123" s="1"/>
  <c r="K89" i="111"/>
  <c r="C863" i="123"/>
  <c r="E108" i="111"/>
  <c r="D115" i="111"/>
  <c r="D109" i="111"/>
  <c r="D847" i="123" s="1"/>
  <c r="D117" i="111"/>
  <c r="D855" i="123" s="1"/>
  <c r="D110" i="111"/>
  <c r="D848" i="123" s="1"/>
  <c r="C111" i="111"/>
  <c r="C849" i="123" s="1"/>
  <c r="I91" i="72"/>
  <c r="K98" i="111" l="1"/>
  <c r="K829" i="123"/>
  <c r="E39" i="87"/>
  <c r="J836" i="123"/>
  <c r="J839" i="123"/>
  <c r="G842" i="123"/>
  <c r="H104" i="111"/>
  <c r="E118" i="111"/>
  <c r="E856" i="123" s="1"/>
  <c r="E116" i="111"/>
  <c r="E854" i="123" s="1"/>
  <c r="C132" i="111"/>
  <c r="C870" i="123"/>
  <c r="D853" i="123"/>
  <c r="K101" i="111"/>
  <c r="K97" i="111"/>
  <c r="B865" i="123"/>
  <c r="J841" i="123"/>
  <c r="K103" i="111"/>
  <c r="C114" i="111"/>
  <c r="C852" i="123" s="1"/>
  <c r="C857" i="123" s="1"/>
  <c r="K96" i="111"/>
  <c r="K834" i="123" s="1"/>
  <c r="B119" i="111"/>
  <c r="D863" i="123"/>
  <c r="D111" i="111"/>
  <c r="D849" i="123" s="1"/>
  <c r="F108" i="111"/>
  <c r="E109" i="111"/>
  <c r="E847" i="123" s="1"/>
  <c r="E115" i="111"/>
  <c r="E117" i="111"/>
  <c r="E855" i="123" s="1"/>
  <c r="E110" i="111"/>
  <c r="E848" i="123" s="1"/>
  <c r="L285" i="72"/>
  <c r="D132" i="111" l="1"/>
  <c r="H842" i="123"/>
  <c r="I104" i="111"/>
  <c r="K836" i="123"/>
  <c r="K839" i="123"/>
  <c r="F118" i="111"/>
  <c r="F856" i="123" s="1"/>
  <c r="F116" i="111"/>
  <c r="F854" i="123" s="1"/>
  <c r="D870" i="123"/>
  <c r="E853" i="123"/>
  <c r="B127" i="111"/>
  <c r="C865" i="123"/>
  <c r="K841" i="123"/>
  <c r="B133" i="111"/>
  <c r="D114" i="111"/>
  <c r="D852" i="123" s="1"/>
  <c r="D857" i="123" s="1"/>
  <c r="C119" i="111"/>
  <c r="E863" i="123"/>
  <c r="F109" i="111"/>
  <c r="F847" i="123" s="1"/>
  <c r="F117" i="111"/>
  <c r="F855" i="123" s="1"/>
  <c r="F115" i="111"/>
  <c r="F110" i="111"/>
  <c r="F848" i="123" s="1"/>
  <c r="E111" i="111"/>
  <c r="E849" i="123" s="1"/>
  <c r="Q339" i="73"/>
  <c r="H152" i="72"/>
  <c r="E41" i="87" l="1"/>
  <c r="C128" i="111"/>
  <c r="C859" i="123"/>
  <c r="I842" i="123"/>
  <c r="J104" i="111"/>
  <c r="E132" i="111"/>
  <c r="E870" i="123"/>
  <c r="F853" i="123"/>
  <c r="F870" i="123" s="1"/>
  <c r="C127" i="111"/>
  <c r="C131" i="111"/>
  <c r="D865" i="123"/>
  <c r="B871" i="123"/>
  <c r="C133" i="111"/>
  <c r="E114" i="111"/>
  <c r="E852" i="123" s="1"/>
  <c r="E857" i="123" s="1"/>
  <c r="C126" i="111"/>
  <c r="C864" i="123" s="1"/>
  <c r="D119" i="111"/>
  <c r="F863" i="123"/>
  <c r="F111" i="111"/>
  <c r="F849" i="123" s="1"/>
  <c r="L184" i="72"/>
  <c r="F132" i="111" l="1"/>
  <c r="C866" i="123"/>
  <c r="C869" i="123"/>
  <c r="D128" i="111"/>
  <c r="D859" i="123"/>
  <c r="E42" i="87"/>
  <c r="J842" i="123"/>
  <c r="K104" i="111"/>
  <c r="K842" i="123" s="1"/>
  <c r="D127" i="111"/>
  <c r="D131" i="111"/>
  <c r="E865" i="123"/>
  <c r="C871" i="123"/>
  <c r="D133" i="111"/>
  <c r="F114" i="111"/>
  <c r="F852" i="123" s="1"/>
  <c r="F857" i="123" s="1"/>
  <c r="D126" i="111"/>
  <c r="D864" i="123" s="1"/>
  <c r="E119" i="111"/>
  <c r="L242" i="72"/>
  <c r="P225" i="72"/>
  <c r="R225" i="72"/>
  <c r="Q18" i="72"/>
  <c r="E43" i="87" l="1"/>
  <c r="E128" i="111"/>
  <c r="E859" i="123"/>
  <c r="D866" i="123"/>
  <c r="D869" i="123"/>
  <c r="F865" i="123"/>
  <c r="E127" i="111"/>
  <c r="E131" i="111"/>
  <c r="D871" i="123"/>
  <c r="E133" i="111"/>
  <c r="E126" i="111"/>
  <c r="E864" i="123" s="1"/>
  <c r="F119" i="111"/>
  <c r="F31" i="72"/>
  <c r="F30" i="72"/>
  <c r="E30" i="72"/>
  <c r="F29" i="72"/>
  <c r="E29" i="72"/>
  <c r="F28" i="72"/>
  <c r="F27" i="72"/>
  <c r="F26" i="72"/>
  <c r="N210" i="73"/>
  <c r="J274" i="72"/>
  <c r="K226" i="72"/>
  <c r="J113" i="72"/>
  <c r="M56" i="73"/>
  <c r="F24" i="72"/>
  <c r="F23" i="72"/>
  <c r="F22" i="72"/>
  <c r="P310" i="72"/>
  <c r="E24" i="72"/>
  <c r="E44" i="87" l="1"/>
  <c r="F128" i="111"/>
  <c r="F859" i="123"/>
  <c r="E866" i="123"/>
  <c r="E869" i="123"/>
  <c r="F127" i="111"/>
  <c r="F131" i="111"/>
  <c r="E871" i="123"/>
  <c r="F133" i="111"/>
  <c r="F871" i="123" s="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F866" i="123" l="1"/>
  <c r="F869" i="123"/>
  <c r="O113" i="72"/>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B859" i="123" l="1"/>
  <c r="B866" i="123" s="1"/>
  <c r="B126" i="111"/>
  <c r="B864" i="123" s="1"/>
  <c r="B128" i="111"/>
  <c r="B131" i="111"/>
  <c r="B134" i="111"/>
  <c r="B872" i="123" s="1"/>
  <c r="E40" i="87"/>
  <c r="B869" i="123" l="1"/>
  <c r="C134" i="111"/>
  <c r="C872" i="123" l="1"/>
  <c r="D134" i="111"/>
  <c r="D872" i="123" l="1"/>
  <c r="E134" i="111"/>
  <c r="F134" i="111" l="1"/>
  <c r="F872" i="123" s="1"/>
  <c r="E872" i="1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<sst xmlns="http://schemas.openxmlformats.org/spreadsheetml/2006/main" count="14695" uniqueCount="5298">
  <si>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</si>
  <si>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</si>
  <si>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</si>
  <si>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</si>
  <si>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</si>
  <si>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</si>
  <si>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</si>
  <si>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</si>
  <si>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</si>
  <si>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</si>
  <si>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</si>
  <si>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</si>
  <si>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</si>
  <si>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</si>
  <si>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</si>
  <si>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</si>
  <si>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</si>
  <si>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</si>
  <si>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</si>
  <si>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</si>
  <si>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</si>
  <si>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</si>
  <si>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</si>
  <si>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</si>
  <si>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</si>
  <si>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</si>
  <si>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</si>
  <si>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</si>
  <si>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</si>
  <si>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</si>
  <si>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</si>
  <si>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</si>
  <si>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</si>
  <si>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</si>
  <si>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</si>
  <si>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</si>
  <si>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</si>
  <si>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</si>
  <si>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</si>
  <si>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</si>
  <si>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</si>
  <si>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</si>
  <si>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</si>
  <si>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</si>
  <si>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</si>
  <si>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</si>
  <si>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</si>
  <si>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</si>
  <si>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</si>
  <si>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</si>
  <si>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</si>
  <si>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</si>
  <si>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</si>
  <si>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</si>
  <si>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</si>
  <si>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</si>
  <si>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</si>
  <si>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</si>
  <si>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</si>
  <si>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</si>
  <si>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</si>
  <si>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</si>
  <si>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</si>
  <si>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</si>
  <si>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</si>
  <si>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</si>
  <si>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</si>
  <si>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</si>
  <si>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</si>
  <si>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</si>
  <si>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</si>
  <si>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</si>
  <si>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</si>
  <si>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</si>
  <si>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</si>
  <si>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</si>
  <si>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</si>
  <si>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</si>
  <si>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</si>
  <si>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</si>
  <si>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</si>
  <si>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</si>
  <si>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</si>
  <si>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</si>
  <si>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</si>
  <si>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</si>
  <si>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</si>
  <si>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</si>
  <si>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</si>
  <si>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</si>
  <si>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</si>
  <si>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</si>
  <si>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</si>
  <si>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</si>
  <si>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</si>
  <si>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</si>
  <si>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</si>
  <si>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</si>
  <si>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</si>
  <si>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</si>
  <si>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</si>
  <si>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</si>
  <si>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</si>
  <si>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</si>
  <si>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</si>
  <si>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</si>
  <si>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</si>
  <si>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</si>
  <si>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</si>
  <si>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</si>
  <si>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</si>
  <si>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</si>
  <si>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</si>
  <si>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</si>
  <si>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</si>
  <si>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</si>
  <si>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</si>
  <si>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</si>
  <si>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</si>
  <si>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</si>
  <si>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</si>
  <si>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</si>
  <si>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</si>
  <si>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</si>
  <si>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</si>
  <si>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</si>
  <si>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</si>
  <si>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</si>
  <si>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</si>
  <si>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</si>
  <si>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</si>
  <si>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</si>
  <si>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</si>
  <si>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</si>
  <si>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</si>
  <si>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</si>
  <si>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</si>
  <si>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</si>
  <si>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</si>
  <si>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</si>
  <si>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</si>
  <si>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</si>
  <si>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</si>
  <si>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</si>
  <si>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</si>
  <si>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</si>
  <si>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</si>
  <si>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</si>
  <si>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</si>
  <si>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</si>
  <si>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</si>
  <si>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</si>
  <si>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</si>
  <si>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</si>
  <si>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</si>
  <si>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</si>
  <si>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</si>
  <si>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</si>
  <si>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</si>
  <si>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</si>
  <si>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</si>
  <si>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</si>
  <si>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</si>
  <si>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</si>
  <si>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</si>
  <si>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</si>
  <si>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</si>
  <si>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</si>
  <si>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</si>
  <si>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</si>
  <si>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</si>
  <si>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</si>
  <si>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</si>
  <si>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</si>
  <si>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</si>
  <si>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</si>
  <si>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</si>
  <si>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</si>
  <si>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</si>
  <si>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</si>
  <si>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</si>
  <si>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</si>
  <si>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</si>
  <si>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</si>
  <si>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</si>
  <si>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</si>
  <si>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</si>
  <si>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</si>
  <si>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</si>
  <si>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</si>
  <si>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</si>
  <si>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</si>
  <si>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</si>
  <si>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</si>
  <si>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</si>
  <si>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</si>
  <si>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</si>
  <si>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</si>
  <si>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</si>
  <si>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</si>
  <si>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</si>
  <si>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</si>
  <si>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</si>
  <si>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</si>
  <si>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</si>
  <si>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</si>
  <si>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</si>
  <si>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</si>
  <si>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</si>
  <si>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</si>
  <si>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</si>
  <si>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</si>
  <si>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</si>
  <si>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</si>
  <si>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</si>
  <si>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</si>
  <si>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</si>
  <si>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</si>
  <si>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</si>
  <si>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</si>
  <si>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</si>
  <si>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</si>
  <si>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</si>
  <si>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</si>
  <si>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</si>
  <si>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</si>
  <si>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</si>
  <si>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</si>
  <si>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</si>
  <si>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</si>
  <si>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</si>
  <si>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</si>
  <si>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</si>
  <si>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</si>
  <si>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</si>
  <si>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</si>
  <si>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</si>
  <si>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</si>
  <si>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</si>
  <si>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</si>
  <si>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</si>
  <si>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</si>
  <si>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</si>
  <si>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</si>
  <si>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</si>
  <si>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</si>
  <si>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</si>
  <si>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</si>
  <si>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</si>
  <si>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</si>
  <si>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</si>
  <si>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</si>
  <si>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</si>
  <si>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</si>
  <si>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</si>
  <si>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</si>
  <si>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</si>
  <si>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</si>
  <si>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</si>
  <si>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</si>
  <si>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</si>
  <si>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</si>
  <si>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</si>
  <si>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</si>
  <si>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</si>
  <si>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</si>
  <si>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</si>
  <si>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</si>
  <si>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</si>
  <si>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</si>
  <si>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</si>
  <si>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</si>
  <si>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</si>
  <si>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</si>
  <si>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</si>
  <si>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</si>
  <si>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</si>
  <si>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</si>
  <si>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</si>
  <si>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</si>
  <si>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</si>
  <si>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</si>
  <si>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</si>
  <si>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</si>
  <si>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</si>
  <si>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</si>
  <si>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</si>
  <si>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</si>
  <si>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</si>
  <si>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</si>
  <si>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</si>
  <si>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</si>
  <si>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</si>
  <si>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</si>
  <si>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</si>
  <si>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</si>
  <si>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</si>
  <si>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</si>
  <si>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</si>
  <si>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</si>
  <si>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</si>
  <si>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</si>
  <si>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</si>
  <si>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</si>
  <si>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</si>
  <si>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</si>
  <si>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</si>
  <si>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</si>
  <si>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</si>
  <si>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</si>
  <si>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</si>
  <si>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</si>
  <si>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</si>
  <si>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</si>
  <si>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</si>
  <si>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</si>
  <si>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</si>
  <si>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</si>
  <si>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</si>
  <si>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</si>
  <si>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</si>
  <si>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</si>
  <si>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</si>
  <si>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</si>
  <si>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</si>
  <si>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</si>
  <si>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</si>
  <si>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</si>
  <si>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</si>
  <si>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</si>
  <si>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</si>
  <si>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</si>
  <si>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</si>
  <si>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</si>
  <si>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</si>
  <si>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</si>
  <si>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</si>
  <si>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</si>
  <si>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</si>
  <si>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</si>
  <si>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</si>
  <si>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</si>
  <si>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</si>
  <si>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</si>
  <si>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</si>
  <si>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</si>
  <si>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</si>
  <si>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</si>
  <si>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</si>
  <si>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</si>
  <si>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</si>
  <si>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</si>
  <si>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</si>
  <si>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</si>
  <si>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</si>
  <si>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</si>
  <si>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</si>
  <si>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</si>
  <si>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</si>
  <si>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</si>
  <si>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</si>
  <si>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</si>
  <si>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</si>
  <si>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</si>
  <si>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</si>
  <si>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</si>
  <si>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</si>
  <si>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</si>
  <si>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</si>
  <si>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</si>
  <si>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</si>
  <si>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</si>
  <si>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</si>
  <si>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</si>
  <si>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</si>
  <si>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</si>
  <si>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</si>
  <si>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</si>
  <si>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</si>
  <si>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</si>
  <si>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</si>
  <si>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</si>
  <si>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</si>
  <si>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</si>
  <si>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</si>
  <si>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</si>
  <si>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</si>
  <si>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</si>
  <si>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</si>
  <si>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</si>
  <si>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</si>
  <si>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</si>
  <si>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</si>
  <si>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</si>
  <si>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</si>
  <si>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</si>
  <si>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</si>
  <si>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</si>
  <si>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</si>
  <si>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</si>
  <si>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</si>
  <si>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</si>
  <si>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</si>
  <si>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</si>
  <si>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</si>
  <si>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</si>
  <si>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</si>
  <si>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</si>
  <si>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</si>
  <si>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</si>
  <si>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</si>
  <si>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</si>
  <si>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</si>
  <si>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</si>
  <si>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</si>
  <si>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</si>
  <si>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</si>
  <si>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</si>
  <si>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</si>
  <si>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</si>
  <si>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</si>
  <si>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</si>
  <si>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</si>
  <si>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</si>
  <si>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</si>
  <si>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</si>
  <si>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</si>
  <si>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</si>
  <si>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</si>
  <si>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</si>
  <si>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</si>
  <si>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</si>
  <si>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</si>
  <si>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</si>
  <si>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</si>
  <si>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</si>
  <si>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</si>
  <si>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</si>
  <si>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</si>
  <si>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</si>
  <si>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</si>
  <si>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</si>
  <si>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</si>
  <si>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</si>
  <si>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</si>
  <si>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</si>
  <si>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</si>
  <si>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</si>
  <si>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</si>
  <si>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</si>
  <si>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</si>
  <si>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</si>
  <si>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</si>
  <si>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</si>
  <si>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</si>
  <si>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</si>
  <si>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</si>
  <si>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</si>
  <si>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</si>
  <si>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</si>
  <si>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</si>
  <si>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</si>
  <si>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</si>
  <si>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</si>
  <si>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</si>
  <si>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</si>
  <si>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</si>
  <si>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</si>
  <si>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</si>
  <si>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</si>
  <si>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</si>
  <si>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</si>
  <si>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</si>
  <si>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</si>
  <si>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</si>
  <si>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</si>
  <si>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</si>
  <si>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</si>
  <si>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</si>
  <si>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</si>
  <si>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</si>
  <si>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</si>
  <si>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</si>
  <si>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</si>
  <si>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</si>
  <si>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</si>
  <si>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</si>
  <si>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</si>
  <si>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</si>
  <si>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</si>
  <si>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</si>
  <si>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</si>
  <si>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</si>
  <si>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</si>
  <si>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</si>
  <si>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</si>
  <si>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</si>
  <si>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</si>
  <si>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</si>
  <si>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</si>
  <si>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</si>
  <si>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</si>
  <si>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</si>
  <si>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</si>
  <si>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</si>
  <si>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</si>
  <si>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</si>
  <si>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</si>
  <si>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</si>
  <si>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</si>
  <si>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</si>
  <si>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</si>
  <si>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</si>
  <si>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</si>
  <si>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</si>
  <si>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</si>
  <si>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</si>
  <si>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</si>
  <si>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</si>
  <si>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</si>
  <si>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</si>
  <si>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</si>
  <si>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</si>
  <si>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</si>
  <si>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</si>
  <si>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</si>
  <si>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</si>
  <si>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</si>
  <si>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</si>
  <si>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</si>
  <si>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</si>
  <si>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</si>
  <si>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</si>
  <si>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</si>
  <si>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</si>
  <si>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</si>
  <si>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</si>
  <si>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</si>
  <si>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</si>
  <si>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</si>
  <si>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</si>
  <si>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</si>
  <si>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</si>
  <si>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</si>
  <si>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</si>
  <si>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</si>
  <si>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</si>
  <si>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</si>
  <si>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</si>
  <si>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</si>
  <si>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</si>
  <si>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</si>
  <si>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</si>
  <si>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</si>
  <si>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</si>
  <si>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</si>
  <si>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</si>
  <si>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</si>
  <si>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</si>
  <si>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</si>
  <si>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</si>
  <si>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</si>
  <si>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</si>
  <si>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</si>
  <si>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</si>
  <si>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</si>
  <si>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</si>
  <si>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</si>
  <si>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</si>
  <si>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</si>
  <si>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</si>
  <si>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</si>
  <si>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</si>
  <si>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</si>
  <si>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</si>
  <si>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</si>
  <si>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</si>
  <si>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</si>
  <si>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</si>
  <si>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</si>
  <si>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</si>
  <si>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</si>
  <si>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</si>
  <si>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</si>
  <si>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</si>
  <si>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</si>
  <si>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</si>
  <si>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</si>
  <si>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</si>
  <si>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</si>
  <si>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</si>
  <si>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</si>
  <si>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</si>
  <si>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</si>
  <si>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</si>
  <si>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</si>
  <si>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</si>
  <si>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</si>
  <si>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</si>
  <si>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</si>
  <si>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</si>
  <si>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</si>
  <si>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</si>
  <si>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</si>
  <si>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</si>
  <si>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</si>
  <si>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</si>
  <si>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</si>
  <si>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</si>
  <si>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</si>
  <si>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</si>
  <si>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</si>
  <si>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</si>
  <si>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</si>
  <si>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</si>
  <si>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</si>
  <si>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</si>
  <si>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</si>
  <si>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</si>
  <si>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</si>
  <si>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</si>
  <si>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</si>
  <si>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</si>
  <si>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</si>
  <si>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</si>
  <si>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</si>
  <si>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</si>
  <si>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</si>
  <si>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</si>
  <si>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</si>
  <si>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</si>
  <si>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</si>
  <si>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</si>
  <si>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</si>
  <si>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</si>
  <si>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</si>
  <si>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</si>
  <si>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</si>
  <si>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</si>
  <si>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</si>
  <si>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</si>
  <si>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</si>
  <si>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</si>
  <si>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</si>
  <si>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</si>
  <si>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</si>
  <si>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</si>
  <si>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</si>
  <si>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</si>
  <si>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</si>
  <si>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</si>
  <si>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</si>
  <si>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</si>
  <si>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</si>
  <si>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</si>
  <si>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</si>
  <si>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</si>
  <si>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</si>
  <si>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</si>
  <si>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</si>
  <si>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</si>
  <si>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</si>
  <si>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</si>
  <si>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</si>
  <si>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</si>
  <si>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</si>
  <si>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</si>
  <si>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</si>
  <si>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</si>
  <si>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</si>
  <si>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</si>
  <si>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</si>
  <si>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</si>
  <si>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</si>
  <si>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</si>
  <si>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</si>
  <si>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</si>
  <si>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</si>
  <si>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</si>
  <si>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</si>
  <si>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</si>
  <si>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</si>
  <si>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</si>
  <si>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</si>
  <si>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</si>
  <si>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</si>
  <si>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</si>
  <si>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</si>
  <si>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</si>
  <si>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</si>
  <si>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</si>
  <si>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</si>
  <si>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</si>
  <si>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</si>
  <si>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</si>
  <si>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</si>
  <si>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</si>
  <si>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</si>
  <si>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</si>
  <si>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</si>
  <si>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</si>
  <si>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</si>
  <si>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</si>
  <si>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</si>
  <si>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</si>
  <si>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</si>
  <si>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</si>
  <si>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</si>
  <si>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</si>
  <si>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</si>
  <si>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</si>
  <si>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</si>
  <si>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</si>
  <si>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</si>
  <si>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</si>
  <si>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</si>
  <si>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</si>
  <si>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</si>
  <si>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</si>
  <si>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</si>
  <si>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</si>
  <si>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</si>
  <si>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</si>
  <si>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</si>
  <si>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</si>
  <si>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</si>
  <si>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</si>
  <si>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</si>
  <si>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</si>
  <si>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</si>
  <si>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</si>
  <si>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</si>
  <si>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</si>
  <si>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</si>
  <si>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</si>
  <si>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</si>
  <si>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</si>
  <si>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</si>
  <si>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</si>
  <si>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</si>
  <si>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</si>
  <si>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</si>
  <si>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</si>
  <si>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</si>
  <si>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</si>
  <si>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</si>
  <si>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</si>
  <si>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</si>
  <si>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</si>
  <si>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</si>
  <si>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</si>
  <si>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</si>
  <si>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</si>
  <si>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</si>
  <si>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</si>
  <si>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</si>
  <si>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</si>
  <si>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</si>
  <si>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</si>
  <si>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</si>
  <si>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</si>
  <si>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</si>
  <si>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</si>
  <si>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</si>
  <si>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</si>
  <si>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</si>
  <si>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</si>
  <si>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</si>
  <si>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</si>
  <si>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</si>
  <si>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</si>
  <si>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</si>
  <si>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</si>
  <si>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</si>
  <si>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</si>
  <si>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</si>
  <si>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</si>
  <si>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</si>
  <si>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</si>
  <si>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</si>
  <si>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</si>
  <si>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</si>
  <si>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</si>
  <si>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</si>
  <si>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</si>
  <si>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</si>
  <si>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</si>
  <si>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</si>
  <si>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</si>
  <si>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</si>
  <si>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</si>
  <si>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</si>
  <si>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</si>
  <si>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</si>
  <si>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</si>
  <si>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</si>
  <si>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</si>
  <si>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</si>
  <si>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</si>
  <si>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</si>
  <si>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</si>
  <si>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</si>
  <si>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</si>
  <si>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</si>
  <si>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</si>
  <si>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</si>
  <si>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</si>
  <si>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</si>
  <si>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</si>
  <si>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</si>
  <si>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</si>
  <si>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</si>
  <si>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</si>
  <si>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</si>
  <si>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</si>
  <si>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</si>
  <si>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</si>
  <si>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</si>
  <si>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</si>
  <si>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</si>
  <si>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</si>
  <si>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</si>
  <si>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</si>
  <si>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</si>
  <si>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</si>
  <si>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</si>
  <si>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</si>
  <si>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</si>
  <si>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</si>
  <si>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</si>
  <si>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</si>
  <si>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</si>
  <si>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</si>
  <si>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</si>
  <si>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</si>
  <si>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</si>
  <si>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</si>
  <si>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</si>
  <si>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</si>
  <si>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</si>
  <si>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</si>
  <si>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</si>
  <si>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</si>
  <si>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</si>
  <si>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</si>
  <si>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</si>
  <si>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</si>
  <si>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</si>
  <si>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</si>
  <si>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</si>
  <si>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</si>
  <si>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</si>
  <si>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</si>
  <si>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</si>
  <si>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</si>
  <si>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</si>
  <si>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</si>
  <si>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</si>
  <si>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</si>
  <si>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</si>
  <si>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</si>
  <si>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</si>
  <si>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</si>
  <si>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</si>
  <si>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</si>
  <si>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</si>
  <si>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</si>
  <si>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</si>
  <si>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</si>
  <si>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</si>
  <si>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</si>
  <si>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</si>
  <si>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</si>
  <si>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</si>
  <si>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</si>
  <si>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</si>
  <si>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</si>
  <si>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</si>
  <si>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</si>
  <si>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</si>
  <si>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</si>
  <si>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</si>
  <si>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</si>
  <si>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</si>
  <si>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</si>
  <si>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</si>
  <si>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</si>
  <si>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</si>
  <si>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</si>
  <si>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</si>
  <si>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</si>
  <si>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</si>
  <si>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</si>
  <si>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</si>
  <si>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</si>
  <si>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</si>
  <si>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</si>
  <si>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</si>
  <si>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</si>
  <si>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</si>
  <si>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</si>
  <si>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</si>
  <si>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</si>
  <si>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</si>
  <si>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</si>
  <si>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</si>
  <si>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</si>
  <si>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</si>
  <si>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</si>
  <si>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</si>
  <si>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</si>
  <si>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</si>
  <si>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</si>
  <si>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</si>
  <si>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</si>
  <si>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</si>
  <si>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</si>
  <si>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</si>
  <si>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</si>
  <si>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</si>
  <si>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</si>
  <si>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</si>
  <si>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</si>
  <si>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</si>
  <si>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</si>
  <si>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</si>
  <si>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</si>
  <si>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</si>
  <si>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</si>
  <si>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</si>
  <si>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</si>
  <si>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</si>
  <si>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</si>
  <si>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</si>
  <si>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</si>
  <si>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</si>
  <si>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</si>
  <si>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</si>
  <si>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</si>
  <si>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</si>
  <si>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</si>
  <si>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</si>
  <si>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</si>
  <si>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</si>
  <si>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</si>
  <si>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</si>
  <si>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</si>
  <si>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</si>
  <si>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</si>
  <si>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</si>
  <si>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</si>
  <si>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</si>
  <si>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</si>
  <si>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</si>
  <si>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</si>
  <si>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</si>
  <si>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</si>
  <si>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</si>
  <si>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</si>
  <si>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</si>
  <si>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</si>
  <si>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</si>
  <si>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</si>
  <si>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</si>
  <si>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</si>
  <si>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</si>
  <si>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</si>
  <si>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</si>
  <si>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</si>
  <si>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</si>
  <si>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</si>
  <si>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</si>
  <si>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</si>
  <si>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</si>
  <si>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</si>
  <si>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</si>
  <si>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</si>
  <si>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</si>
  <si>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</si>
  <si>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</si>
  <si>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</si>
  <si>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</si>
  <si>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</si>
  <si>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</si>
  <si>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</si>
  <si>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</si>
  <si>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</si>
  <si>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</si>
  <si>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</si>
  <si>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</si>
  <si>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</si>
  <si>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</si>
  <si>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</si>
  <si>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</si>
  <si>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</si>
  <si>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</si>
  <si>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</si>
  <si>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</si>
  <si>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</si>
  <si>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</si>
  <si>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</si>
  <si>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</si>
  <si>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</si>
  <si>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</si>
  <si>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</si>
  <si>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</si>
  <si>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</si>
  <si>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</si>
  <si>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</si>
  <si>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</si>
  <si>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</si>
  <si>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</si>
  <si>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</si>
  <si>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</si>
  <si>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</si>
  <si>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</si>
  <si>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</si>
  <si>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</si>
  <si>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</si>
  <si>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</si>
  <si>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</si>
  <si>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</si>
  <si>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</si>
  <si>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</si>
  <si>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</si>
  <si>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</si>
  <si>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</si>
  <si>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</si>
  <si>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</si>
  <si>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</si>
  <si>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</si>
  <si>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</si>
  <si>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</si>
  <si>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</si>
  <si>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</si>
  <si>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</si>
  <si>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</si>
  <si>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</si>
  <si>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</si>
  <si>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</si>
  <si>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</si>
  <si>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</si>
  <si>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</si>
  <si>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</si>
  <si>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</si>
  <si>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</si>
  <si>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</si>
  <si>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</si>
  <si>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</si>
  <si>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</si>
  <si>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</si>
  <si>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</si>
  <si>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</si>
  <si>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</si>
  <si>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</si>
  <si>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</si>
  <si>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</si>
  <si>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</si>
  <si>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</si>
  <si>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</si>
  <si>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</si>
  <si>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</si>
  <si>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</si>
  <si>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</si>
  <si>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</si>
  <si>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</si>
  <si>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</si>
  <si>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</si>
  <si>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</si>
  <si>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</si>
  <si>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</si>
  <si>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</si>
  <si>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</si>
  <si>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</si>
  <si>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</si>
  <si>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</si>
  <si>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</si>
  <si>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</si>
  <si>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</si>
  <si>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</si>
  <si>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</si>
  <si>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</si>
  <si>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</si>
  <si>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</si>
  <si>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</si>
  <si>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</si>
  <si>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</si>
  <si>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</si>
  <si>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</si>
  <si>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</si>
  <si>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</si>
  <si>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</si>
  <si>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</si>
  <si>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</si>
  <si>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</si>
  <si>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</si>
  <si>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</si>
  <si>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</si>
  <si>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</si>
  <si>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</si>
  <si>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</si>
  <si>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</si>
  <si>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</si>
  <si>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</si>
  <si>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</si>
  <si>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</si>
  <si>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</si>
  <si>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</si>
  <si>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</si>
  <si>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</si>
  <si>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</si>
  <si>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</si>
  <si>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</si>
  <si>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</si>
  <si>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</si>
  <si>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</si>
  <si>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</si>
  <si>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</si>
  <si>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</si>
  <si>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</si>
  <si>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</si>
  <si>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</si>
  <si>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</si>
  <si>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</si>
  <si>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</si>
  <si>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</si>
  <si>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</si>
  <si>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</si>
  <si>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</si>
  <si>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</si>
  <si>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</si>
  <si>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</si>
  <si>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</si>
  <si>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</si>
  <si>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</si>
  <si>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</si>
  <si>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</si>
  <si>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</si>
  <si>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</si>
  <si>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</si>
  <si>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</si>
  <si>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</si>
  <si>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</si>
  <si>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</si>
  <si>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</si>
  <si>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</si>
  <si>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</si>
  <si>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</si>
  <si>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</si>
  <si>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</si>
  <si>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</si>
  <si>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</si>
  <si>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</si>
  <si>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</si>
  <si>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</si>
  <si>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</si>
  <si>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</si>
  <si>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</si>
  <si>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</si>
  <si>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</si>
  <si>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</si>
  <si>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</si>
  <si>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</si>
  <si>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</si>
  <si>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</si>
  <si>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</si>
  <si>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</si>
  <si>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</si>
  <si>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</si>
  <si>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</si>
  <si>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</si>
  <si>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</si>
  <si>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</si>
  <si>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</si>
  <si>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</si>
  <si>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</si>
  <si>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</si>
  <si>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</si>
  <si>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</si>
  <si>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</si>
  <si>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</si>
  <si>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</si>
  <si>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</si>
  <si>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</si>
  <si>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</si>
  <si>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</si>
  <si>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</si>
  <si>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</si>
  <si>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</si>
  <si>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</si>
  <si>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</si>
  <si>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</si>
  <si>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</si>
  <si>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</si>
  <si>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</si>
  <si>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</si>
  <si>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</si>
  <si>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</si>
  <si>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</si>
  <si>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</si>
  <si>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</si>
  <si>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</si>
  <si>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</si>
  <si>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</si>
  <si>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</si>
  <si>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</si>
  <si>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</si>
  <si>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</si>
  <si>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</si>
  <si>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</si>
  <si>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</si>
  <si>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</si>
  <si>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</si>
  <si>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</si>
  <si>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</si>
  <si>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</si>
  <si>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</si>
  <si>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</si>
  <si>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</si>
  <si>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</si>
  <si>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</si>
  <si>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</si>
  <si>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</si>
  <si>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</si>
  <si>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</si>
  <si>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</si>
  <si>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</si>
  <si>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</si>
  <si>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</si>
  <si>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</si>
  <si>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</si>
  <si>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</si>
  <si>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</si>
  <si>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</si>
  <si>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</si>
  <si>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</si>
  <si>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</si>
  <si>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</si>
  <si>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</si>
  <si>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</si>
  <si>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</si>
  <si>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</si>
  <si>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</si>
  <si>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</si>
  <si>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</si>
  <si>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</si>
  <si>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</si>
  <si>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</si>
  <si>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</si>
  <si>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</si>
  <si>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</si>
  <si>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</si>
  <si>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</si>
  <si>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</si>
  <si>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</si>
  <si>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</si>
  <si>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</si>
  <si>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</si>
  <si>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</si>
  <si>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</si>
  <si>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</si>
  <si>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</si>
  <si>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</si>
  <si>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</si>
  <si>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</si>
  <si>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</si>
  <si>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</si>
  <si>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</si>
  <si>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</si>
  <si>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</si>
  <si>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</si>
  <si>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</si>
  <si>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</si>
  <si>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</si>
  <si>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</si>
  <si>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</si>
  <si>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</si>
  <si>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</si>
  <si>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</si>
  <si>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</si>
  <si>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</si>
  <si>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</si>
  <si>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</si>
  <si>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</si>
  <si>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</si>
  <si>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</si>
  <si>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</si>
  <si>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</si>
  <si>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</si>
  <si>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</si>
  <si>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</si>
  <si>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</si>
  <si>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</si>
  <si>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</si>
  <si>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</si>
  <si>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</si>
  <si>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</si>
  <si>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</si>
  <si>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</si>
  <si>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</si>
  <si>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</si>
  <si>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</si>
  <si>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</si>
  <si>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</si>
  <si>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</si>
  <si>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</si>
  <si>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</si>
  <si>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</si>
  <si>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</si>
  <si>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</si>
  <si>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</si>
  <si>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</si>
  <si>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</si>
  <si>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</si>
  <si>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</si>
  <si>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</si>
  <si>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</si>
  <si>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</si>
  <si>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</si>
  <si>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</si>
  <si>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</si>
  <si>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</si>
  <si>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</si>
  <si>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</si>
  <si>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</si>
  <si>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</si>
  <si>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</si>
  <si>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</si>
  <si>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</si>
  <si>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</si>
  <si>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</si>
  <si>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</si>
  <si>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</si>
  <si>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</si>
  <si>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</si>
  <si>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</si>
  <si>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</si>
  <si>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</si>
  <si>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</si>
  <si>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</si>
  <si>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</si>
  <si>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</si>
  <si>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</si>
  <si>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</si>
  <si>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</si>
  <si>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</si>
  <si>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</si>
  <si>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</si>
  <si>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</si>
  <si>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</si>
  <si>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</si>
  <si>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</si>
  <si>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</si>
  <si>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</si>
  <si>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</si>
  <si>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</si>
  <si>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</si>
  <si>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</si>
  <si>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</si>
  <si>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</si>
  <si>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</si>
  <si>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</si>
  <si>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</si>
  <si>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</si>
  <si>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</si>
  <si>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</si>
  <si>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</si>
  <si>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</si>
  <si>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</si>
  <si>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</si>
  <si>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</si>
  <si>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</si>
  <si>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</si>
  <si>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</si>
  <si>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</si>
  <si>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</si>
  <si>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</si>
  <si>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</si>
  <si>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</si>
  <si>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</si>
  <si>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</si>
  <si>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</si>
  <si>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</si>
  <si>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</si>
  <si>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</si>
  <si>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</si>
  <si>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</si>
  <si>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</si>
  <si>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</si>
  <si>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</si>
  <si>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</si>
  <si>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</si>
  <si>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</si>
  <si>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</si>
  <si>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</si>
  <si>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</si>
  <si>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</si>
  <si>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</si>
  <si>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</si>
  <si>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</si>
  <si>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</si>
  <si>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</si>
  <si>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</si>
  <si>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</si>
  <si>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</si>
  <si>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</si>
  <si>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</si>
  <si>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</si>
  <si>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</si>
  <si>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</si>
  <si>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</si>
  <si>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</si>
  <si>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</si>
  <si>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</si>
  <si>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</si>
  <si>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</si>
  <si>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</si>
  <si>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</si>
  <si>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</si>
  <si>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</si>
  <si>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</si>
  <si>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</si>
  <si>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</si>
  <si>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</si>
  <si>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</si>
  <si>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</si>
  <si>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</si>
  <si>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</si>
  <si>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</si>
  <si>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</si>
  <si>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</si>
  <si>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</si>
  <si>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</si>
  <si>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</si>
  <si>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</si>
  <si>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</si>
  <si>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</si>
  <si>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</si>
  <si>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</si>
  <si>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</si>
  <si>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</si>
  <si>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</si>
  <si>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</si>
  <si>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</si>
  <si>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</si>
  <si>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</si>
  <si>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</si>
  <si>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</si>
  <si>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</si>
  <si>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</si>
  <si>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</si>
  <si>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</si>
  <si>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</si>
  <si>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</si>
  <si>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</si>
  <si>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</si>
  <si>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</si>
  <si>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</si>
  <si>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</si>
  <si>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</si>
  <si>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</si>
  <si>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</si>
  <si>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</si>
  <si>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</si>
  <si>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</si>
  <si>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</si>
  <si>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</si>
  <si>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</si>
  <si>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</si>
  <si>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</si>
  <si>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</si>
  <si>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</si>
  <si>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</si>
  <si>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</si>
  <si>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</si>
  <si>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</si>
  <si>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</si>
  <si>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</si>
  <si>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</si>
  <si>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</si>
  <si>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</si>
  <si>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</si>
  <si>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</si>
  <si>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</si>
  <si>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</si>
  <si>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</si>
  <si>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</si>
  <si>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</si>
  <si>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</si>
  <si>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</si>
  <si>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</si>
  <si>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</si>
  <si>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</si>
  <si>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</si>
  <si>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</si>
  <si>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</si>
  <si>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</si>
  <si>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</si>
  <si>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</si>
  <si>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</si>
  <si>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</si>
  <si>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</si>
  <si>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</si>
  <si>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</si>
  <si>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</si>
  <si>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</si>
  <si>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</si>
  <si>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</si>
  <si>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</si>
  <si>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</si>
  <si>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</si>
  <si>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</si>
  <si>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</si>
  <si>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</si>
  <si>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</si>
  <si>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</si>
  <si>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</si>
  <si>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</si>
  <si>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</si>
  <si>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</si>
  <si>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</si>
  <si>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</si>
  <si>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</si>
  <si>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</si>
  <si>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</si>
  <si>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</si>
  <si>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</si>
  <si>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</si>
  <si>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</si>
  <si>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</si>
  <si>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</si>
  <si>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</si>
  <si>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</si>
  <si>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</si>
  <si>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</si>
  <si>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</si>
  <si>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</si>
  <si>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</si>
  <si>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</si>
  <si>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</si>
  <si>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</si>
  <si>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</si>
  <si>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</si>
  <si>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</si>
  <si>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</si>
  <si>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</si>
  <si>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</si>
  <si>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</si>
  <si>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</si>
  <si>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</si>
  <si>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</si>
  <si>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</si>
  <si>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</si>
  <si>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</si>
  <si>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</si>
  <si>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</si>
  <si>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</si>
  <si>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</si>
  <si>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</si>
  <si>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</si>
  <si>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</si>
  <si>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</si>
  <si>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</si>
  <si>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</si>
  <si>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</si>
  <si>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</si>
  <si>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</si>
  <si>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</si>
  <si>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</si>
  <si>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</si>
  <si>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</si>
  <si>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</si>
  <si>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</si>
  <si>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</si>
  <si>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</si>
  <si>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</si>
  <si>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</si>
  <si>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</si>
  <si>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</si>
  <si>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</si>
  <si>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</si>
  <si>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</si>
  <si>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</si>
  <si>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</si>
  <si>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</si>
  <si>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</si>
  <si>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</si>
  <si>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</si>
  <si>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</si>
  <si>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</si>
  <si>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</si>
  <si>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</si>
  <si>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</si>
  <si>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</si>
  <si>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</si>
  <si>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</si>
  <si>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</si>
  <si>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</si>
  <si>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</si>
  <si>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</si>
  <si>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</si>
  <si>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</si>
  <si>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</si>
  <si>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</si>
  <si>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</si>
  <si>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</si>
  <si>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</si>
  <si>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</si>
  <si>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</si>
  <si>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</si>
  <si>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</si>
  <si>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</si>
  <si>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</si>
  <si>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</si>
  <si>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</si>
  <si>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</si>
  <si>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</si>
  <si>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</si>
  <si>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</si>
  <si>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</si>
  <si>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</si>
  <si>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</si>
  <si>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</si>
  <si>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</si>
  <si>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</si>
  <si>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</si>
  <si>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</si>
  <si>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</si>
  <si>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</si>
  <si>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</si>
  <si>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</si>
  <si>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</si>
  <si>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</si>
  <si>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</si>
  <si>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</si>
  <si>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</si>
  <si>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</si>
  <si>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</si>
  <si>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</si>
  <si>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</si>
  <si>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</si>
  <si>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</si>
  <si>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</si>
  <si>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</si>
  <si>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</si>
  <si>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</si>
  <si>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</si>
  <si>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</si>
  <si>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</si>
  <si>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</si>
  <si>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</si>
  <si>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</si>
  <si>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</si>
  <si>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</si>
  <si>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</si>
  <si>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</si>
  <si>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</si>
  <si>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</si>
  <si>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</si>
  <si>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</si>
  <si>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</si>
  <si>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</si>
  <si>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</si>
  <si>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</si>
  <si>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</si>
  <si>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</si>
  <si>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</si>
  <si>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</si>
  <si>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</si>
  <si>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</si>
  <si>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</si>
  <si>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</si>
  <si>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</si>
  <si>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</si>
  <si>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</si>
  <si>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</si>
  <si>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</si>
  <si>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</si>
  <si>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</si>
  <si>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</si>
  <si>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</si>
  <si>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</si>
  <si>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</si>
  <si>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</si>
  <si>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</si>
  <si>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</si>
  <si>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</si>
  <si>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</si>
  <si>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</si>
  <si>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</si>
  <si>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</si>
  <si>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</si>
  <si>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</si>
  <si>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</si>
  <si>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</si>
  <si>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</si>
  <si>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</si>
  <si>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</si>
  <si>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</si>
  <si>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</si>
  <si>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</si>
  <si>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</si>
  <si>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</si>
  <si>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</si>
  <si>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</si>
  <si>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</si>
  <si>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</si>
  <si>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</si>
  <si>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</si>
  <si>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</si>
  <si>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</si>
  <si>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</si>
  <si>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</si>
  <si>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</si>
  <si>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</si>
  <si>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</si>
  <si>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</si>
  <si>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</si>
  <si>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</si>
  <si>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</si>
  <si>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</si>
  <si>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</si>
  <si>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</si>
  <si>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</si>
  <si>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</si>
  <si>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</si>
  <si>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</si>
  <si>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</si>
  <si>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</si>
  <si>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</si>
  <si>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</si>
  <si>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</si>
  <si>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</si>
  <si>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</si>
  <si>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</si>
  <si>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</si>
  <si>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</si>
  <si>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</si>
  <si>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</si>
  <si>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</si>
  <si>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</si>
  <si>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</si>
  <si>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</si>
  <si>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</si>
  <si>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</si>
  <si>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</si>
  <si>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</si>
  <si>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</si>
  <si>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</si>
  <si>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</si>
  <si>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</si>
  <si>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</si>
  <si>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</si>
  <si>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</si>
  <si>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</si>
  <si>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</si>
  <si>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</si>
  <si>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</si>
  <si>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</si>
  <si>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</si>
  <si>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</si>
  <si>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</si>
  <si>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</si>
  <si>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</si>
  <si>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</si>
  <si>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</si>
  <si>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</si>
  <si>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</si>
  <si>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</si>
  <si>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</si>
  <si>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</si>
  <si>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</si>
  <si>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</si>
  <si>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</si>
  <si>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</si>
  <si>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</si>
  <si>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</si>
  <si>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</si>
  <si>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</si>
  <si>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</si>
  <si>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</si>
  <si>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</si>
  <si>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</si>
  <si>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</si>
  <si>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</si>
  <si>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</si>
  <si>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</si>
  <si>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</si>
  <si>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</si>
  <si>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</si>
  <si>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</si>
  <si>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</si>
  <si>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</si>
  <si>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</si>
  <si>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</si>
  <si>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</si>
  <si>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</si>
  <si>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</si>
  <si>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</si>
  <si>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</si>
  <si>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</si>
  <si>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</si>
  <si>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</si>
  <si>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</si>
  <si>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</si>
  <si>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</si>
  <si>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</si>
  <si>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</si>
  <si>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</si>
  <si>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</si>
  <si>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</si>
  <si>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</si>
  <si>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</si>
  <si>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</si>
  <si>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</si>
  <si>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</si>
  <si>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</si>
  <si>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</si>
  <si>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</si>
  <si>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</si>
  <si>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</si>
  <si>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</si>
  <si>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</si>
  <si>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</si>
  <si>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</si>
  <si>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</si>
  <si>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</si>
  <si>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</si>
  <si>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</si>
  <si>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</si>
  <si>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</si>
  <si>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</si>
  <si>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</si>
  <si>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</si>
  <si>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</si>
  <si>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</si>
  <si>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</si>
  <si>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</si>
  <si>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</si>
  <si>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</si>
  <si>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</si>
  <si>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</si>
  <si>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</si>
  <si>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</si>
  <si>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</si>
  <si>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</si>
  <si>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</si>
  <si>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</si>
  <si>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</si>
  <si>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</si>
  <si>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</si>
  <si>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</si>
  <si>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</si>
  <si>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</si>
  <si>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</si>
  <si>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</si>
  <si>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</si>
  <si>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</si>
  <si>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</si>
  <si>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</si>
  <si>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</si>
  <si>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</si>
  <si>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</si>
  <si>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</si>
  <si>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</si>
  <si>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</si>
  <si>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</si>
  <si>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</si>
  <si>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</si>
  <si>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</si>
  <si>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</si>
  <si>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</si>
  <si>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</si>
  <si>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</si>
  <si>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</si>
  <si>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</si>
  <si>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</si>
  <si>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</si>
  <si>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</si>
  <si>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</si>
  <si>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</si>
  <si>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</si>
  <si>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</si>
  <si>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</si>
  <si>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</si>
  <si>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</si>
  <si>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</si>
  <si>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</si>
  <si>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</si>
  <si>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</si>
  <si>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</si>
  <si>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</si>
  <si>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</si>
  <si>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</si>
  <si>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</si>
  <si>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</si>
  <si>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</si>
  <si>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</si>
  <si>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</si>
  <si>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</si>
  <si>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</si>
  <si>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</si>
  <si>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</si>
  <si>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</si>
  <si>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</si>
  <si>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</si>
  <si>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</si>
  <si>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</si>
  <si>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</si>
  <si>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</si>
  <si>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</si>
  <si>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</si>
  <si>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</si>
  <si>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</si>
  <si>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</si>
  <si>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</si>
  <si>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</si>
  <si>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</si>
  <si>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</si>
  <si>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</si>
  <si>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</si>
  <si>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</si>
  <si>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</si>
  <si>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</si>
  <si>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</si>
  <si>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</si>
  <si>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</si>
  <si>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</si>
  <si>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</si>
  <si>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</si>
  <si>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</si>
  <si>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</si>
  <si>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</si>
  <si>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</si>
  <si>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</si>
  <si>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</si>
  <si>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</si>
  <si>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</si>
  <si>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</si>
  <si>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</si>
  <si>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</si>
  <si>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</si>
  <si>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</si>
  <si>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</si>
  <si>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</si>
  <si>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</si>
  <si>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</si>
  <si>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</si>
  <si>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</si>
  <si>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</si>
  <si>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</si>
  <si>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</si>
  <si>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</si>
  <si>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</si>
  <si>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</si>
  <si>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</si>
  <si>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</si>
  <si>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</si>
  <si>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</si>
  <si>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</si>
  <si>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</si>
  <si>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</si>
  <si>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</si>
  <si>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</si>
  <si>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</si>
  <si>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</si>
  <si>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</si>
  <si>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</si>
  <si>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</si>
  <si>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</si>
  <si>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</si>
  <si>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</si>
  <si>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</si>
  <si>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</si>
  <si>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</si>
  <si>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</si>
  <si>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</si>
  <si>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</si>
  <si>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</si>
  <si>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</si>
  <si>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</si>
  <si>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</si>
  <si>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</si>
  <si>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</si>
  <si>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</si>
  <si>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</si>
  <si>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</si>
  <si>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</si>
  <si>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</si>
  <si>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</si>
  <si>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</si>
  <si>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</si>
  <si>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</si>
  <si>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</si>
  <si>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</si>
  <si>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</si>
  <si>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</si>
  <si>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</si>
  <si>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</si>
  <si>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</si>
  <si>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</si>
  <si>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</si>
  <si>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</si>
  <si>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</si>
  <si>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</si>
  <si>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</si>
  <si>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</si>
  <si>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</si>
  <si>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</si>
  <si>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</si>
  <si>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</si>
  <si>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</si>
  <si>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</si>
  <si>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</si>
  <si>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</si>
  <si>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</si>
  <si>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</si>
  <si>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</si>
  <si>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</si>
  <si>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</si>
  <si>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</si>
  <si>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</si>
  <si>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</si>
  <si>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</si>
  <si>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</si>
  <si>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</si>
  <si>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</si>
  <si>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</si>
  <si>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</si>
  <si>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</si>
  <si>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</si>
  <si>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</si>
  <si>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</si>
  <si>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</si>
  <si>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</si>
  <si>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</si>
  <si>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</si>
  <si>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</si>
  <si>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</si>
  <si>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</si>
  <si>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</si>
  <si>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</si>
  <si>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</si>
  <si>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</si>
  <si>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</si>
  <si>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</si>
  <si>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</si>
  <si>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</si>
  <si>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</si>
  <si>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</si>
  <si>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</si>
  <si>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</si>
  <si>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</si>
  <si>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</si>
  <si>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</si>
  <si>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</si>
  <si>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</si>
  <si>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</si>
  <si>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</si>
  <si>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</si>
  <si>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</si>
  <si>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</si>
  <si>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</si>
  <si>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</si>
  <si>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</si>
  <si>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</si>
  <si>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</si>
  <si>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</si>
  <si>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</si>
  <si>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</si>
  <si>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</si>
  <si>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</si>
  <si>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</si>
  <si>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</si>
  <si>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</si>
  <si>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</si>
  <si>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</si>
  <si>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</si>
  <si>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</si>
  <si>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</si>
  <si>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</si>
  <si>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</si>
  <si>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</si>
  <si>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</si>
  <si>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</si>
  <si>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</si>
  <si>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</si>
  <si>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</si>
  <si>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</si>
  <si>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</si>
  <si>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</si>
  <si>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</si>
  <si>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</si>
  <si>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</si>
  <si>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</si>
  <si>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</si>
  <si>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</si>
  <si>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</si>
  <si>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</si>
  <si>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</si>
  <si>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</si>
  <si>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</si>
  <si>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</si>
  <si>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</si>
  <si>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</si>
  <si>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</si>
  <si>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</si>
  <si>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</si>
  <si>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</si>
  <si>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</si>
  <si>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</si>
  <si>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</si>
  <si>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</si>
  <si>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</si>
  <si>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</si>
  <si>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</si>
  <si>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</si>
  <si>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</si>
  <si>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</si>
  <si>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</si>
  <si>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</si>
  <si>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</si>
  <si>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</si>
  <si>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</si>
  <si>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</si>
  <si>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</si>
  <si>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</si>
  <si>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</si>
  <si>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</si>
  <si>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</si>
  <si>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</si>
  <si>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</si>
  <si>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</si>
  <si>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</si>
  <si>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</si>
  <si>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</si>
  <si>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</si>
  <si>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</si>
  <si>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</si>
  <si>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</si>
  <si>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</si>
  <si>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</si>
  <si>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</si>
  <si>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</si>
  <si>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</si>
  <si>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</si>
  <si>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</si>
  <si>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</si>
  <si>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</si>
  <si>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</si>
  <si>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</si>
  <si>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</si>
  <si>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</si>
  <si>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</si>
  <si>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</si>
  <si>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</si>
  <si>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</si>
  <si>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</si>
  <si>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</si>
  <si>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</si>
  <si>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</si>
  <si>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</si>
  <si>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</si>
  <si>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</si>
  <si>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</si>
  <si>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</si>
  <si>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</si>
  <si>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</si>
  <si>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</si>
  <si>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</si>
  <si>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</si>
  <si>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</si>
  <si>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</si>
  <si>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</si>
  <si>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</si>
  <si>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</si>
  <si>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</si>
  <si>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</si>
  <si>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</si>
  <si>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</si>
  <si>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</si>
  <si>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</si>
  <si>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</si>
  <si>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</si>
  <si>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</si>
  <si>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</si>
  <si>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</si>
  <si>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</si>
  <si>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</si>
  <si>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</si>
  <si>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</si>
  <si>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</si>
  <si>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</si>
  <si>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</si>
  <si>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</si>
  <si>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</si>
  <si>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</si>
  <si>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</si>
  <si>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</si>
  <si>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</si>
  <si>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</si>
  <si>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</si>
  <si>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</si>
  <si>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</si>
  <si>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</si>
  <si>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</si>
  <si>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</si>
  <si>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</si>
  <si>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</si>
  <si>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</si>
  <si>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</si>
  <si>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</si>
  <si>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</si>
  <si>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</si>
  <si>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</si>
  <si>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</si>
  <si>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</si>
  <si>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</si>
  <si>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</si>
  <si>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</si>
  <si>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</si>
  <si>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</si>
  <si>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</si>
  <si>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</si>
  <si>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</si>
  <si>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</si>
  <si>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</si>
  <si>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</si>
  <si>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</si>
  <si>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</si>
  <si>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</si>
  <si>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</si>
  <si>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</si>
  <si>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</si>
  <si>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</si>
  <si>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</si>
  <si>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</si>
  <si>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</si>
  <si>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</si>
  <si>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</si>
  <si>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</si>
  <si>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</si>
  <si>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</si>
  <si>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</si>
  <si>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</si>
  <si>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</si>
  <si>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</si>
  <si>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</si>
  <si>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</si>
  <si>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</si>
  <si>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</si>
  <si>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</si>
  <si>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</si>
  <si>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</si>
  <si>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</si>
  <si>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</si>
  <si>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</si>
  <si>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</si>
  <si>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</si>
  <si>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</si>
  <si>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</si>
  <si>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</si>
  <si>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</si>
  <si>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</si>
  <si>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</si>
  <si>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</si>
  <si>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</si>
  <si>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</si>
  <si>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</si>
  <si>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</si>
  <si>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</si>
  <si>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</si>
  <si>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</si>
  <si>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</si>
  <si>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</si>
  <si>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</si>
  <si>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</si>
  <si>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</si>
  <si>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</si>
  <si>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</si>
  <si>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</si>
  <si>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</si>
  <si>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</si>
  <si>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</si>
  <si>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</si>
  <si>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</si>
  <si>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</si>
  <si>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</si>
  <si>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</si>
  <si>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</si>
  <si>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</si>
  <si>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</si>
  <si>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</si>
  <si>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</si>
  <si>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</si>
  <si>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</si>
  <si>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</si>
  <si>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</si>
  <si>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</si>
  <si>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</si>
  <si>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</si>
  <si>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</si>
  <si>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</si>
  <si>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</si>
  <si>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</si>
  <si>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</si>
  <si>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</si>
  <si>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</si>
  <si>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</si>
  <si>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</si>
  <si>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</si>
  <si>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</si>
  <si>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</si>
  <si>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</si>
  <si>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</si>
  <si>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</si>
  <si>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</si>
  <si>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</si>
  <si>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</si>
  <si>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</si>
  <si>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</si>
  <si>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</si>
  <si>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</si>
  <si>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</si>
  <si>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</si>
  <si>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</si>
  <si>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</si>
  <si>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</si>
  <si>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</si>
  <si>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</si>
  <si>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</si>
  <si>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</si>
  <si>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</si>
  <si>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</si>
  <si>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</si>
  <si>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</si>
  <si>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</si>
  <si>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</si>
  <si>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</si>
  <si>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</si>
  <si>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</si>
  <si>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</si>
  <si>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</si>
  <si>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</si>
  <si>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</si>
  <si>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</si>
  <si>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</si>
  <si>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</si>
  <si>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</si>
  <si>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</si>
  <si>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</si>
  <si>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</si>
  <si>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</si>
  <si>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</si>
  <si>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</si>
  <si>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</si>
  <si>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</si>
  <si>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</si>
  <si>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</si>
  <si>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</si>
  <si>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</si>
  <si>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</si>
  <si>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</si>
  <si>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</si>
  <si>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</si>
  <si>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</si>
  <si>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</si>
  <si>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</si>
  <si>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</si>
  <si>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</si>
  <si>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</si>
  <si>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</si>
  <si>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</si>
  <si>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</si>
  <si>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</si>
  <si>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</si>
  <si>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</si>
  <si>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</si>
  <si>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</si>
  <si>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</si>
  <si>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</si>
  <si>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</si>
  <si>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</si>
  <si>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</si>
  <si>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</si>
  <si>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</si>
  <si>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</si>
  <si>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</si>
  <si>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</si>
  <si>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</si>
  <si>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</si>
  <si>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</si>
  <si>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</si>
  <si>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</si>
  <si>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</si>
  <si>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</si>
  <si>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</si>
  <si>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</si>
  <si>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</si>
  <si>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</si>
  <si>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</si>
  <si>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</si>
  <si>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</si>
  <si>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</si>
  <si>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</si>
  <si>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</si>
  <si>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</si>
  <si>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</si>
  <si>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</si>
  <si>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</si>
  <si>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</si>
  <si>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</si>
  <si>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</si>
  <si>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</si>
  <si>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</si>
  <si>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</si>
  <si>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</si>
  <si>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</si>
  <si>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</si>
  <si>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</si>
  <si>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</si>
  <si>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</si>
  <si>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</si>
  <si>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</si>
  <si>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</si>
  <si>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</si>
  <si>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</si>
  <si>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</si>
  <si>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</si>
  <si>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</si>
  <si>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</si>
  <si>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</si>
  <si>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</si>
  <si>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</si>
  <si>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</si>
  <si>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</si>
  <si>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</si>
  <si>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</si>
  <si>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</si>
  <si>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</si>
  <si>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</si>
  <si>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</si>
  <si>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</si>
  <si>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</si>
  <si>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</si>
  <si>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</si>
  <si>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</si>
  <si>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</si>
  <si>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</si>
  <si>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</si>
  <si>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</si>
  <si>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</si>
  <si>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</si>
  <si>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</si>
  <si>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</si>
  <si>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</si>
  <si>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</si>
  <si>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</si>
  <si>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</si>
  <si>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</si>
  <si>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</si>
  <si>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</si>
  <si>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</si>
  <si>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</si>
  <si>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</si>
  <si>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</si>
  <si>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</si>
  <si>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</si>
  <si>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</si>
  <si>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</si>
  <si>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</si>
  <si>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</si>
  <si>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</si>
  <si>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</si>
  <si>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</si>
  <si>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</si>
  <si>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</si>
  <si>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</si>
  <si>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</si>
  <si>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</si>
  <si>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</si>
  <si>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</si>
  <si>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</si>
  <si>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</si>
  <si>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</si>
  <si>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</si>
  <si>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</si>
  <si>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</si>
  <si>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</si>
  <si>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</si>
  <si>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</si>
  <si>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</si>
  <si>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</si>
  <si>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</si>
  <si>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</si>
  <si>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</si>
  <si>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</si>
  <si>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</si>
  <si>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</si>
  <si>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</si>
  <si>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</si>
  <si>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</si>
  <si>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</si>
  <si>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</si>
  <si>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</si>
  <si>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</si>
  <si>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</si>
  <si>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</si>
  <si>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</si>
  <si>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</si>
  <si>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</si>
  <si>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</si>
  <si>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</si>
  <si>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</si>
  <si>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</si>
  <si>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</si>
  <si>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</si>
  <si>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</si>
  <si>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</si>
  <si>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</si>
  <si>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</si>
  <si>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</si>
  <si>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</si>
  <si>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</si>
  <si>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</si>
  <si>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</si>
  <si>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</si>
  <si>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</si>
  <si>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</si>
  <si>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</si>
  <si>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</si>
  <si>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</si>
  <si>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</si>
  <si>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</si>
  <si>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</si>
  <si>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</si>
  <si>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</si>
  <si>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</si>
  <si>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</si>
  <si>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</si>
  <si>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</si>
  <si>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</si>
  <si>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</si>
  <si>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</si>
  <si>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</si>
  <si>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</si>
  <si>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</si>
  <si>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</si>
  <si>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</si>
  <si>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</si>
  <si>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</si>
  <si>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</si>
  <si>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</si>
  <si>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</si>
  <si>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</si>
  <si>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</si>
  <si>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</si>
  <si>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</si>
  <si>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</si>
  <si>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</si>
  <si>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</si>
  <si>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</si>
  <si>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</si>
  <si>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</si>
  <si>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</si>
  <si>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</si>
  <si>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</si>
  <si>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</si>
  <si>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</si>
  <si>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</si>
  <si>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</si>
  <si>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</si>
  <si>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</si>
  <si>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</si>
  <si>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</si>
  <si>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</si>
  <si>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</si>
  <si>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</si>
  <si>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</si>
  <si>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</si>
  <si>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</si>
  <si>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</si>
  <si>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</si>
  <si>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</si>
  <si>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</si>
  <si>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</si>
  <si>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</si>
  <si>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</si>
  <si>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</si>
  <si>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</si>
  <si>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</si>
  <si>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</si>
  <si>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</si>
  <si>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</si>
  <si>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</si>
  <si>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</si>
  <si>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</si>
  <si>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</si>
  <si>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</si>
  <si>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</si>
  <si>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</si>
  <si>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</si>
  <si>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</si>
  <si>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</si>
  <si>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</si>
  <si>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</si>
  <si>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</si>
  <si>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</si>
  <si>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</si>
  <si>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</si>
  <si>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</si>
  <si>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</si>
  <si>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</si>
  <si>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</si>
  <si>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</si>
  <si>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</si>
  <si>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</si>
  <si>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</si>
  <si>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</si>
  <si>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</si>
  <si>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</si>
  <si>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</si>
  <si>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</si>
  <si>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</si>
  <si>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</si>
  <si>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</si>
  <si>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</si>
  <si>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</si>
  <si>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</si>
  <si>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</si>
  <si>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</si>
  <si>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</si>
  <si>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</si>
  <si>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</si>
  <si>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</si>
  <si>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</si>
  <si>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</si>
  <si>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</si>
  <si>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</si>
  <si>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</si>
  <si>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</si>
  <si>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</si>
  <si>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</si>
  <si>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</si>
  <si>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</si>
  <si>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</si>
  <si>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</si>
  <si>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</si>
  <si>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</si>
  <si>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</si>
  <si>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</si>
  <si>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</si>
  <si>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</si>
  <si>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</si>
  <si>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</si>
  <si>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</si>
  <si>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</si>
  <si>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</si>
  <si>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</si>
  <si>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</si>
  <si>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</si>
  <si>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</si>
  <si>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</si>
  <si>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</si>
  <si>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</si>
  <si>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</si>
  <si>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</si>
  <si>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</si>
  <si>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</si>
  <si>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</si>
  <si>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</si>
  <si>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</si>
  <si>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</si>
  <si>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</si>
  <si>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</si>
  <si>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</si>
  <si>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</si>
  <si>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</si>
  <si>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</si>
  <si>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</si>
  <si>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</si>
  <si>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</si>
  <si>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</si>
  <si>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</si>
  <si>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</si>
  <si>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</si>
  <si>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</si>
  <si>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</si>
  <si>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</si>
  <si>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</si>
  <si>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</si>
  <si>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</si>
  <si>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</si>
  <si>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</si>
  <si>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</si>
  <si>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</si>
  <si>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</si>
  <si>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</si>
  <si>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</si>
  <si>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</si>
  <si>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</si>
  <si>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</si>
  <si>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</si>
  <si>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</si>
  <si>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</si>
  <si>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</si>
  <si>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</si>
  <si>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</si>
  <si>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</si>
  <si>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</si>
  <si>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</si>
  <si>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</si>
  <si>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</si>
  <si>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</si>
  <si>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</si>
  <si>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</si>
  <si>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</si>
  <si>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</si>
  <si>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</si>
  <si>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</si>
  <si>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</si>
  <si>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</si>
  <si>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</si>
  <si>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</si>
  <si>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</si>
  <si>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</si>
  <si>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</si>
  <si>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</si>
  <si>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</si>
  <si>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</si>
  <si>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</si>
  <si>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</si>
  <si>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</si>
  <si>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</si>
  <si>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</si>
  <si>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</si>
  <si>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</si>
  <si>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</si>
  <si>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</si>
  <si>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</si>
  <si>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</si>
  <si>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</si>
  <si>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</si>
  <si>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</si>
  <si>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</si>
  <si>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</si>
  <si>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</si>
  <si>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</si>
  <si>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</si>
  <si>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</si>
  <si>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</si>
  <si>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</si>
  <si>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</si>
  <si>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</si>
  <si>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</si>
  <si>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</si>
  <si>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</si>
  <si>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</si>
  <si>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</si>
  <si>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</si>
  <si>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</si>
  <si>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</si>
  <si>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</si>
  <si>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</si>
  <si>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</si>
  <si>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</si>
  <si>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</si>
  <si>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</si>
  <si>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</si>
  <si>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</si>
  <si>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</si>
  <si>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</si>
  <si>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</si>
  <si>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</si>
  <si>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</si>
  <si>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</si>
  <si>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</si>
  <si>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</si>
  <si>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</si>
  <si>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</si>
  <si>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</si>
  <si>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</si>
  <si>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</si>
  <si>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</si>
  <si>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</si>
  <si>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</si>
  <si>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</si>
  <si>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</si>
  <si>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</si>
  <si>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</si>
  <si>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</si>
  <si>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</si>
  <si>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</si>
  <si>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</si>
  <si>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</si>
  <si>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</si>
  <si>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</si>
  <si>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</si>
  <si>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</si>
  <si>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</si>
  <si>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</si>
  <si>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</si>
  <si>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</si>
  <si>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</si>
  <si>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</si>
  <si>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</si>
  <si>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</si>
  <si>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</si>
  <si>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</si>
  <si>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</si>
  <si>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</si>
  <si>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</si>
  <si>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</si>
  <si>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</si>
  <si>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</si>
  <si>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</si>
  <si>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</si>
  <si>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</si>
  <si>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</si>
  <si>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</si>
  <si>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</si>
  <si>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</si>
  <si>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</si>
  <si>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</si>
  <si>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</si>
  <si>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</si>
  <si>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</si>
  <si>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</si>
  <si>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</si>
  <si>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</si>
  <si>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</si>
  <si>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</si>
  <si>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</si>
  <si>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</si>
  <si>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</si>
  <si>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</si>
  <si>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</si>
  <si>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</si>
  <si>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</si>
  <si>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</si>
  <si>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</si>
  <si>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</si>
  <si>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</si>
  <si>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</si>
  <si>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</si>
  <si>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</si>
  <si>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</si>
  <si>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</si>
  <si>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</si>
  <si>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</si>
  <si>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</si>
  <si>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</si>
  <si>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</si>
  <si>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</si>
  <si>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</si>
  <si>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</si>
  <si>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</si>
  <si>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</si>
  <si>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</si>
  <si>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</si>
  <si>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</si>
  <si>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</si>
  <si>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</si>
  <si>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</si>
  <si>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</si>
  <si>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</si>
  <si>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</si>
  <si>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</si>
  <si>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</si>
  <si>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</si>
  <si>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</si>
  <si>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</si>
  <si>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</si>
  <si>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</si>
  <si>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</si>
  <si>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</si>
  <si>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</si>
  <si>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</si>
  <si>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</si>
  <si>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</si>
  <si>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</si>
  <si>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</si>
  <si>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</si>
  <si>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</si>
  <si>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</si>
  <si>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</si>
  <si>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</si>
  <si>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</si>
  <si>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</si>
  <si>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</si>
  <si>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</si>
  <si>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</si>
  <si>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</si>
  <si>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</si>
  <si>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</si>
  <si>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</si>
  <si>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</si>
  <si>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</si>
  <si>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</si>
  <si>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</si>
  <si>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</si>
  <si>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</si>
  <si>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</si>
  <si>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</si>
  <si>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</si>
  <si>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</si>
  <si>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</si>
  <si>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</si>
  <si>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</si>
  <si>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</si>
  <si>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</si>
  <si>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</si>
  <si>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</si>
  <si>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</si>
  <si>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</si>
  <si>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</si>
  <si>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</si>
  <si>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</si>
  <si>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</si>
  <si>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</si>
  <si>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</si>
  <si>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</si>
  <si>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</si>
  <si>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</si>
  <si>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</si>
  <si>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</si>
  <si>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</si>
  <si>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</si>
  <si>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</si>
  <si>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</si>
  <si>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</si>
  <si>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</si>
  <si>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</si>
  <si>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</si>
  <si>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</si>
  <si>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</si>
  <si>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</si>
  <si>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</si>
  <si>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</si>
  <si>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</si>
  <si>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</si>
  <si>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</si>
  <si>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</si>
  <si>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</si>
  <si>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</si>
  <si>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</si>
  <si>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</si>
  <si>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</si>
  <si>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</si>
  <si>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</si>
  <si>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</si>
  <si>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</si>
  <si>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</si>
  <si>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</si>
  <si>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</si>
  <si>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</si>
  <si>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</si>
  <si>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</si>
  <si>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</si>
  <si>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</si>
  <si>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</si>
  <si>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</si>
  <si>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</si>
  <si>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</si>
  <si>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</si>
  <si>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</si>
  <si>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</si>
  <si>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</si>
  <si>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</si>
  <si>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</si>
  <si>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</si>
  <si>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</si>
  <si>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</si>
  <si>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</si>
  <si>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</si>
  <si>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</si>
  <si>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</si>
  <si>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</si>
  <si>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</si>
  <si>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</si>
  <si>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</si>
  <si>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</si>
  <si>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</si>
  <si>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</si>
  <si>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</si>
  <si>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</si>
  <si>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</si>
  <si>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</si>
  <si>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</si>
  <si>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</si>
  <si>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</si>
  <si>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</si>
  <si>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</si>
  <si>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</si>
  <si>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</si>
  <si>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</si>
  <si>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</si>
  <si>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</si>
  <si>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</si>
  <si>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</si>
  <si>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</si>
  <si>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</si>
  <si>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</si>
  <si>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</si>
  <si>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</si>
  <si>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</si>
  <si>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</si>
  <si>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</si>
  <si>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</si>
  <si>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</si>
  <si>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</si>
  <si>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</si>
  <si>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</si>
  <si>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</si>
  <si>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</si>
  <si>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</si>
  <si>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</si>
  <si>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</si>
  <si>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</si>
  <si>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</si>
  <si>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</si>
  <si>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</si>
  <si>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</si>
  <si>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</si>
  <si>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</si>
  <si>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</si>
  <si>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</si>
  <si>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</si>
  <si>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</si>
  <si>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</si>
  <si>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</si>
  <si>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</si>
  <si>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</si>
  <si>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</si>
  <si>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</si>
  <si>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</si>
  <si>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</si>
  <si>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</si>
  <si>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</si>
  <si>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</si>
  <si>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</si>
  <si>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</si>
  <si>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</si>
  <si>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</si>
  <si>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</si>
  <si>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</si>
  <si>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</si>
  <si>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</si>
  <si>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</si>
  <si>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</si>
  <si>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</si>
  <si>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</si>
  <si>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</si>
  <si>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</si>
  <si>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</si>
  <si>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</si>
  <si>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</si>
  <si>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</si>
  <si>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</si>
  <si>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</si>
  <si>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</si>
  <si>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</si>
  <si>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</si>
  <si>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</si>
  <si>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</si>
  <si>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</si>
  <si>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</si>
  <si>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</si>
  <si>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</si>
  <si>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</si>
  <si>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</si>
  <si>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</si>
  <si>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</si>
  <si>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</si>
  <si>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</si>
  <si>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</si>
  <si>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</si>
  <si>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</si>
  <si>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</si>
  <si>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</si>
  <si>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</si>
  <si>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</si>
  <si>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</si>
  <si>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</si>
  <si>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</si>
  <si>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</si>
  <si>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</si>
  <si>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</si>
  <si>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</si>
  <si>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</si>
  <si>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</si>
  <si>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</si>
  <si>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</si>
  <si>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</si>
  <si>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</si>
  <si>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</si>
  <si>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</si>
  <si>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</si>
  <si>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</si>
  <si>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</si>
  <si>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</si>
  <si>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</si>
  <si>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</si>
  <si>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</si>
  <si>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</si>
  <si>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</si>
  <si>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</si>
  <si>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</si>
  <si>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</si>
  <si>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</si>
  <si>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</si>
  <si>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</si>
  <si>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</si>
  <si>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</si>
  <si>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</si>
  <si>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</si>
  <si>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</si>
  <si>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</si>
  <si>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</si>
  <si>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</si>
  <si>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</si>
  <si>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</si>
  <si>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</si>
  <si>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</si>
  <si>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</si>
  <si>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</si>
  <si>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</si>
  <si>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</si>
  <si>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</si>
  <si>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</si>
  <si>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</si>
  <si>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</si>
  <si>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</si>
  <si>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</si>
  <si>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</si>
  <si>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</si>
  <si>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</si>
  <si>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</si>
  <si>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</si>
  <si>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</si>
  <si>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</si>
  <si>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</si>
  <si>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</si>
  <si>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</si>
  <si>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</si>
  <si>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</si>
  <si>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</si>
  <si>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</si>
  <si>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</si>
  <si>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</si>
  <si>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</si>
  <si>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</si>
  <si>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</si>
  <si>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</si>
  <si>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</si>
  <si>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</si>
  <si>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</si>
  <si>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</si>
  <si>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</si>
  <si>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</si>
  <si>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</si>
  <si>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</si>
  <si>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</si>
  <si>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</si>
  <si>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</si>
  <si>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</si>
  <si>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</si>
  <si>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</si>
  <si>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</si>
  <si>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</si>
  <si>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</si>
  <si>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</si>
  <si>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</si>
  <si>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</si>
  <si>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</si>
  <si>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</si>
  <si>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</si>
  <si>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</si>
  <si>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</si>
  <si>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</si>
  <si>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</si>
  <si>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</si>
  <si>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</si>
  <si>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</si>
  <si>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</si>
  <si>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</si>
  <si>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</si>
  <si>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</si>
  <si>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</si>
  <si>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</si>
  <si>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</si>
  <si>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</si>
  <si>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</si>
  <si>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</si>
  <si>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</si>
  <si>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</si>
  <si>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</si>
  <si>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</si>
  <si>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</si>
  <si>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</si>
  <si>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</si>
  <si>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</si>
  <si>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</si>
  <si>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</si>
  <si>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</si>
  <si>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</si>
  <si>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</si>
  <si>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</si>
  <si>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</si>
  <si>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</si>
  <si>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</si>
  <si>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</si>
  <si>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</si>
  <si>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</si>
  <si>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</si>
  <si>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</si>
  <si>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</si>
  <si>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</si>
  <si>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</si>
  <si>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</si>
  <si>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</si>
  <si>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</si>
  <si>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</si>
  <si>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</si>
  <si>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</si>
  <si>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</si>
  <si>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</si>
  <si>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</si>
  <si>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</si>
  <si>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</si>
  <si>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</si>
  <si>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</si>
  <si>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</si>
  <si>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</si>
  <si>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</si>
  <si>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</si>
  <si>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</si>
  <si>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</si>
  <si>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</si>
  <si>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</si>
  <si>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</si>
  <si>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</si>
  <si>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</si>
  <si>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</si>
  <si>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</si>
  <si>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</si>
  <si>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</si>
  <si>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</si>
  <si>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</si>
  <si>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</si>
  <si>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</si>
  <si>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</si>
  <si>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</si>
  <si>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</si>
  <si>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</si>
  <si>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</si>
  <si>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</si>
  <si>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</si>
  <si>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</si>
  <si>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</si>
  <si>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</si>
  <si>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</si>
  <si>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</si>
  <si>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</si>
  <si>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</si>
  <si>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</si>
  <si>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</si>
  <si>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</si>
  <si>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</si>
  <si>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</si>
  <si>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</si>
  <si>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</si>
  <si>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</si>
  <si>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</si>
  <si>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</si>
  <si>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</si>
  <si>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</si>
  <si>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</si>
  <si>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</si>
  <si>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</si>
  <si>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</si>
  <si>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</si>
  <si>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</si>
  <si>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</si>
  <si>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</si>
  <si>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</si>
  <si>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</si>
  <si>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</si>
  <si>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</si>
  <si>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</si>
  <si>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</si>
  <si>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</si>
  <si>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</si>
  <si>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</si>
  <si>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</si>
  <si>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</si>
  <si>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</si>
  <si>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</si>
  <si>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</si>
  <si>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</si>
  <si>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</si>
  <si>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</si>
  <si>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</si>
  <si>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</si>
  <si>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</si>
  <si>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</si>
  <si>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</si>
  <si>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</si>
  <si>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</si>
  <si>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</si>
  <si>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</si>
  <si>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</si>
  <si>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</si>
  <si>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</si>
  <si>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</si>
  <si>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</si>
  <si>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</si>
  <si>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</si>
  <si>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</si>
  <si>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</si>
  <si>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</si>
  <si>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</si>
  <si>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</si>
  <si>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</si>
  <si>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</si>
  <si>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</si>
  <si>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</si>
  <si>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</si>
  <si>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</si>
  <si>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</si>
  <si>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</si>
  <si>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</si>
  <si>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</si>
  <si>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</si>
  <si>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</si>
  <si>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</si>
  <si>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</si>
  <si>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</si>
  <si>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</si>
  <si>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</si>
  <si>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</si>
  <si>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</si>
  <si>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</si>
  <si>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</si>
  <si>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</si>
  <si>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</si>
  <si>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</si>
  <si>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</si>
  <si>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</si>
  <si>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</si>
  <si>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</si>
  <si>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</si>
  <si>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</si>
  <si>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</si>
  <si>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</si>
  <si>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</si>
  <si>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</si>
  <si>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</si>
  <si>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</si>
  <si>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</si>
  <si>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</si>
  <si>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</si>
  <si>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</si>
  <si>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</si>
  <si>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</si>
  <si>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</si>
  <si>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</si>
  <si>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</si>
  <si>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</si>
  <si>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</si>
  <si>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</si>
  <si>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</si>
  <si>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</si>
  <si>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</si>
  <si>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</si>
  <si>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</si>
  <si>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</si>
  <si>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</si>
  <si>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</si>
  <si>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</si>
  <si>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</si>
  <si>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</si>
  <si>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</si>
  <si>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</si>
  <si>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</si>
  <si>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</si>
  <si>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</si>
  <si>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</si>
  <si>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</si>
  <si>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</si>
  <si>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</si>
  <si>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</si>
  <si>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</si>
  <si>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</si>
  <si>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</si>
  <si>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</si>
  <si>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</si>
  <si>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</si>
  <si>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</si>
  <si>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</si>
  <si>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</si>
  <si>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</si>
  <si>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</si>
  <si>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</si>
  <si>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</si>
  <si>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</si>
  <si>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</si>
  <si>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</si>
  <si>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</si>
  <si>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</si>
  <si>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</si>
  <si>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</si>
  <si>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</si>
  <si>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</si>
  <si>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</si>
  <si>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</si>
  <si>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</si>
  <si>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</si>
  <si>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</si>
  <si>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</si>
  <si>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</si>
  <si>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</si>
  <si>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</si>
  <si>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</si>
  <si>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</si>
  <si>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</si>
  <si>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</si>
  <si>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</si>
  <si>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</si>
  <si>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</si>
  <si>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</si>
  <si>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</si>
  <si>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</si>
  <si>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</si>
  <si>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</si>
  <si>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</si>
  <si>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</si>
  <si>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</si>
  <si>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</si>
  <si>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</si>
  <si>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</si>
  <si>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</si>
  <si>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</si>
  <si>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</si>
  <si>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</si>
  <si>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</si>
  <si>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</si>
  <si>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</si>
  <si>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</si>
  <si>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</si>
  <si>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</si>
  <si>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</si>
  <si>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</si>
  <si>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</si>
  <si>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</si>
  <si>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</si>
  <si>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</si>
  <si>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</si>
  <si>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</si>
  <si>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</si>
  <si>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</si>
  <si>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</si>
  <si>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</si>
  <si>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</si>
  <si>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</si>
  <si>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</si>
  <si>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</si>
  <si>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</si>
  <si>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</si>
  <si>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</si>
  <si>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</si>
  <si>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</si>
  <si>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</si>
  <si>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</si>
  <si>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</si>
  <si>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</si>
  <si>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</si>
  <si>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</si>
  <si>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</si>
  <si>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</si>
  <si>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</si>
  <si>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</si>
  <si>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</si>
  <si>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</si>
  <si>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</si>
  <si>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</si>
  <si>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</si>
  <si>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</si>
  <si>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</si>
  <si>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</si>
  <si>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</si>
  <si>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</si>
  <si>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</si>
  <si>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</si>
  <si>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</si>
  <si>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</si>
  <si>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</si>
  <si>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</si>
  <si>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</si>
  <si>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</si>
  <si>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</si>
  <si>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</si>
  <si>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</si>
  <si>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</si>
  <si>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</si>
  <si>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</si>
  <si>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</si>
  <si>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</si>
  <si>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</si>
  <si>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</si>
  <si>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</si>
  <si>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</si>
  <si>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</si>
  <si>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</si>
  <si>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</si>
  <si>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</si>
  <si>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</si>
  <si>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</si>
  <si>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</si>
  <si>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</si>
  <si>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</si>
  <si>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</si>
  <si>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</si>
  <si>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</si>
  <si>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</si>
  <si>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</si>
  <si>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</si>
  <si>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</si>
  <si>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</si>
  <si>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</si>
  <si>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</si>
  <si>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</si>
  <si>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</si>
  <si>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</si>
  <si>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</si>
  <si>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</si>
  <si>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</si>
  <si>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</si>
  <si>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</si>
  <si>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</si>
  <si>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</si>
  <si>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</si>
  <si>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</si>
  <si>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</si>
  <si>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</si>
  <si>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</si>
  <si>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</si>
  <si>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</si>
  <si>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</si>
  <si>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</si>
  <si>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</si>
  <si>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</si>
  <si>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</si>
  <si>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</si>
  <si>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</si>
  <si>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</si>
  <si>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</si>
  <si>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</si>
  <si>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</si>
  <si>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</si>
  <si>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</si>
  <si>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</si>
  <si>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</si>
  <si>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</si>
  <si>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</si>
  <si>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</si>
  <si>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</si>
  <si>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</si>
  <si>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</si>
  <si>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</si>
  <si>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</si>
  <si>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</si>
  <si>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</si>
  <si>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</si>
  <si>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</si>
  <si>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</si>
  <si>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</si>
  <si>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</si>
  <si>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</si>
  <si>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</si>
  <si>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</si>
  <si>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</si>
  <si>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</si>
  <si>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</si>
  <si>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</si>
  <si>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</si>
  <si>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</si>
  <si>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</si>
  <si>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</si>
  <si>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</si>
  <si>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</si>
  <si>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</si>
  <si>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</si>
  <si>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</si>
  <si>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</si>
  <si>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</si>
  <si>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</si>
  <si>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</si>
  <si>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</si>
  <si>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</si>
  <si>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</si>
  <si>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</si>
  <si>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</si>
  <si>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</si>
  <si>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</si>
  <si>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</si>
  <si>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</si>
  <si>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</si>
  <si>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</si>
  <si>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</si>
  <si>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</si>
  <si>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</si>
  <si>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</si>
  <si>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</si>
  <si>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</si>
  <si>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</si>
  <si>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</si>
  <si>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</si>
  <si>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</si>
  <si>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</si>
  <si>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</si>
  <si>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</si>
  <si>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</si>
  <si>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</si>
  <si>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</si>
  <si>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</si>
  <si>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</si>
  <si>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</si>
  <si>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</si>
  <si>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</si>
  <si>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</si>
  <si>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</si>
  <si>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</si>
  <si>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</si>
  <si>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</si>
  <si>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</si>
  <si>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</si>
  <si>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</si>
  <si>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</si>
  <si>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</si>
  <si>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</si>
  <si>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</si>
  <si>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</si>
  <si>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</si>
  <si>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</si>
  <si>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</si>
  <si>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</si>
  <si>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</si>
  <si>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</si>
  <si>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</si>
  <si>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</si>
  <si>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</si>
  <si>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</si>
  <si>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</si>
  <si>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</si>
  <si>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</si>
  <si>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</si>
  <si>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</si>
  <si>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</si>
  <si>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</si>
  <si>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</si>
  <si>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</si>
  <si>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</si>
  <si>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</si>
  <si>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</si>
  <si>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</si>
  <si>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</si>
  <si>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</si>
  <si>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</si>
  <si>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</si>
  <si>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</si>
  <si>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</si>
  <si>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</si>
  <si>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</si>
  <si>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</si>
  <si>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</si>
  <si>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</si>
  <si>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</si>
  <si>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</si>
  <si>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</si>
  <si>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</si>
  <si>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</si>
  <si>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</si>
  <si>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</si>
  <si>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</si>
  <si>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</si>
  <si>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</si>
  <si>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</si>
  <si>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</si>
  <si>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</si>
  <si>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</si>
  <si>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</si>
  <si>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</si>
  <si>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</si>
  <si>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</si>
  <si>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</si>
  <si>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</si>
  <si>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</si>
  <si>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</si>
  <si>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</si>
  <si>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</si>
  <si>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</si>
  <si>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</si>
  <si>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</si>
  <si>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</si>
  <si>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</si>
  <si>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</si>
  <si>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</si>
  <si>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</si>
  <si>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</si>
  <si>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</si>
  <si>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</si>
  <si>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</si>
  <si>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</si>
  <si>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</si>
  <si>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</si>
  <si>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</si>
  <si>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</si>
  <si>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</si>
  <si>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</si>
  <si>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</si>
  <si>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</si>
  <si>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</si>
  <si>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</si>
  <si>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</si>
  <si>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</si>
  <si>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</si>
  <si>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</si>
  <si>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</si>
  <si>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</si>
  <si>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</si>
  <si>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</si>
  <si>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</si>
  <si>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</si>
  <si>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</si>
  <si>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</si>
  <si>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</si>
  <si>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</si>
  <si>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</si>
  <si>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</si>
  <si>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</si>
  <si>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</si>
  <si>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</si>
  <si>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</si>
  <si>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</si>
  <si>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</si>
  <si>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</si>
  <si>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</si>
  <si>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</si>
  <si>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</si>
  <si>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</si>
  <si>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</si>
  <si>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</si>
  <si>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</si>
  <si>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</si>
  <si>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</si>
  <si>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</si>
  <si>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</si>
  <si>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</si>
  <si>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</si>
  <si>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</si>
  <si>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</si>
  <si>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</si>
  <si>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</si>
  <si>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</si>
  <si>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</si>
  <si>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</si>
  <si>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</si>
  <si>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</si>
  <si>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</si>
  <si>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</si>
  <si>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</si>
  <si>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</si>
  <si>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</si>
  <si>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</si>
  <si>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</si>
  <si>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</si>
  <si>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</si>
  <si>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</si>
  <si>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</si>
  <si>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</si>
  <si>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</si>
  <si>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</si>
  <si>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</si>
  <si>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</si>
  <si>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</si>
  <si>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</si>
  <si>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</si>
  <si>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</si>
  <si>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</si>
  <si>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</si>
  <si>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</si>
  <si>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</si>
  <si>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</si>
  <si>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</si>
  <si>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</si>
  <si>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</si>
  <si>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</si>
  <si>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</si>
  <si>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</si>
  <si>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</si>
  <si>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</si>
  <si>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</si>
  <si>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</si>
  <si>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</si>
  <si>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</si>
  <si>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</si>
  <si>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</si>
  <si>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</si>
  <si>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</si>
  <si>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</si>
  <si>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</si>
  <si>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</si>
  <si>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</si>
  <si>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</si>
  <si>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</si>
  <si>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</si>
  <si>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</si>
  <si>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</si>
  <si>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</si>
  <si>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</si>
  <si>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</si>
  <si>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</si>
  <si>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</si>
  <si>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</si>
  <si>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</si>
  <si>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</si>
  <si>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</si>
  <si>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</si>
  <si>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</si>
  <si>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</si>
  <si>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</si>
  <si>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</si>
  <si>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</si>
  <si>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</si>
  <si>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</si>
  <si>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</si>
  <si>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</si>
  <si>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</si>
  <si>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</si>
  <si>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</si>
  <si>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</si>
  <si>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</si>
  <si>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</si>
  <si>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</si>
  <si>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</si>
  <si>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</si>
  <si>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</si>
  <si>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</si>
  <si>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</si>
  <si>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</si>
  <si>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</si>
  <si>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</si>
  <si>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</si>
  <si>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</si>
  <si>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</si>
  <si>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</si>
  <si>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</si>
  <si>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</si>
  <si>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</si>
  <si>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</si>
  <si>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</si>
  <si>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</si>
  <si>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</si>
  <si>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</si>
  <si>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</si>
  <si>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</si>
  <si>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</si>
  <si>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</si>
  <si>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</si>
  <si>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</si>
  <si>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</si>
  <si>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</si>
  <si>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</si>
  <si>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</si>
  <si>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</si>
  <si>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</si>
  <si>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</si>
  <si>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</si>
  <si>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</si>
  <si>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</si>
  <si>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</si>
  <si>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</si>
  <si>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</si>
  <si>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</si>
  <si>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</si>
  <si>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</si>
  <si>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</si>
  <si>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</si>
  <si>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</si>
  <si>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</si>
  <si>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</si>
  <si>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</si>
  <si>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</si>
  <si>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</si>
  <si>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</si>
  <si>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</si>
  <si>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</si>
  <si>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</si>
  <si>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</si>
  <si>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</si>
  <si>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</si>
  <si>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</si>
  <si>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</si>
  <si>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</si>
  <si>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</si>
  <si>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</si>
  <si>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</si>
  <si>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</si>
  <si>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</si>
  <si>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</si>
  <si>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</si>
  <si>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</si>
  <si>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</si>
  <si>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</si>
  <si>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</si>
  <si>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</si>
  <si>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</si>
  <si>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</si>
  <si>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</si>
  <si>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</si>
  <si>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</si>
  <si>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</si>
  <si>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</si>
  <si>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</si>
  <si>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</si>
  <si>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</si>
  <si>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</si>
  <si>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</si>
  <si>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</si>
  <si>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</si>
  <si>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</si>
  <si>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</si>
  <si>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</si>
  <si>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</si>
  <si>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</si>
  <si>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</si>
  <si>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</si>
  <si>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</si>
  <si>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</si>
  <si>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</si>
  <si>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</si>
  <si>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</si>
  <si>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</si>
  <si>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</si>
  <si>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</si>
  <si>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</si>
  <si>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</si>
  <si>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</si>
  <si>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</si>
  <si>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</si>
  <si>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</si>
  <si>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</si>
  <si>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</si>
  <si>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</si>
  <si>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</si>
  <si>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</si>
  <si>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</si>
  <si>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</si>
  <si>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</si>
  <si>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</si>
  <si>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</si>
  <si>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</si>
  <si>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</si>
  <si>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</si>
  <si>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</si>
  <si>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</si>
  <si>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</si>
  <si>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</si>
  <si>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</si>
  <si>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</si>
  <si>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</si>
  <si>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</si>
  <si>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</si>
  <si>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</si>
  <si>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</si>
  <si>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</si>
  <si>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</si>
  <si>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</si>
  <si>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</si>
  <si>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</si>
  <si>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</si>
  <si>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</si>
  <si>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</si>
  <si>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</si>
  <si>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</si>
  <si>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</si>
  <si>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</si>
  <si>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</si>
  <si>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</si>
  <si>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</si>
  <si>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</si>
  <si>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</si>
  <si>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</si>
  <si>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</si>
  <si>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</si>
  <si>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</si>
  <si>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</si>
  <si>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</si>
  <si>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</si>
  <si>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</si>
  <si>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</si>
  <si>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</si>
  <si>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</si>
  <si>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</si>
  <si>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</si>
  <si>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</si>
  <si>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</si>
  <si>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</si>
  <si>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</si>
  <si>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</si>
  <si>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</si>
  <si>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</si>
  <si>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</si>
  <si>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</si>
  <si>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</si>
  <si>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</si>
  <si>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</si>
  <si>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</si>
  <si>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</si>
  <si>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</si>
  <si>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</si>
  <si>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</si>
  <si>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</si>
  <si>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</si>
  <si>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</si>
  <si>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</si>
  <si>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</si>
  <si>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</si>
  <si>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</si>
  <si>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</si>
  <si>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</si>
  <si>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</si>
  <si>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</si>
  <si>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</si>
  <si>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</si>
  <si>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</si>
  <si>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</si>
  <si>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</si>
  <si>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</si>
  <si>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</si>
  <si>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</si>
  <si>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</si>
  <si>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</si>
  <si>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</si>
  <si>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</si>
  <si>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</si>
  <si>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</si>
  <si>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</si>
  <si>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</si>
  <si>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</si>
  <si>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</si>
  <si>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</si>
  <si>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</si>
  <si>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</si>
  <si>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</si>
  <si>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</si>
  <si>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</si>
  <si>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</si>
  <si>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</si>
  <si>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</si>
  <si>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</si>
  <si>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</si>
  <si>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</si>
  <si>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</si>
  <si>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</si>
  <si>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</si>
  <si>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</si>
  <si>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</si>
  <si>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</si>
  <si>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</si>
  <si>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</si>
  <si>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</si>
  <si>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</si>
  <si>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</si>
  <si>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</si>
  <si>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</si>
  <si>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</si>
  <si>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</si>
  <si>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</si>
  <si>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</si>
  <si>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</si>
  <si>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</si>
  <si>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</si>
  <si>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</si>
  <si>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</si>
  <si>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</si>
  <si>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</si>
  <si>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</si>
  <si>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</si>
  <si>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</si>
  <si>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</si>
  <si>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</si>
  <si>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</si>
  <si>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</si>
  <si>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</si>
  <si>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</si>
  <si>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</si>
  <si>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</si>
  <si>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</si>
  <si>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</si>
  <si>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</si>
  <si>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</si>
  <si>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</si>
  <si>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</si>
  <si>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</si>
  <si>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</si>
  <si>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</si>
  <si>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</si>
  <si>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</si>
  <si>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</si>
  <si>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</si>
  <si>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</si>
  <si>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</si>
  <si>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</si>
  <si>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</si>
  <si>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</si>
  <si>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</si>
  <si>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</si>
  <si>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</si>
  <si>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</si>
  <si>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</si>
  <si>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</si>
  <si>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</si>
  <si>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</si>
  <si>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</si>
  <si>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</si>
  <si>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</si>
  <si>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</si>
  <si>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</si>
  <si>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</si>
  <si>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</si>
  <si>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</si>
  <si>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</si>
  <si>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</si>
  <si>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</si>
  <si>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</si>
  <si>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</si>
  <si>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</si>
  <si>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</si>
  <si>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</si>
  <si>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</si>
  <si>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</si>
  <si>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</si>
  <si>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</si>
  <si>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</si>
  <si>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</si>
  <si>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</si>
  <si>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</si>
  <si>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</si>
  <si>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</si>
  <si>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</si>
  <si>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</si>
  <si>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</si>
  <si>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</si>
  <si>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</si>
  <si>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</si>
  <si>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</si>
  <si>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</si>
  <si>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</si>
  <si>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</si>
  <si>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</si>
  <si>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</si>
  <si>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</si>
  <si>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</si>
  <si>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</si>
  <si>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</si>
  <si>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</si>
  <si>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</si>
  <si>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</si>
  <si>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</si>
  <si>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</si>
  <si>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</si>
  <si>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</si>
  <si>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</si>
  <si>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</si>
  <si>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</si>
  <si>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</si>
  <si>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</si>
  <si>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</si>
  <si>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</si>
  <si>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</si>
  <si>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</si>
  <si>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</si>
  <si>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</si>
  <si>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</si>
  <si>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</si>
  <si>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</si>
  <si>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</si>
  <si>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</si>
  <si>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</si>
  <si>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</si>
  <si>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</si>
  <si>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</si>
  <si>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</si>
  <si>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</si>
  <si>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</si>
  <si>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</si>
  <si>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</si>
  <si>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</si>
  <si>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</si>
  <si>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</si>
  <si>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</si>
  <si>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</si>
  <si>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</si>
  <si>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</si>
  <si>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</si>
  <si>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</si>
  <si>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</si>
  <si>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</si>
  <si>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</si>
  <si>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</si>
  <si>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</si>
  <si>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</si>
  <si>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</si>
  <si>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</si>
  <si>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</si>
  <si>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</si>
  <si>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</si>
  <si>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</si>
  <si>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</si>
  <si>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</si>
  <si>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</si>
  <si>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</si>
  <si>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</si>
  <si>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</si>
  <si>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</si>
  <si>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</si>
  <si>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</si>
  <si>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</si>
  <si>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</si>
  <si>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</si>
  <si>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</si>
  <si>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</si>
  <si>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</si>
  <si>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</si>
  <si>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</si>
  <si>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</si>
  <si>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</si>
  <si>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</si>
  <si>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</si>
  <si>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</si>
  <si>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</si>
  <si>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</si>
  <si>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</si>
  <si>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</si>
  <si>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</si>
  <si>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</si>
  <si>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</si>
  <si>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</si>
  <si>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</si>
  <si>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</si>
  <si>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</si>
  <si>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</si>
  <si>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</si>
  <si>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</si>
  <si>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</si>
  <si>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</si>
  <si>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</si>
  <si>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</si>
  <si>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</si>
  <si>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</si>
  <si>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</si>
  <si>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</si>
  <si>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</si>
  <si>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</si>
  <si>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</si>
  <si>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</si>
  <si>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</si>
  <si>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</si>
  <si>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</si>
  <si>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</si>
  <si>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</si>
  <si>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</si>
  <si>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</si>
  <si>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</si>
  <si>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</si>
  <si>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</si>
  <si>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</si>
  <si>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</si>
  <si>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</si>
  <si>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</si>
  <si>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</si>
  <si>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</si>
  <si>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</si>
  <si>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</si>
  <si>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</si>
  <si>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</si>
  <si>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</si>
  <si>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</si>
  <si>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</si>
  <si>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</si>
  <si>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</si>
  <si>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</si>
  <si>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</si>
  <si>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</si>
  <si>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</si>
  <si>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</si>
  <si>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</si>
  <si>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</si>
  <si>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</si>
  <si>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</si>
  <si>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</si>
  <si>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</si>
  <si>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</si>
  <si>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</si>
  <si>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</si>
  <si>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</si>
  <si>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</si>
  <si>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</si>
  <si>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</si>
  <si>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</si>
  <si>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</si>
  <si>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</si>
  <si>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</si>
  <si>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</si>
  <si>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</si>
  <si>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</si>
  <si>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</si>
  <si>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</si>
  <si>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</si>
  <si>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</si>
  <si>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</si>
  <si>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</si>
  <si>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</si>
  <si>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</si>
  <si>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</si>
  <si>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</si>
  <si>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</si>
  <si>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</si>
  <si>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</si>
  <si>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</si>
  <si>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</si>
  <si>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</si>
  <si>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</si>
  <si>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</si>
  <si>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</si>
  <si>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</si>
  <si>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</si>
  <si>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</si>
  <si>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</si>
  <si>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</si>
  <si>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</si>
  <si>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</si>
  <si>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</si>
  <si>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</si>
  <si>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</si>
  <si>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</si>
  <si>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</si>
  <si>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</si>
  <si>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</si>
  <si>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</si>
  <si>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</si>
  <si>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</si>
  <si>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</si>
  <si>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</si>
  <si>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</si>
  <si>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</si>
  <si>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</si>
  <si>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</si>
  <si>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</si>
  <si>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</si>
  <si>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</si>
  <si>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</si>
  <si>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</si>
  <si>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</si>
  <si>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</si>
  <si>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</si>
  <si>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</si>
  <si>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</si>
  <si>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</si>
  <si>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</si>
  <si>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</si>
  <si>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</si>
  <si>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</si>
  <si>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</si>
  <si>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</si>
  <si>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</si>
  <si>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</si>
  <si>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</si>
  <si>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</si>
  <si>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</si>
  <si>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</si>
  <si>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</si>
  <si>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</si>
  <si>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</si>
  <si>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</si>
  <si>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</si>
  <si>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</si>
  <si>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</si>
  <si>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</si>
  <si>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</si>
  <si>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</si>
  <si>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</si>
  <si>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</si>
  <si>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</si>
  <si>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</si>
  <si>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</si>
  <si>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</si>
  <si>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</si>
  <si>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</si>
  <si>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</si>
  <si>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</si>
  <si>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</si>
  <si>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</si>
  <si>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</si>
  <si>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</si>
  <si>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</si>
  <si>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</si>
  <si>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</si>
  <si>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</si>
  <si>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</si>
  <si>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</si>
  <si>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</si>
  <si>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</si>
  <si>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</si>
  <si>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</si>
  <si>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</si>
  <si>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</si>
  <si>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</si>
  <si>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</si>
  <si>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</si>
  <si>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</si>
  <si>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</si>
  <si>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</si>
  <si>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</si>
  <si>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</si>
  <si>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</si>
  <si>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</si>
  <si>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</si>
  <si>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</si>
  <si>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</si>
  <si>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</si>
  <si>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</si>
  <si>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</si>
  <si>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</si>
  <si>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</si>
  <si>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</si>
  <si>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</si>
  <si>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</si>
  <si>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</si>
  <si>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</si>
  <si>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</si>
  <si>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</si>
  <si>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</si>
  <si>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</si>
  <si>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</si>
  <si>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</si>
  <si>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</si>
  <si>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</si>
  <si>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</si>
  <si>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</si>
  <si>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</si>
  <si>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</si>
  <si>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</si>
  <si>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</si>
  <si>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</si>
  <si>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</si>
  <si>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</si>
  <si>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</si>
  <si>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</si>
  <si>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</si>
  <si>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</si>
  <si>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</si>
  <si>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</si>
  <si>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</si>
  <si>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</si>
  <si>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</si>
  <si>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</si>
  <si>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</si>
  <si>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</si>
  <si>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</si>
  <si>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</si>
  <si>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</si>
  <si>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</si>
  <si>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</si>
  <si>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</si>
  <si>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</si>
  <si>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</si>
  <si>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</si>
  <si>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</si>
  <si>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</si>
  <si>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</si>
  <si>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</si>
  <si>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</si>
  <si>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</si>
  <si>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</si>
  <si>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</si>
  <si>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</si>
  <si>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</si>
  <si>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</si>
  <si>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</si>
  <si>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</si>
  <si>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</si>
  <si>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</si>
  <si>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</si>
  <si>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</si>
  <si>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</si>
  <si>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</si>
  <si>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</si>
  <si>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</si>
  <si>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</si>
  <si>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</si>
  <si>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</si>
  <si>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</si>
  <si>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</si>
  <si>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</si>
  <si>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</si>
  <si>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</si>
  <si>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</si>
  <si>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</si>
  <si>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</si>
  <si>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</si>
  <si>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</si>
  <si>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</si>
  <si>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</si>
  <si>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</si>
  <si>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</si>
  <si>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</si>
  <si>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</si>
  <si>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</si>
  <si>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</si>
  <si>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</si>
  <si>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</si>
  <si>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</si>
  <si>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</si>
  <si>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</si>
  <si>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</si>
  <si>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</si>
  <si>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</si>
  <si>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</si>
  <si>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</si>
  <si>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</si>
  <si>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</si>
  <si>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</si>
  <si>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</si>
  <si>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</si>
  <si>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</si>
  <si>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</si>
  <si>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</si>
  <si>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</si>
  <si>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</si>
  <si>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</si>
  <si>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</si>
  <si>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</si>
  <si>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</si>
  <si>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</si>
  <si>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</si>
  <si>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</si>
  <si>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</si>
  <si>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</si>
  <si>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</si>
  <si>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</si>
  <si>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</si>
  <si>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</si>
  <si>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</si>
  <si>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</si>
  <si>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</si>
  <si>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</si>
  <si>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</si>
  <si>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</si>
  <si>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</si>
  <si>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</si>
  <si>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</si>
  <si>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</si>
  <si>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</si>
  <si>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</si>
  <si>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</si>
  <si>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</si>
  <si>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</si>
  <si>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</si>
  <si>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</si>
  <si>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</si>
  <si>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</si>
  <si>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</si>
  <si>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</si>
  <si>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</si>
  <si>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</si>
  <si>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</si>
  <si>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</si>
  <si>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</si>
  <si>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</si>
  <si>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</si>
  <si>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</si>
  <si>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</si>
  <si>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</si>
  <si>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</si>
  <si>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</si>
  <si>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</si>
  <si>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</si>
  <si>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</si>
  <si>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</si>
  <si>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</si>
  <si>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</si>
  <si>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</si>
  <si>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</si>
  <si>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</si>
  <si>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</si>
  <si>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</si>
  <si>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</si>
  <si>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</si>
  <si>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</si>
  <si>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</si>
  <si>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</si>
  <si>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</si>
  <si>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</si>
  <si>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</si>
  <si>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</si>
  <si>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</si>
  <si>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</si>
  <si>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</si>
  <si>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</si>
  <si>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</si>
  <si>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</si>
  <si>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</si>
  <si>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</si>
  <si>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</si>
  <si>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</si>
  <si>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</si>
  <si>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</si>
  <si>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</si>
  <si>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</si>
  <si>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</si>
  <si>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</si>
  <si>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</si>
  <si>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</si>
  <si>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</si>
  <si>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</si>
  <si>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</si>
  <si>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</si>
  <si>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</si>
  <si>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</si>
  <si>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</si>
  <si>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</si>
  <si>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</si>
  <si>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</si>
  <si>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</si>
  <si>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</si>
  <si>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</si>
  <si>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</si>
  <si>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</si>
  <si>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</si>
  <si>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</si>
  <si>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</si>
  <si>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</si>
  <si>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</si>
  <si>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</si>
  <si>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</si>
  <si>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</si>
  <si>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</si>
  <si>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</si>
  <si>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</si>
  <si>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</si>
  <si>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</si>
  <si>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</si>
  <si>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</si>
  <si>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</si>
  <si>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</si>
  <si>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</si>
  <si>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</si>
  <si>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</si>
  <si>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</si>
  <si>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</si>
  <si>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</si>
  <si>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</si>
  <si>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</si>
  <si>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</si>
  <si>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</si>
  <si>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</si>
  <si>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</si>
  <si>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</si>
  <si>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</si>
  <si>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</si>
  <si>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</si>
  <si>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</si>
  <si>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</si>
  <si>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</si>
  <si>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</si>
  <si>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</si>
  <si>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</si>
  <si>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</si>
  <si>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</si>
  <si>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</si>
  <si>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</si>
  <si>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</si>
  <si>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</si>
  <si>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</si>
  <si>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</si>
  <si>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</si>
  <si>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</si>
  <si>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</si>
  <si>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</si>
  <si>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</si>
  <si>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</si>
  <si>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</si>
  <si>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</si>
  <si>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</si>
  <si>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</si>
  <si>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</si>
  <si>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</si>
  <si>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</si>
  <si>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</si>
  <si>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</si>
  <si>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</si>
  <si>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</si>
  <si>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</si>
  <si>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</si>
  <si>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</si>
  <si>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</si>
  <si>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</si>
  <si>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</si>
  <si>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</si>
  <si>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</si>
  <si>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</si>
  <si>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</si>
  <si>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</si>
  <si>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</si>
  <si>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</si>
  <si>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</si>
  <si>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</si>
  <si>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</si>
  <si>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</si>
  <si>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</si>
  <si>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</si>
  <si>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</si>
  <si>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</si>
  <si>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</si>
  <si>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</si>
  <si>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</si>
  <si>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</si>
  <si>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</si>
  <si>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</si>
  <si>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</si>
  <si>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</si>
  <si>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</si>
  <si>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</si>
  <si>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</si>
  <si>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</si>
  <si>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</si>
  <si>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</si>
  <si>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</si>
  <si>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</si>
  <si>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</si>
  <si>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</si>
  <si>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</si>
  <si>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</si>
  <si>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</si>
  <si>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</si>
  <si>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</si>
  <si>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</si>
  <si>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</si>
  <si>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</si>
  <si>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</si>
  <si>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</si>
  <si>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</si>
  <si>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</si>
  <si>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</si>
  <si>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</si>
  <si>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</si>
  <si>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</si>
  <si>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</si>
  <si>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</si>
  <si>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</si>
  <si>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</si>
  <si>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</si>
  <si>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</si>
  <si>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</si>
  <si>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</si>
  <si>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</si>
  <si>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</si>
  <si>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</si>
  <si>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</si>
  <si>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</si>
  <si>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</si>
  <si>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</si>
  <si>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</si>
  <si>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</si>
  <si>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</si>
  <si>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</si>
  <si>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</si>
  <si>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</si>
  <si>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</si>
  <si>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</si>
  <si>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</si>
  <si>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</si>
  <si>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</si>
  <si>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</si>
  <si>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</si>
  <si>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</si>
  <si>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</si>
  <si>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</si>
  <si>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</si>
  <si>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</si>
  <si>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</si>
  <si>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</si>
  <si>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</si>
  <si>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</si>
  <si>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</si>
  <si>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</si>
  <si>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</si>
  <si>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</si>
  <si>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</si>
  <si>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</si>
  <si>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</si>
  <si>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</si>
  <si>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</si>
  <si>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</si>
  <si>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</si>
  <si>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</si>
  <si>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</si>
  <si>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</si>
  <si>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</si>
  <si>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</si>
  <si>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</si>
  <si>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</si>
  <si>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</si>
  <si>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</si>
  <si>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</si>
  <si>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</si>
  <si>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</si>
  <si>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</si>
  <si>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</si>
  <si>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</si>
  <si>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</si>
  <si>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</si>
  <si>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</si>
  <si>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</si>
  <si>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</si>
  <si>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</si>
  <si>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</si>
  <si>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</si>
  <si>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</si>
  <si>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</si>
  <si>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</si>
  <si>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</si>
  <si>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</si>
  <si>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</si>
  <si>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</si>
  <si>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</si>
  <si>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</si>
  <si>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</si>
  <si>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</si>
  <si>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</si>
  <si>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</si>
  <si>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</si>
  <si>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</si>
  <si>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</si>
  <si>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</si>
  <si>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</si>
  <si>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</si>
  <si>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</si>
  <si>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</si>
  <si>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</si>
  <si>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</si>
  <si>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</si>
  <si>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</si>
  <si>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</si>
  <si>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</si>
  <si>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</si>
  <si>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</si>
  <si>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</si>
  <si>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</si>
  <si>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</si>
  <si>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</si>
  <si>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</si>
  <si>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</si>
  <si>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</si>
  <si>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</si>
  <si>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</si>
  <si>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</si>
  <si>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</si>
  <si>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</si>
  <si>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</si>
  <si>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</si>
  <si>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</si>
  <si>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</si>
  <si>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</si>
  <si>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</si>
  <si>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</si>
  <si>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</si>
  <si>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</si>
  <si>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</si>
  <si>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</si>
  <si>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</si>
  <si>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</si>
  <si>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</si>
  <si>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</si>
  <si>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</si>
  <si>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</si>
  <si>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</si>
  <si>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</si>
  <si>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</si>
  <si>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</si>
  <si>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</si>
  <si>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</si>
  <si>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</si>
  <si>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</si>
  <si>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</si>
  <si>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</si>
  <si>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</si>
  <si>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</si>
  <si>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</si>
  <si>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</si>
  <si>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</si>
  <si>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</si>
  <si>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</si>
  <si>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</si>
  <si>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</si>
  <si>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</si>
  <si>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</si>
  <si>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</si>
  <si>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</si>
  <si>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</si>
  <si>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</si>
  <si>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</si>
  <si>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</si>
  <si>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</si>
  <si>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</si>
  <si>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</si>
  <si>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</si>
  <si>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</si>
  <si>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</si>
  <si>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</si>
  <si>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</si>
  <si>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</si>
  <si>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</si>
  <si>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</si>
  <si>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</si>
  <si>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</si>
  <si>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</si>
  <si>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</si>
  <si>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</si>
  <si>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</si>
  <si>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</si>
  <si>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</si>
  <si>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</si>
  <si>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</si>
  <si>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</si>
  <si>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</si>
  <si>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</si>
  <si>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</si>
  <si>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</si>
  <si>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</si>
  <si>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</si>
  <si>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</si>
  <si>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</si>
  <si>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</si>
  <si>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</si>
  <si>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</si>
  <si>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</si>
  <si>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</si>
  <si>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</si>
  <si>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</si>
  <si>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</si>
  <si>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</si>
  <si>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</si>
  <si>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</si>
  <si>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</si>
  <si>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</si>
  <si>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</si>
  <si>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</si>
  <si>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</si>
  <si>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</si>
  <si>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</si>
  <si>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</si>
  <si>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</si>
  <si>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</si>
  <si>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</si>
  <si>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</si>
  <si>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</si>
  <si>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</si>
  <si>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</si>
  <si>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</si>
  <si>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</si>
  <si>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</si>
  <si>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</si>
  <si>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</si>
  <si>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</si>
  <si>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</si>
  <si>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</si>
  <si>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</si>
  <si>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</si>
  <si>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</si>
  <si>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</si>
  <si>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</si>
  <si>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</si>
  <si>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</si>
  <si>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</si>
  <si>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</si>
  <si>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</si>
  <si>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</si>
  <si>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</si>
  <si>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</si>
  <si>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</si>
  <si>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</si>
  <si>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</si>
  <si>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</si>
  <si>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</si>
  <si>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</si>
  <si>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</si>
  <si>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</si>
  <si>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</si>
  <si>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</si>
  <si>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</si>
  <si>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</si>
  <si>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</si>
  <si>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</si>
  <si>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</si>
  <si>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</si>
  <si>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</si>
  <si>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</si>
  <si>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</si>
  <si>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</si>
  <si>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</si>
  <si>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</si>
  <si>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</si>
  <si>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</si>
  <si>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</si>
  <si>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</si>
  <si>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</si>
  <si>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</si>
  <si>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</si>
  <si>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</si>
  <si>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</si>
  <si>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</si>
  <si>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</si>
  <si>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</si>
  <si>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</si>
  <si>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</si>
  <si>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</si>
  <si>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</si>
  <si>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</si>
  <si>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</si>
  <si>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</si>
  <si>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</si>
  <si>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</si>
  <si>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</si>
  <si>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</si>
  <si>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</si>
  <si>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</si>
  <si>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</si>
  <si>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</si>
  <si>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</si>
  <si>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</si>
  <si>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</si>
  <si>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</si>
  <si>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</si>
  <si>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</si>
  <si>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</si>
  <si>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</si>
  <si>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</si>
  <si>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</si>
  <si>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</si>
  <si>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</si>
  <si>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</si>
  <si>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</si>
  <si>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</si>
  <si>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</si>
  <si>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</si>
  <si>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</si>
  <si>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</si>
  <si>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</si>
  <si>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</si>
  <si>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</si>
  <si>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</si>
  <si>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</si>
  <si>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</si>
  <si>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</si>
  <si>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</si>
  <si>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</si>
  <si>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</si>
  <si>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</si>
  <si>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</si>
  <si>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</si>
  <si>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</si>
  <si>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</si>
  <si>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</si>
  <si>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</si>
  <si>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</si>
  <si>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</si>
  <si>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</si>
  <si>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</si>
  <si>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</si>
  <si>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</si>
  <si>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</si>
  <si>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</si>
  <si>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</si>
  <si>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</si>
  <si>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</si>
  <si>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</si>
  <si>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</si>
  <si>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</si>
  <si>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</si>
  <si>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</si>
  <si>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</si>
  <si>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</si>
  <si>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</si>
  <si>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</si>
  <si>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</si>
  <si>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</si>
  <si>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</si>
  <si>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</si>
  <si>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</si>
  <si>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</si>
  <si>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</si>
  <si>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</si>
  <si>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</si>
  <si>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</si>
  <si>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</si>
  <si>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</si>
  <si>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</si>
  <si>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</si>
  <si>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</si>
  <si>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</si>
  <si>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Applicant claims points for the following Threshold documents submitted with Application or not applicable to Application due to construction activity.</t>
  </si>
  <si>
    <t>August 11, 2025</t>
  </si>
  <si>
    <t>Master site plan in accordance w/ 2025 QAP incl?</t>
  </si>
  <si>
    <t>Legal documentation evidencing site control for ALL phases at 1st construction commencement?</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</si>
  <si>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</si>
  <si>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</si>
  <si>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</si>
  <si>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</si>
  <si>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</si>
  <si>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</si>
  <si>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</si>
  <si>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</si>
  <si>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</si>
  <si>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</si>
  <si>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</si>
  <si>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</si>
  <si>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</si>
  <si>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</si>
  <si>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</si>
  <si>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</si>
  <si>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</si>
  <si>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</si>
  <si>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</si>
  <si>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</si>
  <si>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</si>
  <si>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</si>
  <si>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</si>
  <si>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</si>
  <si>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</si>
  <si>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</si>
  <si>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</si>
  <si>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</si>
  <si>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</si>
  <si>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</si>
  <si>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</si>
  <si>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</si>
  <si>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</si>
  <si>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</si>
  <si>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</si>
  <si>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</si>
  <si>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</si>
  <si>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</si>
  <si>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</si>
  <si>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</si>
  <si>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</si>
  <si>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</si>
  <si>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</si>
  <si>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</si>
  <si>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</si>
  <si>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</si>
  <si>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</si>
  <si>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</si>
  <si>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</si>
  <si>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</si>
  <si>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</si>
  <si>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</si>
  <si>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</si>
  <si>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</si>
  <si>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</si>
  <si>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</si>
  <si>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</si>
  <si>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</si>
  <si>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</si>
  <si>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</si>
  <si>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</si>
  <si>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</si>
  <si>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</si>
  <si>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</si>
  <si>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</si>
  <si>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</si>
  <si>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</si>
  <si>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</si>
  <si>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</si>
  <si>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</si>
  <si>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</si>
  <si>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</si>
  <si>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</si>
  <si>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</si>
  <si>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</si>
  <si>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</si>
  <si>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</si>
  <si>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</si>
  <si>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</si>
  <si>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</si>
  <si>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</si>
  <si>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</si>
  <si>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</si>
  <si>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2025-5</t>
  </si>
  <si>
    <t>4% Credit/TE Bond</t>
  </si>
  <si>
    <t>National Church Residences</t>
  </si>
  <si>
    <t>Non-Profit</t>
  </si>
  <si>
    <t>N/a</t>
  </si>
  <si>
    <t>Submitted</t>
  </si>
  <si>
    <t>Eric Walker</t>
  </si>
  <si>
    <t>Vice President, Affordable Housing</t>
  </si>
  <si>
    <t>ewalker@nationalchurchresidences.org</t>
  </si>
  <si>
    <t>Maureen Freehill</t>
  </si>
  <si>
    <t>Director, Affordable Housing</t>
  </si>
  <si>
    <t>mfreehill@nationalchurchresidences.org</t>
  </si>
  <si>
    <t>Princeton Court</t>
  </si>
  <si>
    <t>City Limits</t>
  </si>
  <si>
    <t>National Church Residences - Seller Note</t>
  </si>
  <si>
    <t>NEF</t>
  </si>
  <si>
    <t>Federal/State Historic Equity</t>
  </si>
  <si>
    <t>Princeton Court Senior Housing Limited Partnership</t>
  </si>
  <si>
    <t>Acquired Reserves/Rehab Reserve/GP equity</t>
  </si>
  <si>
    <t>Keybank-Freddie TEL</t>
  </si>
  <si>
    <t>Amortizing</t>
  </si>
  <si>
    <t>Acquired Reserves</t>
  </si>
  <si>
    <t>Rehab Reserve</t>
  </si>
  <si>
    <t>GP Equity</t>
  </si>
  <si>
    <t>Historic Designation Consultant</t>
  </si>
  <si>
    <t>Property Needs Assessment</t>
  </si>
  <si>
    <t>DDA/QCT</t>
  </si>
  <si>
    <t>Electric Heat Pump</t>
  </si>
  <si>
    <t>College Park Housing Authority</t>
  </si>
  <si>
    <t>Novogradac</t>
  </si>
  <si>
    <t>Low-Rise Elevator</t>
  </si>
  <si>
    <t>Acquisition/Rehab</t>
  </si>
  <si>
    <t>40% of Units at 60% of AMI</t>
  </si>
  <si>
    <t>Data Processing</t>
  </si>
  <si>
    <t>Fidelity Bond and Misc City Permits</t>
  </si>
  <si>
    <t>N/A for Competitive Review Application</t>
  </si>
  <si>
    <t>Real Property Research Group</t>
  </si>
  <si>
    <t xml:space="preserve">N/A for Competitive Review Applications </t>
  </si>
  <si>
    <t>Terracon</t>
  </si>
  <si>
    <t xml:space="preserve">As this property is going through the LIHTC application process again, the owner is aware of the issues raised in the Phase I report, and will to the greatest extent feasible mitigate or remove these items. </t>
  </si>
  <si>
    <t>Purchase Contract</t>
  </si>
  <si>
    <t>Princeton Court Senior Housing Limited Partnership, LP</t>
  </si>
  <si>
    <t>Princeton Court Senior Housing Limited Partnership, LP has entered into a PSA with National Church Residences of College Park, GA, Inc. for the purchase of the proposed renovation of Princeton Court.</t>
  </si>
  <si>
    <t>Existing conditions site plan is included in the CSDP under Scoring Criteria - Folder 08 Readiness.</t>
  </si>
  <si>
    <t>N/A for Rehab Projects</t>
  </si>
  <si>
    <t>N/A for Competitive Review Applications</t>
  </si>
  <si>
    <t>CSDP, Site Photos, and Aerials are included in Folder 08 Readiness</t>
  </si>
  <si>
    <t>Yes - see Comment</t>
  </si>
  <si>
    <t>National Church Residences submitted a Qualification Determination this spring and received a qualification without conditions, please see Folder 06 - Compliance Performance for detail.</t>
  </si>
  <si>
    <t>Agree</t>
  </si>
  <si>
    <t xml:space="preserve">Although this is Threshold Criteria and is not required for the Competitive Review Application, we intend to include Princeton Court in the above set-aside. </t>
  </si>
  <si>
    <t>https://www.nationalchurchresidences.org/</t>
  </si>
  <si>
    <t>Per 2024-25 QAP, National Church Residences (N^^) is a nonprofit and a Qualified Business, whose board is made up of more than 51% (10 out of 18) women and/or minority membership. These certifications were collected earlier this year for the 9% application round and per the 2024-2025 QAP Q&amp;A, Question ID 1367030458, this data may be utilized in the 4% round if no changes to personnel have occurred. All certifications, the board make up, and cofirmation no changes have been made to the board since the 9% applicaiton can be found in Folder 04 - MWBE.</t>
  </si>
  <si>
    <t>Bond Cost of Issuance</t>
  </si>
  <si>
    <t>N/A-CS</t>
  </si>
  <si>
    <t>&lt;&lt;Select % of Eligible Basis&gt;&gt;</t>
  </si>
  <si>
    <t>Keybank - Construction Loan</t>
  </si>
  <si>
    <t xml:space="preserve">The proposed project is made up of two buildings, one of which was a former school house that was built in 1927 and adaptively re-used into apartments and community space. The school house is a contributing structure to the College Park Historic District and is deemed historically signficant by GA HPD and NPS, supporting documentation is included in Folder 05 Favorable Financing. </t>
  </si>
  <si>
    <t>MARTA</t>
  </si>
  <si>
    <t>(404) 848-5000</t>
  </si>
  <si>
    <t>custserv@itsmarta.com</t>
  </si>
  <si>
    <t>https://www.itsmarta.com/</t>
  </si>
  <si>
    <t>Princeton Court is less than 1 mile from the College Park MARTA Train Station, which includes two rail routes and nine fixed bus routes that all run seven days a week.</t>
  </si>
  <si>
    <t>Hapeville Elementary School</t>
  </si>
  <si>
    <t>K-5</t>
  </si>
  <si>
    <t>Pual D. West Middle School</t>
  </si>
  <si>
    <t>6-8</t>
  </si>
  <si>
    <t>Tri-Cities High School</t>
  </si>
  <si>
    <t>9-12</t>
  </si>
  <si>
    <t xml:space="preserve">Princeton Court is claiming 1.5 points for BTO designation for 7 grades (K-5 and 6-8). </t>
  </si>
  <si>
    <t>At or below 50th</t>
  </si>
  <si>
    <t>Above 50th</t>
  </si>
  <si>
    <t>WITHIN Census Tract</t>
  </si>
  <si>
    <t>Under Extended Affordability, the GP entity, National Church Residences of Princeton Court LLC, is wholly owned/controlled by National Church Residences, a certified 501c3 nonprofit.</t>
  </si>
  <si>
    <t>Vice President</t>
  </si>
  <si>
    <t xml:space="preserve">N/A Stable Communites has been selected. </t>
  </si>
  <si>
    <t xml:space="preserve">Princeton Court is in proximity to various community amenities, scoring 24.5 points, see the Desirable/Undesirable Certification found in Folder 08 Readiness. </t>
  </si>
  <si>
    <t xml:space="preserve">Princeton Court is a preservation project and does not require Site Zoning documentation. Per the DCA Scoring Manager, "submitted" should be selected to acurately reflect points. </t>
  </si>
  <si>
    <t xml:space="preserve">Princeton Court is currently registered as a participating landlord with the local HCV administrator, College Park Housing Authoirty. Evidence of this will be submitted at Final Allocation, per 2024-2025 QAP requirements. </t>
  </si>
  <si>
    <t xml:space="preserve">N/A for 4% Preservation applications. </t>
  </si>
  <si>
    <t xml:space="preserve">NA for 4%  Preservation applications. </t>
  </si>
  <si>
    <t>Princeton Court is an original 2005 LIHTC project, and is in proximity to a myriad of community amenities including a MARTA rail and bus station. While the property currently has occupancy levels at or above 96%, during September 2024-March 2025, Princeton experienced higher vacancy rates due a newer LIHTC senior property opening in a neighboring community and signifcant capital repairs that have now been addressed.</t>
  </si>
  <si>
    <t>See Preservation Scoring for detail.</t>
  </si>
  <si>
    <t xml:space="preserve">Property Needs Assessment is required for preservation projects. </t>
  </si>
  <si>
    <t xml:space="preserve">Per the US Tax Court's Feburary 20, 2024 decision in 23rd Chelsea Associates LLC v. Commission of the Internal Revenue Service, bond issuance can be included in eligible basis regardless of if the bonds are taxable or tax-exempt. Therefore, we have included them as basis eligible. </t>
  </si>
  <si>
    <t>These are existing reserves at the property that will be carried through the acquistion and renovation of Princeton Court.</t>
  </si>
  <si>
    <t>Based on the Utility Allowance provided by the Housing Authority of College Park.</t>
  </si>
  <si>
    <t>Princeton Court is an existing 116-unit LIHTC community for seniors age 55 or older located in College Park, Georgia. The property contains two buildings; one located to the east is a three-story elevator-serviced building containing 104 units built in 2005. The other, on the western portion of the site, is a one-story adaptive re-use of the former S.R. Young Elementary School, originally constructed in 1927, and redeveloped alongside the eastern building in 2005. The former schoolhouse is located within a recognized historic district and is considered historically significant by the National Parks Service. 
Both the original LIHTC application and the current application intend to utilize historic tax credits. We currently have an approved Part 1 Application from the National Park Service and will submit the Part 2 application prior to LIHTC closing and as the work scope is further refined. In addition, this application also includes significant cash contributions from National Church Residences to the project in the form of a Seller Note. 
Prior to application we conducted tenant interviews and reviewed files, we found that a majority of residents occupying market-rate units fell within the 60% AMI threshold. N^^ has decided to reduce the market-rate units from 46 to 7 following recapitalization. 
The renovation will follow DCA guidelines, and the findings of the Property Needs Assessment. Typical improvements include major system replacement or refurbishment depending on remaining useful life, green and accessibility improvements, and upgrades in community spaces and units such as new appliances, paint, windows, doors, fixtures, cabinetry, paint, lighting, etc. Amenity areas will also be refreshed.
PRIME LOCATION
The subject site is located on a portion of the College Park historic district and within 1 mile of a Marta rail line and all the amenities offered in the College Park Main Street District. It is the only affordable senior housing currently available in the city.
Unit Mix: 
25- 1BR/1BA, 650 sq ft
63-2/1 appx 860 sq ft
28-2BR/2BA, 952 sq ft
Amenities:
- Standard Site Amenities
    1. Community Room
    2. Covered Porch Exterior Gathering area 
    3. On-site laundry center with a minimum of 5 washers and 5 dryers 
    4. Fitness Center
    5. Movie Theater
  - Unit Amenities
           1. HVAC Systems
           2. Energy Star Refrigerators
           3. Built in Energy Star Dishwasher
           4. Stoves
           5. Powder-based stovetop fire suppression canisters installed above the range cook top</t>
  </si>
  <si>
    <t>Rehab Reserve: A construction/rehabilitation reserve was allocated to the property at acquistion and has been used for capital improvements as needed, however, the remainng amount will be acquired by the new LP entity and utilized for property improvements on as an added needed basis. 
Income from Operations: The property will be occupied during the course of construction and N^^ will still be collecting rents, therefore income will be received.
Bond Allocation: The original bond resolution that still remains in effect was induced in 2024, however, in light of the DCA 25% Test Policy, we only plan to use $10,650,000 worth of bonds or 30% of aggregate basis.</t>
  </si>
  <si>
    <t xml:space="preserve">Construction Hard costs were determined through data collected from PNA and site staff observations to create a work scope and priced by Varium Construction Group, please see GC pricing in Folder 08 Readiness.
Historic Designation Consultant: Ryan LLC is the historic tax credit advisor for this project, however, they are not a member of the project team. </t>
  </si>
  <si>
    <t>These fees are related to the National Park Service and Georgia SHPO listing for historic significance of the former school building on the eastern portion of the property. Ryan LLC has been selected and is not part of the project team.</t>
  </si>
  <si>
    <t>Historic tax credit execution cost.</t>
  </si>
  <si>
    <t>Real Tax Calculation: Calculation is based on millage rates and historic date for comparable properties within Fulton County. The current ownership benefits from tax abatement structure, that will change at acquisition to a for profit LP entity. 
Insurance: Based on historic data from the property.</t>
  </si>
  <si>
    <t>A.	The proposed project is National Church Residences only application in this round.
B.	National Church Residences is a CORES certified service provider claiming points under the enriched property services category.
C.	Readiness to Proceed:
Princeton Court is well positioned to proceed with construction after receiving a 4% LIHTC award, due to the current operating status and the scoping that has already been developed for this property.
The property has been operating as a senior affordable housing community since 2005, and therefore already zoned with utilities, including sewer and water, running to the building. The project team has submitted Princeton Court in the two previous LIHTC rounds, and alongside the architect, Goode Van Slyke, and historic tax credit advisor, Ryan LLC, have developed a work scope inclusive of accessibility and architectural needs across both buildings as well as the historic nature of the former Samuel R. Young Elementary School. The property is aging and is outside of the 15-year compliance period with major systems beginning to fail. As a result, the National Church Residences Operations, Asset Management, Development, and Capital Planning teams spent the last year evaluating the capital needs at this property, prioritizing life and safety and code concerns to execute short term repairs. This work has included repair and replacement of a portion of residential and common are HVAC systems, replacement of the fire panel in the 2005 building, the impending replacement of the roof over the 1927 building, scoping and investigation of water infiltration at the basement of the former school building, remediation of units near trash compactor rooms, and elevator system and HVAC repair. The team has collaborated with trusted local vendors and local code enforcement to address resident concerns. However, these repairs have revealed the ever-increasing need for full-scale renovation. As you will see in the PNA included in folder 08, a number of major systems are nearing the end of their useful life and will need to be replaced to ensure the continued level of operations on site. Critical systems include elevators, which have had short-term repairs put into place but will need modernization for continual operation, and roofing on the 2005 building. The 1927 building roof is being replaced to ensure resident health and safety in advance of full-scale renovations. However, the 2005 building’s roof is noted as being in fair to poor physical condition and will need replacement along with fascia, soffits, gutters and downspouts. Hot water heating systems and heat pumps are at the end of their useful life. Currently these systems are being replaced upon failure at the site. 
The project team is prepared and experienced in acting quickly to complete the kind of renovations cited in the scope of work along with a highly responsive in-house relocation team.
D. Preservation application:
The proposed project is in year 20 of the extended compliance period.
Additionally, rent values as outlined in the core application are based on existing rents on site are 5%-15% below 2025 60% LIHTC rents and present a significant rent advantage.</t>
  </si>
  <si>
    <t>As evidenced on page 7 of the report the capture rate for LIHTC units is 7.7% and 0.6% for market rate units, with an overall capture rate of 4.6%. Additionally, in this round we have lowered our rents to a weighted average of what residents currently pay on-site to ensure residents can stay stably housed at our property, therefore our overall market advantage is 53.5% as shown on page 6 of the market study.</t>
  </si>
  <si>
    <t>Based on prior reports, elevated level of Lead-based paint and Asbestos Containing Materials were detected on-site (p. 10). Additionally, an underground propane tank that is no longer in use was located outside of the former school building (p.17). Finally, the noise levels were assessed and found to be in excess of the 65dB limit (p.430)--the site plan mitigates impact.</t>
  </si>
  <si>
    <t xml:space="preserve">Princeton Court does not currently have a Project-Based Rental Assistance Contract because the College Park Housing Authority does not currently have authority to administer the program and although we applied for PBVs with Georgia DCA, this property was not awarded. We have had initial conversations with Grady Health's HSP program, a certified DCA entity for seniors 55+, to accept referrals for ISH units. N^^ and Grady Health have long-standing relationships to support resident health and well-being at many of our Atlanta portfolio sites and if awarded intend to continue this partnership by entering into an MOU for referrals.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</si>
</sst>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5"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78">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0"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9"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10" fillId="0" borderId="7" xfId="33" applyFont="1" applyBorder="1" applyAlignment="1">
      <alignment horizontal="center"/>
    </xf>
    <xf numFmtId="0" fontId="212" fillId="0" borderId="141" xfId="33" applyFont="1" applyBorder="1" applyAlignment="1">
      <alignment horizontal="right"/>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0"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9"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8"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9"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0" fillId="0" borderId="0" xfId="0" applyFont="1" applyAlignment="1">
      <alignment horizontal="center"/>
    </xf>
    <xf numFmtId="0" fontId="93" fillId="0" borderId="0" xfId="0" applyFont="1" applyAlignment="1">
      <alignment horizontal="left" vertical="center"/>
    </xf>
    <xf numFmtId="0" fontId="241" fillId="0" borderId="0" xfId="0" applyFont="1"/>
    <xf numFmtId="0" fontId="240"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8"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2"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5"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6"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9" fillId="0" borderId="0" xfId="0" applyFont="1" applyAlignment="1">
      <alignment horizontal="right" vertical="center"/>
    </xf>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2"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2"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2" fillId="0" borderId="0" xfId="33" applyFont="1" applyAlignment="1">
      <alignment vertical="top"/>
    </xf>
    <xf numFmtId="0" fontId="252"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4" fillId="0" borderId="0" xfId="33" applyFont="1" applyAlignment="1">
      <alignment horizontal="center" vertical="center"/>
    </xf>
    <xf numFmtId="0" fontId="254"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2" fillId="0" borderId="0" xfId="33" applyFont="1" applyAlignment="1">
      <alignment horizontal="left" vertical="center"/>
    </xf>
    <xf numFmtId="0" fontId="135" fillId="0" borderId="0" xfId="33" applyFont="1" applyAlignment="1">
      <alignment horizontal="right" vertical="center"/>
    </xf>
    <xf numFmtId="0" fontId="26"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228" fillId="0" borderId="0" xfId="37" applyFont="1" applyAlignment="1">
      <alignment vertical="center"/>
    </xf>
    <xf numFmtId="0" fontId="250"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6" fillId="5" borderId="17"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center"/>
      <protection locked="0"/>
    </xf>
    <xf numFmtId="0" fontId="26" fillId="5" borderId="128" xfId="37" applyFont="1" applyFill="1" applyBorder="1" applyAlignment="1" applyProtection="1">
      <alignment horizontal="center" vertical="center"/>
      <protection locked="0"/>
    </xf>
    <xf numFmtId="181" fontId="26" fillId="5" borderId="18" xfId="37" applyNumberFormat="1" applyFont="1" applyFill="1" applyBorder="1" applyAlignment="1" applyProtection="1">
      <alignment horizontal="center" vertical="center"/>
      <protection locked="0"/>
    </xf>
    <xf numFmtId="0" fontId="26" fillId="5" borderId="17" xfId="37"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top"/>
      <protection locked="0"/>
    </xf>
    <xf numFmtId="38" fontId="26" fillId="5" borderId="81" xfId="37" applyNumberFormat="1"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center"/>
      <protection locked="0"/>
    </xf>
    <xf numFmtId="38" fontId="26" fillId="5" borderId="83" xfId="37" applyNumberFormat="1" applyFont="1" applyFill="1" applyBorder="1" applyAlignment="1" applyProtection="1">
      <alignment horizontal="center" vertical="center"/>
      <protection locked="0"/>
    </xf>
    <xf numFmtId="0" fontId="250" fillId="0" borderId="0" xfId="37"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5" borderId="17" xfId="37" applyNumberFormat="1" applyFont="1" applyFill="1" applyBorder="1" applyAlignment="1" applyProtection="1">
      <alignment horizontal="center" vertical="top"/>
      <protection locked="0"/>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50" fillId="0" borderId="0" xfId="37" applyFont="1" applyAlignment="1">
      <alignment horizontal="center"/>
    </xf>
    <xf numFmtId="0" fontId="26" fillId="5" borderId="83" xfId="37" applyFont="1" applyFill="1" applyBorder="1" applyAlignment="1" applyProtection="1">
      <alignment horizontal="center" vertical="top"/>
      <protection locked="0"/>
    </xf>
    <xf numFmtId="0" fontId="26" fillId="5" borderId="12" xfId="37" applyFont="1" applyFill="1" applyBorder="1" applyAlignment="1" applyProtection="1">
      <alignment horizontal="center" vertical="top"/>
      <protection locked="0"/>
    </xf>
    <xf numFmtId="38" fontId="26" fillId="5" borderId="104" xfId="37" applyNumberFormat="1" applyFont="1" applyFill="1" applyBorder="1" applyAlignment="1" applyProtection="1">
      <alignment horizontal="center" vertical="center"/>
      <protection locked="0"/>
    </xf>
    <xf numFmtId="0" fontId="26" fillId="5" borderId="12" xfId="37" applyFont="1" applyFill="1" applyBorder="1" applyAlignment="1" applyProtection="1">
      <alignment horizontal="center" vertical="center"/>
      <protection locked="0"/>
    </xf>
    <xf numFmtId="0" fontId="26" fillId="5" borderId="22" xfId="37" applyFont="1" applyFill="1" applyBorder="1" applyAlignment="1" applyProtection="1">
      <alignment horizontal="center" vertical="top"/>
      <protection locked="0"/>
    </xf>
    <xf numFmtId="38" fontId="26" fillId="10" borderId="22" xfId="37" applyNumberFormat="1" applyFont="1" applyFill="1" applyBorder="1" applyAlignment="1" applyProtection="1">
      <alignment horizontal="center" vertical="center"/>
      <protection locked="0"/>
    </xf>
    <xf numFmtId="38" fontId="26" fillId="10" borderId="83" xfId="37" applyNumberFormat="1" applyFont="1" applyFill="1" applyBorder="1" applyAlignment="1" applyProtection="1">
      <alignment horizontal="center" vertical="center"/>
      <protection locked="0"/>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7" fillId="0" borderId="0" xfId="37" applyFont="1" applyAlignment="1">
      <alignment horizontal="left"/>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250"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181" fontId="26" fillId="5" borderId="83"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top"/>
      <protection locked="0"/>
    </xf>
    <xf numFmtId="0" fontId="250" fillId="0" borderId="0" xfId="37" applyFont="1" applyAlignment="1">
      <alignment vertical="center" wrapText="1"/>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5" borderId="12" xfId="37" applyNumberFormat="1" applyFont="1" applyFill="1" applyBorder="1" applyAlignment="1" applyProtection="1">
      <alignment horizontal="center" vertical="center"/>
      <protection locked="0"/>
    </xf>
    <xf numFmtId="0" fontId="106" fillId="0" borderId="0" xfId="33" applyFont="1" applyAlignment="1">
      <alignment vertical="center"/>
    </xf>
    <xf numFmtId="0" fontId="187" fillId="0" borderId="0" xfId="33" applyFont="1" applyProtection="1">
      <protection locked="0"/>
    </xf>
    <xf numFmtId="0" fontId="252" fillId="0" borderId="0" xfId="33" applyFont="1" applyProtection="1">
      <protection locked="0"/>
    </xf>
    <xf numFmtId="0" fontId="252" fillId="0" borderId="0" xfId="33" applyFont="1" applyAlignment="1" applyProtection="1">
      <alignment vertical="center"/>
      <protection locked="0"/>
    </xf>
    <xf numFmtId="0" fontId="252" fillId="0" borderId="0" xfId="33" applyFont="1" applyAlignment="1" applyProtection="1">
      <alignment vertical="top"/>
      <protection locked="0"/>
    </xf>
    <xf numFmtId="0" fontId="252"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0" fontId="10" fillId="0" borderId="13" xfId="33" applyFont="1" applyBorder="1" applyAlignment="1">
      <alignment horizontal="left" vertical="center" wrapText="1"/>
    </xf>
    <xf numFmtId="0" fontId="26" fillId="5" borderId="12" xfId="33" applyFont="1" applyFill="1" applyBorder="1" applyAlignment="1" applyProtection="1">
      <alignment horizontal="center" vertical="center"/>
      <protection locked="0"/>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3" fillId="0" borderId="0" xfId="0" applyFont="1" applyAlignment="1">
      <alignment horizontal="center"/>
    </xf>
    <xf numFmtId="0" fontId="26" fillId="13" borderId="12" xfId="33" applyFont="1" applyFill="1" applyBorder="1" applyAlignment="1">
      <alignment horizontal="center" vertical="center"/>
    </xf>
    <xf numFmtId="0" fontId="229" fillId="0" borderId="0" xfId="33" applyFont="1" applyAlignment="1">
      <alignment vertical="center"/>
    </xf>
    <xf numFmtId="1" fontId="135" fillId="0" borderId="0" xfId="33" applyNumberFormat="1" applyFont="1" applyAlignment="1">
      <alignment horizontal="center" vertical="center"/>
    </xf>
    <xf numFmtId="0" fontId="26" fillId="0" borderId="0" xfId="33" applyFont="1" applyAlignment="1">
      <alignment vertical="top"/>
    </xf>
    <xf numFmtId="0" fontId="26" fillId="5" borderId="128" xfId="33" applyFont="1" applyFill="1" applyBorder="1" applyAlignment="1" applyProtection="1">
      <alignment horizontal="center" vertical="center" wrapText="1"/>
      <protection locked="0"/>
    </xf>
    <xf numFmtId="0" fontId="26" fillId="5" borderId="18" xfId="33" applyFont="1" applyFill="1" applyBorder="1" applyAlignment="1" applyProtection="1">
      <alignment horizontal="center" vertical="center" wrapText="1"/>
      <protection locked="0"/>
    </xf>
    <xf numFmtId="0" fontId="268" fillId="0" borderId="0" xfId="33" applyFont="1" applyAlignment="1">
      <alignment horizontal="right" vertical="top"/>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0" fontId="26" fillId="5" borderId="128" xfId="37" applyFont="1" applyFill="1" applyBorder="1" applyAlignment="1" applyProtection="1">
      <alignment horizontal="center" vertical="top"/>
      <protection locked="0"/>
    </xf>
    <xf numFmtId="181" fontId="26" fillId="5" borderId="15" xfId="37" applyNumberFormat="1" applyFont="1" applyFill="1" applyBorder="1" applyAlignment="1" applyProtection="1">
      <alignment horizontal="center" vertical="center"/>
      <protection locked="0"/>
    </xf>
    <xf numFmtId="10" fontId="10" fillId="10" borderId="83" xfId="37" applyNumberFormat="1" applyFont="1" applyFill="1" applyBorder="1" applyAlignment="1" applyProtection="1">
      <alignment horizontal="center" vertical="center" wrapText="1"/>
      <protection locked="0"/>
    </xf>
    <xf numFmtId="0" fontId="10" fillId="10" borderId="83" xfId="37" applyFont="1" applyFill="1" applyBorder="1" applyAlignment="1" applyProtection="1">
      <alignment horizontal="center" vertical="top"/>
      <protection locked="0"/>
    </xf>
    <xf numFmtId="38" fontId="26" fillId="10" borderId="11" xfId="37" applyNumberFormat="1" applyFont="1" applyFill="1" applyBorder="1" applyAlignment="1" applyProtection="1">
      <alignment horizontal="center" vertical="center"/>
      <protection locked="0"/>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3" fillId="0" borderId="0" xfId="37" quotePrefix="1" applyFont="1" applyAlignment="1">
      <alignment vertical="center"/>
    </xf>
    <xf numFmtId="0" fontId="253" fillId="0" borderId="0" xfId="37" applyFont="1" applyAlignment="1">
      <alignment vertical="center"/>
    </xf>
    <xf numFmtId="0" fontId="10" fillId="0" borderId="0" xfId="37" applyFont="1" applyAlignment="1">
      <alignment wrapText="1"/>
    </xf>
    <xf numFmtId="0" fontId="267" fillId="0" borderId="84" xfId="37" applyFont="1" applyBorder="1" applyAlignment="1">
      <alignment horizontal="center" vertical="center"/>
    </xf>
    <xf numFmtId="0" fontId="265"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259"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3" fillId="0" borderId="0" xfId="37" applyFont="1" applyAlignment="1">
      <alignment horizontal="left" vertical="center"/>
    </xf>
    <xf numFmtId="0" fontId="259"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9"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13" borderId="128" xfId="37" applyFont="1" applyFill="1" applyBorder="1" applyAlignment="1">
      <alignment horizontal="center" vertical="center"/>
    </xf>
    <xf numFmtId="0" fontId="26" fillId="0" borderId="0" xfId="37" quotePrefix="1" applyFont="1" applyAlignment="1">
      <alignment horizontal="left" vertical="top"/>
    </xf>
    <xf numFmtId="0" fontId="26" fillId="13" borderId="17" xfId="37" applyFont="1" applyFill="1" applyBorder="1" applyAlignment="1">
      <alignment horizontal="center" vertical="center"/>
    </xf>
    <xf numFmtId="0" fontId="26" fillId="13"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3" fillId="0" borderId="0" xfId="37" quotePrefix="1" applyFont="1" applyAlignment="1">
      <alignment horizontal="center" vertical="center"/>
    </xf>
    <xf numFmtId="0" fontId="10" fillId="0" borderId="0" xfId="37" applyFont="1" applyAlignment="1">
      <alignment horizontal="left" vertical="center" wrapText="1"/>
    </xf>
    <xf numFmtId="0" fontId="26" fillId="13" borderId="12" xfId="37" applyFont="1" applyFill="1" applyBorder="1" applyAlignment="1">
      <alignment horizontal="center" vertical="top"/>
    </xf>
    <xf numFmtId="0" fontId="10" fillId="0" borderId="0" xfId="37" applyFont="1" applyAlignment="1">
      <alignment horizontal="left" vertical="top" wrapText="1"/>
    </xf>
    <xf numFmtId="0" fontId="26" fillId="13" borderId="18"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6" fillId="13" borderId="128" xfId="37" applyFont="1" applyFill="1" applyBorder="1" applyAlignment="1">
      <alignment horizontal="center" vertical="top"/>
    </xf>
    <xf numFmtId="0" fontId="259" fillId="0" borderId="0" xfId="37" applyFont="1" applyAlignment="1">
      <alignment horizontal="center" vertical="top"/>
    </xf>
    <xf numFmtId="0" fontId="259" fillId="0" borderId="0" xfId="37" applyFont="1" applyAlignment="1">
      <alignment vertical="top" wrapText="1"/>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80" fillId="0" borderId="0" xfId="37" applyFont="1" applyAlignment="1">
      <alignment vertical="center" wrapText="1"/>
    </xf>
    <xf numFmtId="0" fontId="10" fillId="0" borderId="0" xfId="37" quotePrefix="1" applyFont="1" applyAlignment="1">
      <alignment vertical="center"/>
    </xf>
    <xf numFmtId="0" fontId="26" fillId="0" borderId="0" xfId="37" applyFont="1" applyAlignment="1">
      <alignment horizontal="left" vertical="top"/>
    </xf>
    <xf numFmtId="0" fontId="135" fillId="0" borderId="0" xfId="37" applyFont="1" applyAlignment="1">
      <alignment horizontal="center"/>
    </xf>
    <xf numFmtId="0" fontId="253"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0" fillId="0" borderId="0" xfId="37" quotePrefix="1" applyFont="1" applyAlignment="1">
      <alignment horizontal="right" vertical="top"/>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13" borderId="129" xfId="37" applyNumberFormat="1" applyFont="1" applyFill="1" applyBorder="1" applyAlignment="1">
      <alignment horizontal="center" vertical="center"/>
    </xf>
    <xf numFmtId="0" fontId="26" fillId="13" borderId="12" xfId="37"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13"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center" vertical="top"/>
    </xf>
    <xf numFmtId="0" fontId="26" fillId="13"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3"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3" borderId="22" xfId="37" applyNumberFormat="1" applyFont="1" applyFill="1" applyBorder="1" applyAlignment="1">
      <alignment horizontal="center" vertical="center"/>
    </xf>
    <xf numFmtId="38" fontId="26" fillId="13" borderId="11" xfId="37" applyNumberFormat="1" applyFont="1" applyFill="1" applyBorder="1" applyAlignment="1">
      <alignment horizontal="center" vertical="center"/>
    </xf>
    <xf numFmtId="38" fontId="26" fillId="13"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9" fillId="0" borderId="0" xfId="37" applyFont="1" applyAlignment="1">
      <alignment horizontal="left" vertical="center"/>
    </xf>
    <xf numFmtId="38" fontId="26" fillId="13" borderId="128" xfId="37" applyNumberFormat="1" applyFont="1" applyFill="1" applyBorder="1" applyAlignment="1">
      <alignment horizontal="center" vertical="center"/>
    </xf>
    <xf numFmtId="38" fontId="26" fillId="13" borderId="18" xfId="37" applyNumberFormat="1" applyFont="1" applyFill="1" applyBorder="1" applyAlignment="1">
      <alignment horizontal="center" vertical="center"/>
    </xf>
    <xf numFmtId="0" fontId="26" fillId="0" borderId="0" xfId="37" applyFont="1" applyAlignment="1">
      <alignment horizontal="left" vertical="center"/>
    </xf>
    <xf numFmtId="38" fontId="26" fillId="13" borderId="17" xfId="37" applyNumberFormat="1" applyFont="1" applyFill="1" applyBorder="1" applyAlignment="1">
      <alignment horizontal="center" vertical="center"/>
    </xf>
    <xf numFmtId="0" fontId="4" fillId="0" borderId="0" xfId="37" applyAlignment="1">
      <alignment horizontal="center" vertical="top"/>
    </xf>
    <xf numFmtId="38" fontId="26" fillId="13" borderId="17" xfId="37" applyNumberFormat="1" applyFont="1" applyFill="1" applyBorder="1" applyAlignment="1">
      <alignment horizontal="center" vertical="top"/>
    </xf>
    <xf numFmtId="0" fontId="43" fillId="0" borderId="0" xfId="37" applyFont="1" applyAlignment="1">
      <alignment horizontal="right" vertical="center"/>
    </xf>
    <xf numFmtId="0" fontId="253" fillId="0" borderId="0" xfId="37" quotePrefix="1" applyFont="1"/>
    <xf numFmtId="0" fontId="253"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60" fillId="0" borderId="83" xfId="37" applyNumberFormat="1" applyFont="1" applyBorder="1" applyAlignment="1">
      <alignment horizontal="center" vertical="center"/>
    </xf>
    <xf numFmtId="0" fontId="264" fillId="0" borderId="0" xfId="0" applyFont="1" applyAlignment="1">
      <alignment horizontal="right" vertical="center"/>
    </xf>
    <xf numFmtId="0" fontId="26" fillId="0" borderId="0" xfId="37" applyFont="1" applyAlignment="1">
      <alignment horizontal="center" vertical="top"/>
    </xf>
    <xf numFmtId="0" fontId="26" fillId="13" borderId="83" xfId="37" applyFont="1" applyFill="1" applyBorder="1" applyAlignment="1">
      <alignment horizontal="center" vertical="top"/>
    </xf>
    <xf numFmtId="181" fontId="26" fillId="13"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0" fontId="10" fillId="0" borderId="0" xfId="37" applyFont="1" applyAlignment="1">
      <alignment vertical="top" wrapText="1"/>
    </xf>
    <xf numFmtId="0" fontId="261"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13" borderId="81"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13" borderId="18" xfId="37" applyNumberFormat="1" applyFont="1" applyFill="1" applyBorder="1" applyAlignment="1">
      <alignment horizontal="center" vertical="center"/>
    </xf>
    <xf numFmtId="0" fontId="26" fillId="0" borderId="0" xfId="37" applyFont="1" applyAlignment="1">
      <alignment vertical="top"/>
    </xf>
    <xf numFmtId="0" fontId="261"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38" fontId="26" fillId="13" borderId="81" xfId="37" applyNumberFormat="1" applyFont="1" applyFill="1" applyBorder="1" applyAlignment="1">
      <alignment horizontal="center" vertical="center"/>
    </xf>
    <xf numFmtId="0" fontId="5" fillId="0" borderId="81" xfId="33" applyFont="1" applyBorder="1" applyAlignment="1">
      <alignment horizontal="center" vertical="center"/>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13" borderId="18" xfId="37" applyNumberFormat="1" applyFont="1" applyFill="1" applyBorder="1" applyAlignment="1">
      <alignment horizontal="center" vertical="top"/>
    </xf>
    <xf numFmtId="186" fontId="26" fillId="13"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26"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7" fillId="0" borderId="0" xfId="37" applyFont="1" applyAlignment="1">
      <alignment horizontal="center"/>
    </xf>
    <xf numFmtId="49" fontId="26" fillId="0" borderId="0" xfId="37" quotePrefix="1" applyNumberFormat="1" applyFont="1" applyAlignment="1">
      <alignment horizontal="left" vertical="center"/>
    </xf>
    <xf numFmtId="0" fontId="198" fillId="0" borderId="0" xfId="37" applyFont="1" applyAlignment="1">
      <alignment horizontal="right" vertical="center"/>
    </xf>
    <xf numFmtId="0" fontId="254" fillId="0" borderId="0" xfId="37" applyFont="1"/>
    <xf numFmtId="0" fontId="262" fillId="0" borderId="0" xfId="37" applyFont="1" applyAlignment="1">
      <alignment horizontal="right" vertical="center"/>
    </xf>
    <xf numFmtId="181" fontId="26" fillId="0" borderId="83" xfId="37" applyNumberFormat="1" applyFont="1" applyBorder="1" applyAlignment="1">
      <alignment horizontal="center" vertical="center"/>
    </xf>
    <xf numFmtId="0" fontId="26" fillId="13" borderId="83" xfId="37" applyFont="1" applyFill="1" applyBorder="1" applyAlignment="1">
      <alignment horizontal="center" vertical="center"/>
    </xf>
    <xf numFmtId="0" fontId="115" fillId="0" borderId="43" xfId="37" applyFont="1" applyBorder="1" applyAlignment="1">
      <alignment vertical="center"/>
    </xf>
    <xf numFmtId="0" fontId="253" fillId="0" borderId="19" xfId="37" applyFont="1" applyBorder="1" applyAlignment="1">
      <alignment vertical="center"/>
    </xf>
    <xf numFmtId="0" fontId="10" fillId="0" borderId="19" xfId="37" applyFont="1" applyBorder="1" applyAlignment="1">
      <alignment vertical="center"/>
    </xf>
    <xf numFmtId="0" fontId="260" fillId="0" borderId="58" xfId="37" applyFont="1" applyBorder="1" applyAlignment="1">
      <alignment horizontal="center" vertical="center"/>
    </xf>
    <xf numFmtId="0" fontId="266" fillId="0" borderId="58" xfId="37" applyFont="1" applyBorder="1" applyAlignment="1">
      <alignment horizontal="center" vertical="center"/>
    </xf>
    <xf numFmtId="0" fontId="135" fillId="0" borderId="39" xfId="37" applyFont="1" applyBorder="1" applyAlignment="1">
      <alignment horizontal="right" vertical="center"/>
    </xf>
    <xf numFmtId="0" fontId="10" fillId="0" borderId="40" xfId="37" applyFont="1" applyBorder="1" applyAlignment="1">
      <alignment vertical="center"/>
    </xf>
    <xf numFmtId="181" fontId="267" fillId="0" borderId="0" xfId="37" applyNumberFormat="1" applyFont="1" applyAlignment="1">
      <alignment horizontal="center" vertical="center"/>
    </xf>
    <xf numFmtId="181" fontId="265" fillId="0" borderId="0" xfId="37" applyNumberFormat="1" applyFont="1" applyAlignment="1">
      <alignment horizontal="center" vertical="center"/>
    </xf>
    <xf numFmtId="0" fontId="135" fillId="0" borderId="41" xfId="37" applyFont="1" applyBorder="1" applyAlignment="1">
      <alignment horizontal="right" vertical="center"/>
    </xf>
    <xf numFmtId="38" fontId="267" fillId="0" borderId="0" xfId="37" applyNumberFormat="1" applyFont="1" applyAlignment="1">
      <alignment horizontal="center" vertical="center"/>
    </xf>
    <xf numFmtId="38" fontId="265" fillId="0" borderId="0" xfId="37" applyNumberFormat="1" applyFont="1" applyAlignment="1">
      <alignment horizontal="center" vertical="center"/>
    </xf>
    <xf numFmtId="0" fontId="10" fillId="0" borderId="42" xfId="37" applyFont="1" applyBorder="1" applyAlignment="1">
      <alignment vertical="center"/>
    </xf>
    <xf numFmtId="0" fontId="253" fillId="0" borderId="20" xfId="37" applyFont="1" applyBorder="1" applyAlignment="1">
      <alignment vertical="center"/>
    </xf>
    <xf numFmtId="0" fontId="10" fillId="0" borderId="20" xfId="37" applyFont="1" applyBorder="1" applyAlignment="1">
      <alignment vertical="center"/>
    </xf>
    <xf numFmtId="0" fontId="135" fillId="0" borderId="59" xfId="37" applyFont="1" applyBorder="1" applyAlignment="1">
      <alignment horizontal="right" vertical="center"/>
    </xf>
    <xf numFmtId="0" fontId="10" fillId="0" borderId="0" xfId="37" quotePrefix="1" applyFont="1" applyAlignment="1">
      <alignment horizontal="left"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5" fillId="0" borderId="0" xfId="37" applyFont="1" applyAlignment="1">
      <alignment horizontal="center" vertical="center"/>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71" fillId="0" borderId="0" xfId="37" applyFont="1" applyAlignment="1">
      <alignment horizontal="center" vertical="center"/>
    </xf>
    <xf numFmtId="38" fontId="26" fillId="13" borderId="12" xfId="37" applyNumberFormat="1" applyFont="1" applyFill="1" applyBorder="1" applyAlignment="1">
      <alignment horizontal="center" vertical="center"/>
    </xf>
    <xf numFmtId="0" fontId="265" fillId="0" borderId="0" xfId="37" applyFont="1"/>
    <xf numFmtId="9" fontId="270" fillId="0" borderId="13" xfId="37" applyNumberFormat="1" applyFont="1" applyBorder="1" applyAlignment="1">
      <alignment horizontal="center" vertical="center" wrapText="1"/>
    </xf>
    <xf numFmtId="9" fontId="269" fillId="0" borderId="13" xfId="37" applyNumberFormat="1" applyFont="1" applyBorder="1" applyAlignment="1">
      <alignment horizontal="center" vertical="center" wrapText="1"/>
    </xf>
    <xf numFmtId="0" fontId="10" fillId="0" borderId="20" xfId="37" applyFont="1" applyBorder="1"/>
    <xf numFmtId="38" fontId="260" fillId="0" borderId="93" xfId="37" applyNumberFormat="1" applyFont="1" applyBorder="1" applyAlignment="1">
      <alignment horizontal="center" vertical="center" wrapText="1"/>
    </xf>
    <xf numFmtId="38" fontId="260" fillId="0" borderId="92" xfId="37" applyNumberFormat="1" applyFont="1" applyBorder="1" applyAlignment="1">
      <alignment horizontal="center" vertical="center" wrapText="1"/>
    </xf>
    <xf numFmtId="38" fontId="260" fillId="0" borderId="133" xfId="37" applyNumberFormat="1" applyFont="1" applyBorder="1" applyAlignment="1">
      <alignment horizontal="center" vertical="center" wrapText="1"/>
    </xf>
    <xf numFmtId="38" fontId="260" fillId="0" borderId="190" xfId="37" applyNumberFormat="1" applyFont="1" applyBorder="1" applyAlignment="1">
      <alignment horizontal="center" vertical="center" wrapText="1"/>
    </xf>
    <xf numFmtId="38" fontId="266" fillId="0" borderId="187" xfId="37" applyNumberFormat="1" applyFont="1" applyBorder="1" applyAlignment="1">
      <alignment horizontal="center" vertical="center" wrapText="1"/>
    </xf>
    <xf numFmtId="38" fontId="266" fillId="0" borderId="178" xfId="37" applyNumberFormat="1" applyFont="1" applyBorder="1" applyAlignment="1">
      <alignment horizontal="center" vertical="center" wrapText="1"/>
    </xf>
    <xf numFmtId="38" fontId="266" fillId="0" borderId="133" xfId="37" applyNumberFormat="1" applyFont="1" applyBorder="1" applyAlignment="1">
      <alignment horizontal="center" vertical="center" wrapText="1"/>
    </xf>
    <xf numFmtId="0" fontId="10" fillId="0" borderId="21" xfId="37" applyFont="1" applyBorder="1" applyAlignment="1">
      <alignment vertical="center"/>
    </xf>
    <xf numFmtId="38" fontId="260" fillId="0" borderId="50" xfId="37" applyNumberFormat="1" applyFont="1" applyBorder="1" applyAlignment="1">
      <alignment horizontal="center" vertical="center" wrapText="1"/>
    </xf>
    <xf numFmtId="38" fontId="260" fillId="0" borderId="191" xfId="37" applyNumberFormat="1" applyFont="1" applyBorder="1" applyAlignment="1">
      <alignment horizontal="center" vertical="center" wrapText="1"/>
    </xf>
    <xf numFmtId="38" fontId="266" fillId="0" borderId="188" xfId="37" applyNumberFormat="1" applyFont="1" applyBorder="1" applyAlignment="1">
      <alignment horizontal="center" vertical="center" wrapText="1"/>
    </xf>
    <xf numFmtId="38" fontId="266" fillId="0" borderId="25" xfId="37" applyNumberFormat="1" applyFont="1" applyBorder="1" applyAlignment="1">
      <alignment horizontal="center" vertical="center" wrapText="1"/>
    </xf>
    <xf numFmtId="38" fontId="266" fillId="0" borderId="50" xfId="37" applyNumberFormat="1" applyFont="1" applyBorder="1" applyAlignment="1">
      <alignment horizontal="center" vertical="center" wrapText="1"/>
    </xf>
    <xf numFmtId="0" fontId="10" fillId="0" borderId="21" xfId="37" applyFont="1" applyBorder="1"/>
    <xf numFmtId="0" fontId="26" fillId="0" borderId="83" xfId="37" applyFont="1" applyBorder="1" applyAlignment="1">
      <alignment horizontal="center" vertical="center"/>
    </xf>
    <xf numFmtId="38" fontId="260" fillId="0" borderId="25" xfId="37" applyNumberFormat="1" applyFont="1" applyBorder="1" applyAlignment="1">
      <alignment horizontal="center" vertical="center" wrapText="1"/>
    </xf>
    <xf numFmtId="181" fontId="260" fillId="0" borderId="50" xfId="37" applyNumberFormat="1" applyFont="1" applyBorder="1" applyAlignment="1">
      <alignment horizontal="center" vertical="center" wrapText="1"/>
    </xf>
    <xf numFmtId="181" fontId="260" fillId="0" borderId="25" xfId="37" applyNumberFormat="1" applyFont="1" applyBorder="1" applyAlignment="1">
      <alignment horizontal="center" vertical="center" wrapText="1"/>
    </xf>
    <xf numFmtId="0" fontId="260" fillId="0" borderId="50" xfId="37" applyFont="1" applyBorder="1" applyAlignment="1">
      <alignment horizontal="center" vertical="center" wrapText="1"/>
    </xf>
    <xf numFmtId="0" fontId="260" fillId="0" borderId="191" xfId="37" applyFont="1" applyBorder="1" applyAlignment="1">
      <alignment horizontal="center" vertical="center" wrapText="1"/>
    </xf>
    <xf numFmtId="181" fontId="266" fillId="0" borderId="188" xfId="37" applyNumberFormat="1" applyFont="1" applyBorder="1" applyAlignment="1">
      <alignment horizontal="center" vertical="center" wrapText="1"/>
    </xf>
    <xf numFmtId="181" fontId="266" fillId="0" borderId="25" xfId="37" applyNumberFormat="1" applyFont="1" applyBorder="1" applyAlignment="1">
      <alignment horizontal="center" vertical="center" wrapText="1"/>
    </xf>
    <xf numFmtId="0" fontId="266" fillId="0" borderId="50" xfId="37" applyFont="1" applyBorder="1" applyAlignment="1">
      <alignment horizontal="center" vertical="center" wrapText="1"/>
    </xf>
    <xf numFmtId="0" fontId="266" fillId="0" borderId="25" xfId="37" applyFont="1" applyBorder="1" applyAlignment="1">
      <alignment horizontal="center" vertical="center" wrapText="1"/>
    </xf>
    <xf numFmtId="0" fontId="260" fillId="0" borderId="25" xfId="37" applyFont="1" applyBorder="1" applyAlignment="1">
      <alignment horizontal="center" vertical="center" wrapText="1"/>
    </xf>
    <xf numFmtId="0" fontId="10" fillId="0" borderId="7" xfId="37" applyFont="1" applyBorder="1" applyAlignment="1">
      <alignment vertical="center"/>
    </xf>
    <xf numFmtId="181" fontId="260" fillId="28" borderId="50" xfId="37" applyNumberFormat="1" applyFont="1" applyFill="1" applyBorder="1" applyAlignment="1">
      <alignment horizontal="center" vertical="center" wrapText="1"/>
    </xf>
    <xf numFmtId="181" fontId="260" fillId="28" borderId="191" xfId="37" applyNumberFormat="1" applyFont="1" applyFill="1" applyBorder="1" applyAlignment="1">
      <alignment horizontal="center" vertical="center" wrapText="1"/>
    </xf>
    <xf numFmtId="181" fontId="266" fillId="28" borderId="50" xfId="37" applyNumberFormat="1" applyFont="1" applyFill="1" applyBorder="1" applyAlignment="1">
      <alignment horizontal="center" vertical="center" wrapText="1"/>
    </xf>
    <xf numFmtId="181" fontId="266" fillId="28" borderId="25" xfId="37" applyNumberFormat="1" applyFont="1" applyFill="1" applyBorder="1" applyAlignment="1">
      <alignment horizontal="center" vertical="center" wrapText="1"/>
    </xf>
    <xf numFmtId="38" fontId="260" fillId="28" borderId="50" xfId="37" applyNumberFormat="1" applyFont="1" applyFill="1" applyBorder="1" applyAlignment="1">
      <alignment horizontal="center" vertical="center" wrapText="1"/>
    </xf>
    <xf numFmtId="38" fontId="260" fillId="28" borderId="191" xfId="37" applyNumberFormat="1" applyFont="1" applyFill="1" applyBorder="1" applyAlignment="1">
      <alignment horizontal="center" vertical="center" wrapText="1"/>
    </xf>
    <xf numFmtId="38" fontId="266" fillId="28" borderId="50" xfId="37" applyNumberFormat="1" applyFont="1" applyFill="1" applyBorder="1" applyAlignment="1">
      <alignment horizontal="center" vertical="center" wrapText="1"/>
    </xf>
    <xf numFmtId="38" fontId="266" fillId="28" borderId="25" xfId="37" applyNumberFormat="1" applyFont="1" applyFill="1" applyBorder="1" applyAlignment="1">
      <alignment horizontal="center" vertical="center" wrapText="1"/>
    </xf>
    <xf numFmtId="0" fontId="260" fillId="28" borderId="25" xfId="37" applyFont="1" applyFill="1" applyBorder="1" applyAlignment="1">
      <alignment horizontal="center" vertical="center" wrapText="1"/>
    </xf>
    <xf numFmtId="0" fontId="260" fillId="28" borderId="50" xfId="37" applyFont="1" applyFill="1" applyBorder="1" applyAlignment="1">
      <alignment horizontal="center" vertical="center" wrapText="1"/>
    </xf>
    <xf numFmtId="0" fontId="266" fillId="28" borderId="25" xfId="37" applyFont="1" applyFill="1" applyBorder="1" applyAlignment="1">
      <alignment horizontal="center" vertical="center" wrapText="1"/>
    </xf>
    <xf numFmtId="0" fontId="266" fillId="28" borderId="50" xfId="37" applyFont="1" applyFill="1" applyBorder="1" applyAlignment="1">
      <alignment horizontal="center" vertical="center" wrapText="1"/>
    </xf>
    <xf numFmtId="38" fontId="260" fillId="28" borderId="25" xfId="37" applyNumberFormat="1" applyFont="1" applyFill="1" applyBorder="1" applyAlignment="1">
      <alignment horizontal="center" vertical="center" wrapText="1"/>
    </xf>
    <xf numFmtId="0" fontId="266"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60" fillId="0" borderId="48" xfId="37" applyFont="1" applyBorder="1" applyAlignment="1">
      <alignment horizontal="center" vertical="center" wrapText="1"/>
    </xf>
    <xf numFmtId="38" fontId="260" fillId="0" borderId="87" xfId="37" applyNumberFormat="1" applyFont="1" applyBorder="1" applyAlignment="1">
      <alignment horizontal="center" vertical="center" wrapText="1"/>
    </xf>
    <xf numFmtId="38" fontId="260" fillId="0" borderId="48" xfId="37" applyNumberFormat="1" applyFont="1" applyBorder="1" applyAlignment="1">
      <alignment horizontal="center" vertical="center" wrapText="1"/>
    </xf>
    <xf numFmtId="38" fontId="260" fillId="0" borderId="192" xfId="37" applyNumberFormat="1" applyFont="1" applyBorder="1" applyAlignment="1">
      <alignment horizontal="center" vertical="center" wrapText="1"/>
    </xf>
    <xf numFmtId="0" fontId="266" fillId="0" borderId="189" xfId="37" applyFont="1" applyBorder="1" applyAlignment="1">
      <alignment horizontal="center" vertical="center" wrapText="1"/>
    </xf>
    <xf numFmtId="38" fontId="266" fillId="0" borderId="24" xfId="37" applyNumberFormat="1" applyFont="1" applyBorder="1" applyAlignment="1">
      <alignment horizontal="center" vertical="center" wrapText="1"/>
    </xf>
    <xf numFmtId="38" fontId="266" fillId="0" borderId="48" xfId="37" applyNumberFormat="1" applyFont="1" applyBorder="1" applyAlignment="1">
      <alignment horizontal="center" vertical="center" wrapText="1"/>
    </xf>
    <xf numFmtId="0" fontId="267" fillId="0" borderId="0" xfId="37" applyFont="1" applyAlignment="1">
      <alignment vertical="center"/>
    </xf>
    <xf numFmtId="0" fontId="265" fillId="0" borderId="0" xfId="37" applyFont="1" applyAlignment="1">
      <alignment vertical="center"/>
    </xf>
    <xf numFmtId="186" fontId="260" fillId="0" borderId="0" xfId="37" applyNumberFormat="1" applyFont="1" applyAlignment="1">
      <alignment horizontal="center" vertical="center"/>
    </xf>
    <xf numFmtId="186" fontId="266"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28" xfId="37" applyNumberFormat="1" applyFill="1" applyBorder="1" applyAlignment="1" applyProtection="1">
      <alignment horizontal="center" vertical="top"/>
      <protection locked="0"/>
    </xf>
    <xf numFmtId="188" fontId="4" fillId="10" borderId="17" xfId="37" applyNumberFormat="1" applyFill="1" applyBorder="1" applyAlignment="1" applyProtection="1">
      <alignment horizontal="center" vertical="top"/>
      <protection locked="0"/>
    </xf>
    <xf numFmtId="188" fontId="4" fillId="10" borderId="18" xfId="37" applyNumberFormat="1" applyFill="1" applyBorder="1" applyAlignment="1" applyProtection="1">
      <alignment horizontal="center" vertical="top"/>
      <protection locked="0"/>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26" fillId="0" borderId="128" xfId="37" applyFont="1" applyBorder="1" applyAlignment="1">
      <alignment horizontal="center" vertical="center"/>
    </xf>
    <xf numFmtId="38" fontId="4" fillId="0" borderId="22" xfId="37" applyNumberFormat="1" applyBorder="1" applyAlignment="1">
      <alignment horizontal="center" vertical="center"/>
    </xf>
    <xf numFmtId="38" fontId="4" fillId="0" borderId="81" xfId="37" applyNumberFormat="1" applyBorder="1" applyAlignment="1">
      <alignment horizontal="center" vertical="center"/>
    </xf>
    <xf numFmtId="0" fontId="9" fillId="0" borderId="83" xfId="37" applyFont="1" applyBorder="1" applyAlignment="1">
      <alignment horizontal="center" vertical="center"/>
    </xf>
    <xf numFmtId="0" fontId="131" fillId="0" borderId="0" xfId="37" applyFont="1"/>
    <xf numFmtId="0" fontId="131" fillId="0" borderId="0" xfId="37" applyFont="1" applyAlignment="1">
      <alignment horizontal="center" wrapText="1"/>
    </xf>
    <xf numFmtId="49" fontId="26" fillId="31" borderId="0" xfId="37" quotePrefix="1" applyNumberFormat="1" applyFont="1" applyFill="1" applyAlignment="1">
      <alignment horizontal="left" vertical="center"/>
    </xf>
    <xf numFmtId="0" fontId="253"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3"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3"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 fillId="0" borderId="18" xfId="37" applyFont="1" applyBorder="1" applyAlignment="1">
      <alignment horizontal="center" vertical="center"/>
    </xf>
    <xf numFmtId="0" fontId="115" fillId="0" borderId="40" xfId="37" applyFont="1" applyBorder="1" applyAlignment="1">
      <alignment vertical="center"/>
    </xf>
    <xf numFmtId="38" fontId="267" fillId="0" borderId="20" xfId="37" applyNumberFormat="1" applyFont="1" applyBorder="1" applyAlignment="1">
      <alignment horizontal="center" vertical="center"/>
    </xf>
    <xf numFmtId="181" fontId="267" fillId="0" borderId="38" xfId="37" applyNumberFormat="1" applyFont="1" applyBorder="1" applyAlignment="1">
      <alignment horizontal="center" vertical="center"/>
    </xf>
    <xf numFmtId="181" fontId="265" fillId="0" borderId="38" xfId="37" applyNumberFormat="1" applyFont="1" applyBorder="1" applyAlignment="1">
      <alignment horizontal="center" vertical="center"/>
    </xf>
    <xf numFmtId="0" fontId="98" fillId="0" borderId="0" xfId="37" applyFont="1" applyAlignment="1">
      <alignment horizontal="left" vertical="center"/>
    </xf>
    <xf numFmtId="0" fontId="9" fillId="0" borderId="0" xfId="37" applyFont="1" applyAlignment="1">
      <alignment vertical="center"/>
    </xf>
    <xf numFmtId="0" fontId="98" fillId="0" borderId="18" xfId="37" applyFont="1" applyBorder="1" applyAlignment="1">
      <alignment horizontal="center" vertical="center"/>
    </xf>
    <xf numFmtId="0" fontId="106" fillId="0" borderId="0" xfId="37" applyFont="1" applyAlignment="1">
      <alignment horizontal="right" vertic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38" fontId="10" fillId="0" borderId="8" xfId="37" applyNumberFormat="1" applyFont="1" applyBorder="1" applyAlignment="1">
      <alignment horizontal="center" vertical="center"/>
    </xf>
    <xf numFmtId="0" fontId="257" fillId="0" borderId="0" xfId="37" quotePrefix="1" applyFont="1" applyAlignment="1">
      <alignment vertical="center"/>
    </xf>
    <xf numFmtId="0" fontId="257" fillId="0" borderId="0" xfId="37" applyFont="1" applyAlignment="1">
      <alignment vertical="center"/>
    </xf>
    <xf numFmtId="9" fontId="273" fillId="0" borderId="0" xfId="37" applyNumberFormat="1" applyFont="1" applyAlignment="1">
      <alignment horizontal="center" vertical="center" wrapText="1"/>
    </xf>
    <xf numFmtId="0" fontId="250" fillId="0" borderId="0" xfId="37" applyFont="1" applyAlignment="1">
      <alignment horizontal="right" vertical="center"/>
    </xf>
    <xf numFmtId="0" fontId="250" fillId="0" borderId="0" xfId="37" applyFont="1" applyAlignment="1">
      <alignment horizontal="center" vertical="center" wrapText="1"/>
    </xf>
    <xf numFmtId="0" fontId="228" fillId="0" borderId="0" xfId="37" applyFont="1" applyAlignment="1">
      <alignment horizontal="center" vertical="center"/>
    </xf>
    <xf numFmtId="38" fontId="250" fillId="0" borderId="0" xfId="37" applyNumberFormat="1" applyFont="1" applyAlignment="1">
      <alignment horizontal="center" vertical="center" wrapText="1"/>
    </xf>
    <xf numFmtId="183" fontId="250" fillId="0" borderId="0" xfId="37" applyNumberFormat="1" applyFont="1" applyAlignment="1">
      <alignment horizontal="center" vertical="center" wrapText="1"/>
    </xf>
    <xf numFmtId="0" fontId="228" fillId="0" borderId="0" xfId="37" applyFont="1" applyAlignment="1">
      <alignment horizontal="right" vertical="center"/>
    </xf>
    <xf numFmtId="3" fontId="228" fillId="0" borderId="0" xfId="37" applyNumberFormat="1" applyFont="1" applyAlignment="1">
      <alignment horizontal="center" vertical="center"/>
    </xf>
    <xf numFmtId="186" fontId="228" fillId="0" borderId="0" xfId="37" applyNumberFormat="1" applyFont="1" applyAlignment="1">
      <alignment horizontal="center" vertical="center"/>
    </xf>
    <xf numFmtId="0" fontId="232" fillId="0" borderId="0" xfId="0" applyFont="1"/>
    <xf numFmtId="0" fontId="232" fillId="0" borderId="0" xfId="0" applyFont="1" applyAlignment="1">
      <alignment vertical="center"/>
    </xf>
    <xf numFmtId="0" fontId="87" fillId="0" borderId="0" xfId="0" applyFont="1" applyAlignment="1">
      <alignment vertical="center"/>
    </xf>
    <xf numFmtId="0" fontId="233" fillId="0" borderId="0" xfId="0" applyFont="1" applyAlignment="1">
      <alignment vertical="center" wrapText="1"/>
    </xf>
    <xf numFmtId="0" fontId="4" fillId="20" borderId="0" xfId="0" applyFont="1" applyFill="1" applyAlignment="1">
      <alignment horizontal="center"/>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57" fillId="0" borderId="0" xfId="33" applyFont="1" applyAlignment="1">
      <alignment vertical="center"/>
    </xf>
    <xf numFmtId="0" fontId="228" fillId="0" borderId="0" xfId="33" applyFont="1" applyAlignment="1">
      <alignment vertical="center"/>
    </xf>
    <xf numFmtId="0" fontId="43" fillId="0" borderId="0" xfId="37" applyFont="1"/>
    <xf numFmtId="181" fontId="10" fillId="0" borderId="38" xfId="37" applyNumberFormat="1" applyFont="1" applyBorder="1" applyAlignment="1">
      <alignment horizontal="center" vertical="center"/>
    </xf>
    <xf numFmtId="0" fontId="4" fillId="0" borderId="0" xfId="37" applyAlignment="1">
      <alignment horizontal="left" vertical="center"/>
    </xf>
    <xf numFmtId="0" fontId="10" fillId="0" borderId="43" xfId="37" applyFont="1" applyBorder="1" applyAlignment="1">
      <alignment horizontal="center" vertical="center"/>
    </xf>
    <xf numFmtId="0" fontId="4" fillId="10" borderId="17" xfId="37" applyFill="1" applyBorder="1" applyAlignment="1" applyProtection="1">
      <alignment horizontal="center" vertical="center"/>
      <protection locked="0"/>
    </xf>
    <xf numFmtId="0" fontId="4" fillId="10" borderId="18" xfId="37" applyFill="1" applyBorder="1" applyAlignment="1" applyProtection="1">
      <alignment horizontal="center" vertical="center"/>
      <protection locked="0"/>
    </xf>
    <xf numFmtId="0" fontId="26" fillId="5" borderId="17" xfId="37" applyFont="1" applyFill="1" applyBorder="1" applyAlignment="1" applyProtection="1">
      <alignment horizontal="center" vertical="top"/>
      <protection locked="0"/>
    </xf>
    <xf numFmtId="10" fontId="4" fillId="10" borderId="128" xfId="37" applyNumberFormat="1" applyFill="1" applyBorder="1" applyAlignment="1" applyProtection="1">
      <alignment horizontal="center" vertical="center"/>
      <protection locked="0"/>
    </xf>
    <xf numFmtId="10" fontId="4" fillId="10" borderId="17" xfId="37" applyNumberFormat="1" applyFill="1" applyBorder="1" applyAlignment="1" applyProtection="1">
      <alignment horizontal="center" vertical="center"/>
      <protection locked="0"/>
    </xf>
    <xf numFmtId="10" fontId="4" fillId="10" borderId="18" xfId="37" applyNumberFormat="1" applyFill="1" applyBorder="1" applyAlignment="1" applyProtection="1">
      <alignment horizontal="center" vertical="center"/>
      <protection locked="0"/>
    </xf>
    <xf numFmtId="10" fontId="4" fillId="13" borderId="128" xfId="37" applyNumberFormat="1" applyFill="1" applyBorder="1" applyAlignment="1">
      <alignment horizontal="center" vertical="center"/>
    </xf>
    <xf numFmtId="10" fontId="4" fillId="13" borderId="17" xfId="37" applyNumberFormat="1" applyFill="1" applyBorder="1" applyAlignment="1">
      <alignment horizontal="center" vertical="center"/>
    </xf>
    <xf numFmtId="10" fontId="4" fillId="13" borderId="18"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9" fillId="0" borderId="0" xfId="0" applyFont="1"/>
    <xf numFmtId="0" fontId="275" fillId="0" borderId="0" xfId="0" applyFont="1" applyAlignment="1">
      <alignment horizontal="center"/>
    </xf>
    <xf numFmtId="0" fontId="276"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4" fillId="0" borderId="0" xfId="0" applyFont="1" applyAlignment="1">
      <alignment wrapText="1"/>
    </xf>
    <xf numFmtId="0" fontId="131" fillId="0" borderId="13" xfId="37" applyFont="1" applyBorder="1"/>
    <xf numFmtId="10" fontId="4" fillId="32" borderId="128"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6" fillId="0" borderId="18" xfId="37" applyFont="1" applyBorder="1" applyAlignment="1">
      <alignment horizontal="center" vertical="center"/>
    </xf>
    <xf numFmtId="0" fontId="43" fillId="0" borderId="0" xfId="37" applyFont="1" applyAlignment="1">
      <alignment horizontal="left" vertical="center"/>
    </xf>
    <xf numFmtId="0" fontId="42" fillId="0" borderId="0" xfId="0" applyFont="1" applyAlignment="1">
      <alignment horizontal="left" vertical="center" wrapText="1"/>
    </xf>
    <xf numFmtId="0" fontId="115" fillId="0" borderId="0" xfId="37" applyFont="1" applyAlignment="1">
      <alignment horizontal="center" vertical="center" wrapText="1"/>
    </xf>
    <xf numFmtId="0" fontId="115" fillId="0" borderId="7" xfId="37" applyFont="1" applyBorder="1" applyAlignment="1">
      <alignment vertical="center" wrapText="1"/>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2" fillId="0" borderId="20" xfId="33" applyFont="1" applyBorder="1" applyAlignment="1">
      <alignment horizontal="left" vertical="center"/>
    </xf>
    <xf numFmtId="0" fontId="110" fillId="0" borderId="0" xfId="37" applyFont="1" applyAlignment="1">
      <alignment vertical="center" wrapText="1"/>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0" borderId="12" xfId="37" applyNumberFormat="1" applyFont="1" applyBorder="1" applyAlignment="1">
      <alignment horizontal="center" vertical="center"/>
    </xf>
    <xf numFmtId="38" fontId="9" fillId="0" borderId="83" xfId="37" applyNumberFormat="1" applyFont="1" applyBorder="1" applyAlignment="1">
      <alignment horizontal="center" vertical="center"/>
    </xf>
    <xf numFmtId="0" fontId="260" fillId="0" borderId="58" xfId="37" applyFont="1" applyBorder="1" applyAlignment="1">
      <alignment horizontal="right" vertical="center"/>
    </xf>
    <xf numFmtId="0" fontId="266" fillId="0" borderId="73" xfId="37" applyFont="1" applyBorder="1" applyAlignment="1">
      <alignment horizontal="center" vertical="center"/>
    </xf>
    <xf numFmtId="181" fontId="265" fillId="0" borderId="41" xfId="37" applyNumberFormat="1" applyFont="1" applyBorder="1" applyAlignment="1">
      <alignment horizontal="center" vertical="center"/>
    </xf>
    <xf numFmtId="186" fontId="267" fillId="0" borderId="0" xfId="37" applyNumberFormat="1" applyFont="1" applyAlignment="1">
      <alignment horizontal="center" vertical="center"/>
    </xf>
    <xf numFmtId="186" fontId="265" fillId="0" borderId="41" xfId="0" applyNumberFormat="1" applyFont="1" applyBorder="1" applyAlignment="1">
      <alignment horizontal="center" vertical="center"/>
    </xf>
    <xf numFmtId="38" fontId="265" fillId="0" borderId="41" xfId="37" applyNumberFormat="1" applyFont="1" applyBorder="1" applyAlignment="1">
      <alignment horizontal="center" vertical="center"/>
    </xf>
    <xf numFmtId="38" fontId="265" fillId="0" borderId="59" xfId="37" applyNumberFormat="1" applyFont="1" applyBorder="1" applyAlignment="1">
      <alignment horizontal="center" vertical="center"/>
    </xf>
    <xf numFmtId="0" fontId="135" fillId="0" borderId="40" xfId="37" applyFont="1" applyBorder="1" applyAlignment="1">
      <alignment horizontal="right" vertical="center"/>
    </xf>
    <xf numFmtId="0" fontId="4" fillId="0" borderId="20" xfId="37" applyBorder="1" applyAlignment="1">
      <alignment vertical="center"/>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26" fillId="0" borderId="17" xfId="37" applyFont="1" applyBorder="1" applyAlignment="1">
      <alignment horizontal="center" vertical="center"/>
    </xf>
    <xf numFmtId="0" fontId="135" fillId="0" borderId="0" xfId="33" applyFont="1" applyAlignment="1" applyProtection="1">
      <alignment vertical="center"/>
      <protection locked="0"/>
    </xf>
    <xf numFmtId="10" fontId="9" fillId="5" borderId="18" xfId="10" applyNumberFormat="1" applyFon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81"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0" fontId="278" fillId="20" borderId="0" xfId="33" applyFont="1" applyFill="1" applyAlignment="1" applyProtection="1">
      <alignment horizontal="center"/>
      <protection locked="0"/>
    </xf>
    <xf numFmtId="0" fontId="279" fillId="20" borderId="0" xfId="33" applyFont="1" applyFill="1" applyAlignment="1" applyProtection="1">
      <alignment horizontal="center"/>
      <protection locked="0"/>
    </xf>
    <xf numFmtId="0" fontId="279" fillId="0" borderId="0" xfId="33" applyFont="1" applyAlignment="1" applyProtection="1">
      <alignment horizontal="center"/>
      <protection locked="0"/>
    </xf>
    <xf numFmtId="1" fontId="279" fillId="20" borderId="0" xfId="37" applyNumberFormat="1" applyFont="1" applyFill="1" applyAlignment="1">
      <alignment horizontal="center"/>
    </xf>
    <xf numFmtId="1" fontId="279" fillId="20" borderId="0" xfId="37" applyNumberFormat="1" applyFont="1" applyFill="1" applyAlignment="1">
      <alignment horizontal="center" vertical="center"/>
    </xf>
    <xf numFmtId="0" fontId="279" fillId="0" borderId="0" xfId="37" applyFont="1" applyAlignment="1">
      <alignment horizontal="center"/>
    </xf>
    <xf numFmtId="0" fontId="279" fillId="0" borderId="0" xfId="37" applyFont="1" applyAlignment="1">
      <alignment horizontal="center" vertical="center"/>
    </xf>
    <xf numFmtId="38" fontId="280"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8" fillId="20" borderId="0" xfId="0" applyFont="1" applyFill="1"/>
    <xf numFmtId="0" fontId="281" fillId="20" borderId="0" xfId="0" applyFont="1" applyFill="1" applyAlignment="1">
      <alignment horizontal="center"/>
    </xf>
    <xf numFmtId="0" fontId="278" fillId="20" borderId="0" xfId="0" applyFont="1" applyFill="1" applyAlignment="1">
      <alignment vertical="center"/>
    </xf>
    <xf numFmtId="0" fontId="281" fillId="20" borderId="0" xfId="0" applyFont="1" applyFill="1" applyAlignment="1">
      <alignment horizontal="center" vertical="center"/>
    </xf>
    <xf numFmtId="0" fontId="278" fillId="20" borderId="0" xfId="0" applyFont="1" applyFill="1" applyAlignment="1">
      <alignment horizontal="center"/>
    </xf>
    <xf numFmtId="0" fontId="278" fillId="20" borderId="0" xfId="0" applyFont="1" applyFill="1" applyAlignment="1">
      <alignment horizontal="center" vertical="center"/>
    </xf>
    <xf numFmtId="0" fontId="282" fillId="20" borderId="0" xfId="0" applyFont="1" applyFill="1"/>
    <xf numFmtId="0" fontId="282" fillId="20" borderId="0" xfId="0" applyFont="1" applyFill="1" applyAlignment="1">
      <alignment horizontal="center"/>
    </xf>
    <xf numFmtId="0" fontId="283" fillId="0" borderId="0" xfId="0" applyFont="1" applyAlignment="1">
      <alignment vertical="center"/>
    </xf>
    <xf numFmtId="0" fontId="284" fillId="20" borderId="0" xfId="13" applyFont="1" applyFill="1" applyAlignment="1">
      <alignment horizontal="center"/>
    </xf>
    <xf numFmtId="0" fontId="285" fillId="20" borderId="0" xfId="13" applyFont="1" applyFill="1" applyAlignment="1">
      <alignment horizontal="center"/>
    </xf>
    <xf numFmtId="0" fontId="284" fillId="0" borderId="0" xfId="13" applyFont="1" applyAlignment="1">
      <alignment horizontal="center"/>
    </xf>
    <xf numFmtId="0" fontId="285" fillId="0" borderId="0" xfId="13" applyFont="1"/>
    <xf numFmtId="0" fontId="284" fillId="0" borderId="0" xfId="13" applyFont="1"/>
    <xf numFmtId="0" fontId="283" fillId="20" borderId="0" xfId="0" applyFont="1" applyFill="1"/>
    <xf numFmtId="0" fontId="283" fillId="20" borderId="0" xfId="0" applyFont="1" applyFill="1" applyAlignment="1">
      <alignment horizontal="center" vertical="center"/>
    </xf>
    <xf numFmtId="0" fontId="283"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6" fillId="20" borderId="0" xfId="0" applyFont="1" applyFill="1" applyAlignment="1">
      <alignment vertical="center"/>
    </xf>
    <xf numFmtId="0" fontId="286" fillId="20" borderId="0" xfId="0" applyFont="1" applyFill="1"/>
    <xf numFmtId="0" fontId="278" fillId="20" borderId="82" xfId="0" applyFont="1" applyFill="1" applyBorder="1" applyAlignment="1">
      <alignment vertical="center"/>
    </xf>
    <xf numFmtId="0" fontId="286" fillId="0" borderId="0" xfId="0" applyFont="1"/>
    <xf numFmtId="168" fontId="4" fillId="10" borderId="83" xfId="37" applyNumberFormat="1" applyFill="1" applyBorder="1" applyAlignment="1" applyProtection="1">
      <alignment vertical="center"/>
      <protection locked="0"/>
    </xf>
    <xf numFmtId="168" fontId="4" fillId="13" borderId="83" xfId="37" applyNumberFormat="1" applyFill="1" applyBorder="1" applyAlignment="1">
      <alignment vertical="center"/>
    </xf>
    <xf numFmtId="0" fontId="4" fillId="0" borderId="221" xfId="37" applyBorder="1" applyAlignment="1">
      <alignment wrapText="1"/>
    </xf>
    <xf numFmtId="0" fontId="4" fillId="0" borderId="40" xfId="37" applyBorder="1" applyAlignment="1">
      <alignment wrapText="1"/>
    </xf>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top" wrapText="1"/>
      <protection locked="0"/>
    </xf>
    <xf numFmtId="0" fontId="10" fillId="10" borderId="30"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167" fontId="10" fillId="5" borderId="83"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top"/>
      <protection locked="0"/>
    </xf>
    <xf numFmtId="0" fontId="10" fillId="5" borderId="17" xfId="37" applyFont="1" applyFill="1" applyBorder="1" applyAlignment="1" applyProtection="1">
      <alignment horizontal="center" vertical="top"/>
      <protection locked="0"/>
    </xf>
    <xf numFmtId="0" fontId="10" fillId="5" borderId="18" xfId="37" applyFont="1" applyFill="1" applyBorder="1" applyAlignment="1" applyProtection="1">
      <alignment horizontal="center" vertical="top"/>
      <protection locked="0"/>
    </xf>
    <xf numFmtId="49" fontId="10" fillId="10" borderId="128" xfId="37" applyNumberFormat="1" applyFont="1" applyFill="1" applyBorder="1" applyAlignment="1" applyProtection="1">
      <alignment horizontal="center" vertical="top" wrapText="1"/>
      <protection locked="0"/>
    </xf>
    <xf numFmtId="49" fontId="10" fillId="10" borderId="17" xfId="37" applyNumberFormat="1" applyFont="1" applyFill="1" applyBorder="1" applyAlignment="1" applyProtection="1">
      <alignment horizontal="center" vertical="top" wrapText="1"/>
      <protection locked="0"/>
    </xf>
    <xf numFmtId="49" fontId="10" fillId="10" borderId="18"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28" xfId="37" applyNumberFormat="1" applyFont="1" applyFill="1" applyBorder="1" applyAlignment="1" applyProtection="1">
      <alignment horizontal="center" vertical="center"/>
      <protection locked="0"/>
    </xf>
    <xf numFmtId="175" fontId="10" fillId="5" borderId="18"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center"/>
      <protection locked="0"/>
    </xf>
    <xf numFmtId="0" fontId="10" fillId="5" borderId="18" xfId="37" applyFont="1" applyFill="1" applyBorder="1" applyAlignment="1" applyProtection="1">
      <alignment horizontal="center" vertical="center"/>
      <protection locked="0"/>
    </xf>
    <xf numFmtId="0" fontId="10" fillId="13" borderId="83" xfId="37" applyFont="1" applyFill="1" applyBorder="1" applyAlignment="1">
      <alignment horizontal="center" vertical="center"/>
    </xf>
    <xf numFmtId="0" fontId="86" fillId="0" borderId="0" xfId="0" applyFont="1" applyAlignment="1">
      <alignment vertical="center"/>
    </xf>
    <xf numFmtId="0" fontId="86" fillId="0" borderId="0" xfId="0" applyFont="1" applyAlignment="1">
      <alignment horizontal="center" vertical="center"/>
    </xf>
    <xf numFmtId="49" fontId="228" fillId="0" borderId="0" xfId="0" applyNumberFormat="1" applyFont="1" applyAlignment="1">
      <alignment vertical="center"/>
    </xf>
    <xf numFmtId="0" fontId="232"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8" fillId="0" borderId="0" xfId="33" applyFont="1" applyAlignment="1">
      <alignment horizontal="right" vertical="top"/>
    </xf>
    <xf numFmtId="0" fontId="250" fillId="0" borderId="0" xfId="33" applyFont="1" applyAlignment="1">
      <alignment horizontal="left" vertical="top"/>
    </xf>
    <xf numFmtId="0" fontId="232"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2" fillId="0" borderId="0" xfId="0" applyFont="1" applyAlignment="1">
      <alignment vertical="top"/>
    </xf>
    <xf numFmtId="49" fontId="294"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2"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2" fillId="0" borderId="0" xfId="0" applyNumberFormat="1" applyFont="1" applyAlignment="1">
      <alignment vertical="center"/>
    </xf>
    <xf numFmtId="0" fontId="295" fillId="0" borderId="0" xfId="0" applyFont="1" applyAlignment="1">
      <alignment vertical="center"/>
    </xf>
    <xf numFmtId="0" fontId="296" fillId="0" borderId="0" xfId="0" quotePrefix="1" applyFont="1" applyAlignment="1">
      <alignment vertical="center"/>
    </xf>
    <xf numFmtId="0" fontId="295"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94" fillId="0" borderId="0" xfId="0" applyFont="1" applyAlignment="1">
      <alignment vertical="top"/>
    </xf>
    <xf numFmtId="164" fontId="86" fillId="0" borderId="0" xfId="1" applyNumberFormat="1" applyFont="1" applyFill="1" applyBorder="1" applyAlignment="1" applyProtection="1">
      <alignment vertical="center"/>
    </xf>
    <xf numFmtId="0" fontId="294"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7" fillId="0" borderId="0" xfId="0" applyFont="1" applyAlignment="1">
      <alignment horizontal="center" vertical="center"/>
    </xf>
    <xf numFmtId="4" fontId="86" fillId="0" borderId="0" xfId="0" applyNumberFormat="1" applyFont="1" applyAlignment="1">
      <alignment horizontal="right" vertical="center"/>
    </xf>
    <xf numFmtId="0" fontId="290"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90"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2" fillId="0" borderId="0" xfId="0" applyNumberFormat="1" applyFont="1" applyAlignment="1">
      <alignment horizontal="center" vertical="center"/>
    </xf>
    <xf numFmtId="37" fontId="232"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8" fillId="0" borderId="0" xfId="0" applyFont="1" applyAlignment="1">
      <alignment horizontal="left" vertical="center"/>
    </xf>
    <xf numFmtId="164" fontId="298" fillId="0" borderId="0" xfId="0" applyNumberFormat="1" applyFont="1" applyAlignment="1">
      <alignment vertical="center"/>
    </xf>
    <xf numFmtId="0" fontId="298" fillId="0" borderId="0" xfId="0" applyFont="1" applyAlignment="1">
      <alignment vertical="top"/>
    </xf>
    <xf numFmtId="0" fontId="298" fillId="0" borderId="0" xfId="0" applyFont="1" applyAlignment="1">
      <alignment vertical="center"/>
    </xf>
    <xf numFmtId="4" fontId="298" fillId="0" borderId="0" xfId="1" applyNumberFormat="1" applyFont="1" applyFill="1" applyBorder="1" applyAlignment="1" applyProtection="1">
      <alignment horizontal="right" vertical="center"/>
    </xf>
    <xf numFmtId="171" fontId="300" fillId="0" borderId="0" xfId="0" applyNumberFormat="1" applyFont="1" applyAlignment="1">
      <alignment horizontal="left" vertical="center"/>
    </xf>
    <xf numFmtId="4" fontId="298" fillId="0" borderId="0" xfId="1" applyNumberFormat="1" applyFont="1" applyFill="1" applyBorder="1" applyAlignment="1" applyProtection="1">
      <alignment vertical="center"/>
    </xf>
    <xf numFmtId="171" fontId="300" fillId="0" borderId="0" xfId="0" applyNumberFormat="1" applyFont="1" applyAlignment="1">
      <alignment vertical="center"/>
    </xf>
    <xf numFmtId="0" fontId="300" fillId="0" borderId="0" xfId="0" applyFont="1" applyAlignment="1">
      <alignment vertical="center"/>
    </xf>
    <xf numFmtId="0" fontId="291" fillId="0" borderId="0" xfId="0" applyFont="1" applyAlignment="1">
      <alignment horizontal="left" vertical="center"/>
    </xf>
    <xf numFmtId="4" fontId="298" fillId="0" borderId="0" xfId="0" applyNumberFormat="1" applyFont="1" applyAlignment="1">
      <alignment vertical="center"/>
    </xf>
    <xf numFmtId="4" fontId="86" fillId="0" borderId="0" xfId="0" applyNumberFormat="1" applyFont="1" applyAlignment="1">
      <alignment horizontal="left" vertical="center"/>
    </xf>
    <xf numFmtId="0" fontId="299"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300" fillId="0" borderId="0" xfId="0" applyFont="1" applyAlignment="1">
      <alignment horizontal="center" vertical="center"/>
    </xf>
    <xf numFmtId="37" fontId="298" fillId="0" borderId="0" xfId="0" applyNumberFormat="1" applyFont="1" applyAlignment="1">
      <alignment horizontal="center" vertical="center"/>
    </xf>
    <xf numFmtId="0" fontId="298" fillId="0" borderId="0" xfId="0" applyFont="1" applyAlignment="1">
      <alignment horizontal="right" vertical="center"/>
    </xf>
    <xf numFmtId="0" fontId="298"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300"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2"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90"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4" fillId="0" borderId="0" xfId="0" applyFont="1" applyAlignment="1">
      <alignment horizontal="left" vertical="center"/>
    </xf>
    <xf numFmtId="3" fontId="95" fillId="0" borderId="0" xfId="0" applyNumberFormat="1" applyFont="1" applyAlignment="1">
      <alignment horizontal="left" vertical="center"/>
    </xf>
    <xf numFmtId="0" fontId="290"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4" fillId="0" borderId="0" xfId="0" applyFont="1" applyAlignment="1">
      <alignment horizontal="left" vertical="top"/>
    </xf>
    <xf numFmtId="0" fontId="299" fillId="0" borderId="0" xfId="0" applyFont="1" applyAlignment="1">
      <alignment horizontal="right" vertical="center"/>
    </xf>
    <xf numFmtId="0" fontId="102" fillId="0" borderId="0" xfId="0" quotePrefix="1" applyFont="1" applyAlignment="1">
      <alignment horizontal="center" vertical="center"/>
    </xf>
    <xf numFmtId="0" fontId="302"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2" fillId="0" borderId="0" xfId="0" applyFont="1" applyAlignment="1">
      <alignment horizontal="left" vertical="center"/>
    </xf>
    <xf numFmtId="38" fontId="232" fillId="0" borderId="0" xfId="0" applyNumberFormat="1" applyFont="1" applyAlignment="1">
      <alignment vertical="center"/>
    </xf>
    <xf numFmtId="164" fontId="232"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3" fillId="0" borderId="0" xfId="0" applyFont="1" applyAlignment="1">
      <alignment vertical="center"/>
    </xf>
    <xf numFmtId="0" fontId="233" fillId="0" borderId="0" xfId="13" applyFont="1" applyAlignment="1">
      <alignment vertical="center"/>
    </xf>
    <xf numFmtId="0" fontId="92" fillId="0" borderId="0" xfId="13" applyFont="1"/>
    <xf numFmtId="0" fontId="250" fillId="0" borderId="0" xfId="13" applyFont="1" applyAlignment="1">
      <alignment vertical="top"/>
    </xf>
    <xf numFmtId="0" fontId="83" fillId="0" borderId="0" xfId="13" applyFont="1" applyAlignment="1">
      <alignment vertical="top"/>
    </xf>
    <xf numFmtId="0" fontId="305"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300"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6"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7" fillId="0" borderId="0" xfId="0" applyFont="1" applyAlignment="1">
      <alignment horizontal="left" vertical="center"/>
    </xf>
    <xf numFmtId="3" fontId="95" fillId="0" borderId="0" xfId="0" applyNumberFormat="1" applyFont="1" applyAlignment="1">
      <alignment vertical="top"/>
    </xf>
    <xf numFmtId="0" fontId="227" fillId="0" borderId="0" xfId="0" applyFont="1"/>
    <xf numFmtId="0" fontId="227" fillId="0" borderId="0" xfId="0" applyFont="1" applyAlignment="1">
      <alignment horizontal="center"/>
    </xf>
    <xf numFmtId="0" fontId="227" fillId="0" borderId="0" xfId="0" applyFont="1" applyAlignment="1">
      <alignment textRotation="90"/>
    </xf>
    <xf numFmtId="0" fontId="95" fillId="0" borderId="0" xfId="24" applyFont="1" applyAlignment="1">
      <alignment vertical="top"/>
    </xf>
    <xf numFmtId="0" fontId="227" fillId="0" borderId="0" xfId="0" applyFont="1" applyAlignment="1">
      <alignment horizontal="center" vertical="center"/>
    </xf>
    <xf numFmtId="49" fontId="83" fillId="0" borderId="0" xfId="0" quotePrefix="1" applyNumberFormat="1" applyFont="1" applyAlignment="1">
      <alignment vertical="center"/>
    </xf>
    <xf numFmtId="0" fontId="240"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8" fillId="0" borderId="0" xfId="0" applyFont="1" applyAlignment="1">
      <alignment vertical="center"/>
    </xf>
    <xf numFmtId="0" fontId="311" fillId="0" borderId="0" xfId="0" applyFont="1" applyAlignment="1">
      <alignment horizontal="center" vertical="center"/>
    </xf>
    <xf numFmtId="0" fontId="302"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40" fillId="0" borderId="0" xfId="0" applyFont="1" applyAlignment="1">
      <alignment vertical="center"/>
    </xf>
    <xf numFmtId="0" fontId="227"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7" fillId="0" borderId="0" xfId="0" applyNumberFormat="1" applyFont="1" applyAlignment="1">
      <alignment vertical="top"/>
    </xf>
    <xf numFmtId="0" fontId="95" fillId="0" borderId="0" xfId="0" applyFont="1" applyAlignment="1">
      <alignment horizontal="left" vertical="center" wrapText="1"/>
    </xf>
    <xf numFmtId="0" fontId="297"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xf>
    <xf numFmtId="38" fontId="92" fillId="0" borderId="0" xfId="1" applyNumberFormat="1" applyFont="1" applyFill="1" applyBorder="1" applyAlignment="1" applyProtection="1">
      <alignment horizontal="right" vertical="center"/>
    </xf>
    <xf numFmtId="0" fontId="313" fillId="0" borderId="0" xfId="0" applyFont="1" applyAlignment="1">
      <alignment vertical="center"/>
    </xf>
    <xf numFmtId="0" fontId="313" fillId="0" borderId="0" xfId="0" applyFont="1"/>
    <xf numFmtId="0" fontId="306" fillId="0" borderId="0" xfId="0" applyFont="1" applyAlignment="1">
      <alignment vertical="center"/>
    </xf>
    <xf numFmtId="0" fontId="314" fillId="0" borderId="0" xfId="0" applyFont="1" applyAlignment="1">
      <alignment vertical="center"/>
    </xf>
    <xf numFmtId="38" fontId="31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10"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7"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6" fillId="0" borderId="0" xfId="0" applyFont="1" applyAlignment="1">
      <alignment horizontal="left" vertical="center"/>
    </xf>
    <xf numFmtId="0" fontId="314" fillId="0" borderId="0" xfId="0" applyFont="1" applyAlignment="1">
      <alignment horizontal="left" vertical="center"/>
    </xf>
    <xf numFmtId="38" fontId="251"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313" fillId="0" borderId="0" xfId="1" applyNumberFormat="1" applyFont="1" applyFill="1" applyBorder="1" applyAlignment="1" applyProtection="1">
      <alignment vertical="center"/>
    </xf>
    <xf numFmtId="0" fontId="251" fillId="0" borderId="0" xfId="0" applyFont="1" applyAlignment="1">
      <alignment vertical="center"/>
    </xf>
    <xf numFmtId="38" fontId="251"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5" fillId="0" borderId="0" xfId="0" applyFont="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7"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8"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9" fillId="0" borderId="0" xfId="0" applyNumberFormat="1" applyFont="1"/>
    <xf numFmtId="0" fontId="320" fillId="0" borderId="0" xfId="0" applyFont="1"/>
    <xf numFmtId="0" fontId="320" fillId="0" borderId="0" xfId="0" applyFont="1" applyAlignment="1">
      <alignment horizontal="center"/>
    </xf>
    <xf numFmtId="3" fontId="93" fillId="0" borderId="0" xfId="0" applyNumberFormat="1" applyFont="1" applyAlignment="1">
      <alignment horizontal="center" vertical="center"/>
    </xf>
    <xf numFmtId="3" fontId="227"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7"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51"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3" fillId="0" borderId="0" xfId="33" applyFont="1" applyAlignment="1">
      <alignment vertical="center"/>
    </xf>
    <xf numFmtId="0" fontId="228" fillId="0" borderId="0" xfId="33" applyFont="1"/>
    <xf numFmtId="0" fontId="250" fillId="0" borderId="0" xfId="33" applyFont="1"/>
    <xf numFmtId="0" fontId="273" fillId="0" borderId="0" xfId="33" applyFont="1" applyAlignment="1">
      <alignment horizontal="left" vertical="top"/>
    </xf>
    <xf numFmtId="0" fontId="92" fillId="0" borderId="0" xfId="33" applyFont="1" applyAlignment="1">
      <alignment vertical="top"/>
    </xf>
    <xf numFmtId="0" fontId="228" fillId="0" borderId="0" xfId="33" applyFont="1" applyAlignment="1">
      <alignment horizontal="left" vertical="center"/>
    </xf>
    <xf numFmtId="0" fontId="228" fillId="0" borderId="0" xfId="33" applyFont="1" applyAlignment="1">
      <alignment horizontal="right" vertical="center"/>
    </xf>
    <xf numFmtId="0" fontId="273" fillId="0" borderId="0" xfId="33" applyFont="1" applyAlignment="1">
      <alignment vertical="center"/>
    </xf>
    <xf numFmtId="0" fontId="250" fillId="0" borderId="0" xfId="33" applyFont="1" applyAlignment="1">
      <alignment vertical="top"/>
    </xf>
    <xf numFmtId="0" fontId="321" fillId="0" borderId="0" xfId="33" applyFont="1" applyAlignment="1">
      <alignment horizontal="right" vertical="center"/>
    </xf>
    <xf numFmtId="0" fontId="321" fillId="0" borderId="0" xfId="33" applyFont="1" applyAlignment="1">
      <alignment horizontal="center" vertical="center"/>
    </xf>
    <xf numFmtId="0" fontId="273" fillId="0" borderId="0" xfId="33" applyFont="1" applyAlignment="1">
      <alignment horizontal="left" vertical="center"/>
    </xf>
    <xf numFmtId="10" fontId="228" fillId="0" borderId="0" xfId="33" applyNumberFormat="1" applyFont="1" applyAlignment="1">
      <alignment vertical="center"/>
    </xf>
    <xf numFmtId="10" fontId="250" fillId="0" borderId="0" xfId="10" applyNumberFormat="1" applyFont="1" applyFill="1" applyBorder="1" applyAlignment="1" applyProtection="1">
      <alignment vertical="center"/>
    </xf>
    <xf numFmtId="10" fontId="250" fillId="0" borderId="0" xfId="33" applyNumberFormat="1" applyFont="1" applyAlignment="1">
      <alignment horizontal="left" vertical="center"/>
    </xf>
    <xf numFmtId="0" fontId="228" fillId="0" borderId="0" xfId="33" applyFont="1" applyAlignment="1">
      <alignment vertical="top"/>
    </xf>
    <xf numFmtId="0" fontId="250" fillId="0" borderId="0" xfId="33" applyFont="1" applyAlignment="1">
      <alignment horizontal="right" vertical="center"/>
    </xf>
    <xf numFmtId="0" fontId="228" fillId="0" borderId="0" xfId="33" applyFont="1" applyAlignment="1">
      <alignment horizontal="left" vertical="top"/>
    </xf>
    <xf numFmtId="0" fontId="228" fillId="0" borderId="0" xfId="33" applyFont="1" applyAlignment="1">
      <alignment horizontal="center" vertical="top"/>
    </xf>
    <xf numFmtId="0" fontId="273" fillId="0" borderId="0" xfId="33" applyFont="1" applyAlignment="1">
      <alignment vertical="top"/>
    </xf>
    <xf numFmtId="0" fontId="250"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21" fillId="0" borderId="0" xfId="33" applyFont="1" applyAlignment="1">
      <alignment horizontal="left" vertical="center"/>
    </xf>
    <xf numFmtId="38" fontId="228" fillId="0" borderId="0" xfId="33" applyNumberFormat="1" applyFont="1" applyAlignment="1">
      <alignment vertical="center"/>
    </xf>
    <xf numFmtId="38" fontId="228" fillId="0" borderId="0" xfId="33" applyNumberFormat="1" applyFont="1" applyAlignment="1">
      <alignment horizontal="center" vertical="center"/>
    </xf>
    <xf numFmtId="1" fontId="228" fillId="0" borderId="0" xfId="33" applyNumberFormat="1" applyFont="1" applyAlignment="1">
      <alignment vertical="center"/>
    </xf>
    <xf numFmtId="9" fontId="228" fillId="0" borderId="0" xfId="33" applyNumberFormat="1" applyFont="1" applyAlignment="1">
      <alignment vertical="center"/>
    </xf>
    <xf numFmtId="38" fontId="233" fillId="0" borderId="0" xfId="33" applyNumberFormat="1" applyFont="1" applyAlignment="1">
      <alignment vertical="center"/>
    </xf>
    <xf numFmtId="0" fontId="321" fillId="0" borderId="0" xfId="33" applyFont="1"/>
    <xf numFmtId="0" fontId="250" fillId="0" borderId="0" xfId="33" applyFont="1" applyAlignment="1">
      <alignment horizontal="justify" vertical="center"/>
    </xf>
    <xf numFmtId="3" fontId="250" fillId="0" borderId="0" xfId="34" applyNumberFormat="1" applyFont="1" applyFill="1" applyBorder="1" applyAlignment="1" applyProtection="1">
      <alignment horizontal="center" vertical="center"/>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7" applyFont="1" applyAlignment="1">
      <alignment vertical="top"/>
    </xf>
    <xf numFmtId="1" fontId="250" fillId="0" borderId="0" xfId="37" applyNumberFormat="1" applyFont="1" applyAlignment="1">
      <alignment vertical="center"/>
    </xf>
    <xf numFmtId="0" fontId="305" fillId="0" borderId="0" xfId="37" applyFont="1" applyAlignment="1">
      <alignment vertical="center"/>
    </xf>
    <xf numFmtId="49" fontId="228"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273" fillId="0" borderId="0" xfId="37" applyFont="1" applyAlignment="1">
      <alignment vertical="center"/>
    </xf>
    <xf numFmtId="0" fontId="240" fillId="0" borderId="0" xfId="37" applyFont="1" applyAlignment="1">
      <alignment vertical="center"/>
    </xf>
    <xf numFmtId="3" fontId="228" fillId="0" borderId="0" xfId="37" applyNumberFormat="1" applyFont="1" applyAlignment="1">
      <alignment vertical="center"/>
    </xf>
    <xf numFmtId="0" fontId="233" fillId="0" borderId="0" xfId="37" applyFont="1" applyAlignment="1">
      <alignment vertical="center"/>
    </xf>
    <xf numFmtId="0" fontId="250" fillId="0" borderId="0" xfId="37" applyFont="1" applyAlignment="1">
      <alignment horizontal="right"/>
    </xf>
    <xf numFmtId="0" fontId="257" fillId="0" borderId="0" xfId="37" applyFont="1" applyAlignment="1">
      <alignment horizontal="left" vertical="center"/>
    </xf>
    <xf numFmtId="0" fontId="257" fillId="0" borderId="0" xfId="37" applyFont="1" applyAlignment="1">
      <alignment horizontal="center" vertical="center"/>
    </xf>
    <xf numFmtId="0" fontId="257" fillId="0" borderId="0" xfId="37" applyFont="1" applyAlignment="1">
      <alignment horizontal="left" vertical="top"/>
    </xf>
    <xf numFmtId="0" fontId="228" fillId="0" borderId="0" xfId="37" applyFont="1" applyAlignment="1">
      <alignment horizontal="left" vertical="center"/>
    </xf>
    <xf numFmtId="0" fontId="228" fillId="0" borderId="0" xfId="37" quotePrefix="1" applyFont="1" applyAlignment="1">
      <alignment horizontal="left" vertical="center"/>
    </xf>
    <xf numFmtId="0" fontId="250" fillId="0" borderId="0" xfId="37" quotePrefix="1" applyFont="1" applyAlignment="1">
      <alignment horizontal="right" vertical="center"/>
    </xf>
    <xf numFmtId="0" fontId="228" fillId="0" borderId="0" xfId="37" quotePrefix="1" applyFont="1" applyAlignment="1">
      <alignment horizontal="left" vertical="top"/>
    </xf>
    <xf numFmtId="0" fontId="257" fillId="0" borderId="0" xfId="37" quotePrefix="1" applyFont="1" applyAlignment="1">
      <alignment horizontal="center" vertical="center"/>
    </xf>
    <xf numFmtId="0" fontId="228" fillId="0" borderId="0" xfId="37" applyFont="1" applyAlignment="1">
      <alignment horizontal="center" vertical="top"/>
    </xf>
    <xf numFmtId="0" fontId="228" fillId="0" borderId="0" xfId="37" quotePrefix="1" applyFont="1" applyAlignment="1">
      <alignment vertical="top"/>
    </xf>
    <xf numFmtId="0" fontId="250" fillId="0" borderId="0" xfId="37" applyFont="1" applyAlignment="1">
      <alignment horizontal="right" vertical="top"/>
    </xf>
    <xf numFmtId="0" fontId="257" fillId="0" borderId="0" xfId="37" applyFont="1" applyAlignment="1">
      <alignment horizontal="center" vertical="top"/>
    </xf>
    <xf numFmtId="0" fontId="257" fillId="0" borderId="0" xfId="37" applyFont="1" applyAlignment="1">
      <alignment vertical="top"/>
    </xf>
    <xf numFmtId="0" fontId="273" fillId="0" borderId="0" xfId="37" applyFont="1" applyAlignment="1">
      <alignment vertical="top"/>
    </xf>
    <xf numFmtId="38" fontId="228" fillId="0" borderId="0" xfId="37" applyNumberFormat="1" applyFont="1" applyAlignment="1">
      <alignment vertical="center"/>
    </xf>
    <xf numFmtId="0" fontId="273" fillId="0" borderId="0" xfId="37" applyFont="1" applyAlignment="1">
      <alignment horizontal="left"/>
    </xf>
    <xf numFmtId="0" fontId="250" fillId="0" borderId="0" xfId="37" quotePrefix="1" applyFont="1"/>
    <xf numFmtId="0" fontId="92" fillId="0" borderId="0" xfId="37" applyFont="1"/>
    <xf numFmtId="0" fontId="250" fillId="0" borderId="0" xfId="37" quotePrefix="1" applyFont="1" applyAlignment="1">
      <alignment vertical="center"/>
    </xf>
    <xf numFmtId="0" fontId="228" fillId="0" borderId="0" xfId="37" applyFont="1" applyAlignment="1">
      <alignment horizontal="left" vertical="top"/>
    </xf>
    <xf numFmtId="0" fontId="257" fillId="0" borderId="0" xfId="37" quotePrefix="1" applyFont="1" applyAlignment="1">
      <alignment vertical="top"/>
    </xf>
    <xf numFmtId="0" fontId="228" fillId="0" borderId="0" xfId="37" applyFont="1" applyAlignment="1">
      <alignment horizontal="right"/>
    </xf>
    <xf numFmtId="0" fontId="228" fillId="0" borderId="0" xfId="37" quotePrefix="1" applyFont="1" applyAlignment="1">
      <alignment horizontal="center" vertical="center"/>
    </xf>
    <xf numFmtId="0" fontId="250" fillId="0" borderId="0" xfId="37" quotePrefix="1" applyFont="1" applyAlignment="1">
      <alignment vertical="top"/>
    </xf>
    <xf numFmtId="0" fontId="273" fillId="0" borderId="0" xfId="37" applyFont="1"/>
    <xf numFmtId="3" fontId="250"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50" fillId="0" borderId="0" xfId="37" applyNumberFormat="1" applyFont="1" applyAlignment="1">
      <alignment vertical="center"/>
    </xf>
    <xf numFmtId="38" fontId="250"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50" fillId="0" borderId="0" xfId="37" quotePrefix="1" applyFont="1" applyAlignment="1">
      <alignment horizontal="right" vertical="top"/>
    </xf>
    <xf numFmtId="0" fontId="250" fillId="0" borderId="0" xfId="37" quotePrefix="1" applyFont="1" applyAlignment="1">
      <alignment horizontal="center" vertical="top"/>
    </xf>
    <xf numFmtId="0" fontId="250" fillId="0" borderId="0" xfId="37" quotePrefix="1" applyFont="1" applyAlignment="1">
      <alignment horizontal="center" vertical="center"/>
    </xf>
    <xf numFmtId="0" fontId="257" fillId="0" borderId="0" xfId="37" quotePrefix="1" applyFont="1" applyAlignment="1">
      <alignment horizontal="left" vertical="center"/>
    </xf>
    <xf numFmtId="0" fontId="92" fillId="0" borderId="0" xfId="37" applyFont="1" applyAlignment="1">
      <alignment horizontal="right" vertical="center"/>
    </xf>
    <xf numFmtId="0" fontId="240" fillId="0" borderId="0" xfId="37" applyFont="1"/>
    <xf numFmtId="0" fontId="228" fillId="0" borderId="0" xfId="37" quotePrefix="1" applyFont="1" applyAlignment="1">
      <alignment vertical="center"/>
    </xf>
    <xf numFmtId="10" fontId="228"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50" fillId="0" borderId="0" xfId="37" applyNumberFormat="1" applyFont="1" applyAlignment="1">
      <alignment horizontal="center" vertical="center"/>
    </xf>
    <xf numFmtId="0" fontId="232"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8"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7" fillId="0" borderId="0" xfId="37" quotePrefix="1" applyFont="1"/>
    <xf numFmtId="0" fontId="257" fillId="0" borderId="0" xfId="37" applyFont="1"/>
    <xf numFmtId="38" fontId="228" fillId="0" borderId="0" xfId="37" applyNumberFormat="1" applyFont="1" applyAlignment="1">
      <alignment horizontal="center"/>
    </xf>
    <xf numFmtId="0" fontId="93" fillId="0" borderId="0" xfId="37" applyFont="1" applyAlignment="1">
      <alignment horizontal="right" vertical="center"/>
    </xf>
    <xf numFmtId="9" fontId="250" fillId="0" borderId="0" xfId="38" applyFont="1" applyFill="1" applyBorder="1" applyAlignment="1" applyProtection="1">
      <alignment horizontal="left" vertical="center"/>
    </xf>
    <xf numFmtId="40" fontId="228" fillId="0" borderId="0" xfId="37" applyNumberFormat="1" applyFont="1" applyAlignment="1">
      <alignment horizontal="center" vertical="center"/>
    </xf>
    <xf numFmtId="0" fontId="228" fillId="0" borderId="0" xfId="37" quotePrefix="1" applyFont="1" applyAlignment="1">
      <alignment horizontal="right" vertical="center"/>
    </xf>
    <xf numFmtId="9" fontId="228" fillId="0" borderId="0" xfId="38" applyFont="1" applyFill="1" applyBorder="1" applyAlignment="1" applyProtection="1">
      <alignment horizontal="center" vertical="top"/>
    </xf>
    <xf numFmtId="10" fontId="228" fillId="0" borderId="0" xfId="37" applyNumberFormat="1" applyFont="1" applyAlignment="1">
      <alignment horizontal="center" vertical="center"/>
    </xf>
    <xf numFmtId="0" fontId="324" fillId="0" borderId="0" xfId="0" applyFont="1" applyAlignment="1">
      <alignment horizontal="right" vertical="center"/>
    </xf>
    <xf numFmtId="0" fontId="250" fillId="0" borderId="0" xfId="37" quotePrefix="1" applyFont="1" applyAlignment="1">
      <alignment horizontal="left" vertical="center"/>
    </xf>
    <xf numFmtId="183" fontId="228" fillId="0" borderId="0" xfId="37" applyNumberFormat="1" applyFont="1" applyAlignment="1">
      <alignment horizontal="center" vertical="center"/>
    </xf>
    <xf numFmtId="0" fontId="273"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50" fillId="0" borderId="0" xfId="37" applyNumberFormat="1" applyFont="1" applyAlignment="1">
      <alignment vertical="center"/>
    </xf>
    <xf numFmtId="167" fontId="92" fillId="0" borderId="0" xfId="37" applyNumberFormat="1" applyFont="1" applyAlignment="1">
      <alignment horizontal="left" vertical="center"/>
    </xf>
    <xf numFmtId="0" fontId="325" fillId="0" borderId="0" xfId="37" applyFont="1" applyAlignment="1">
      <alignment vertical="center"/>
    </xf>
    <xf numFmtId="181" fontId="250" fillId="0" borderId="0" xfId="37" applyNumberFormat="1" applyFont="1" applyAlignment="1">
      <alignment horizontal="center" vertical="center"/>
    </xf>
    <xf numFmtId="0" fontId="95" fillId="0" borderId="0" xfId="33" applyFont="1" applyAlignment="1">
      <alignment horizontal="center" vertical="center"/>
    </xf>
    <xf numFmtId="183" fontId="228" fillId="0" borderId="0" xfId="37" applyNumberFormat="1" applyFont="1" applyAlignment="1">
      <alignment horizontal="center" vertical="top"/>
    </xf>
    <xf numFmtId="0" fontId="103" fillId="0" borderId="0" xfId="33" applyFont="1" applyAlignment="1">
      <alignment vertical="center"/>
    </xf>
    <xf numFmtId="167" fontId="250" fillId="0" borderId="0" xfId="37" applyNumberFormat="1" applyFont="1" applyAlignment="1">
      <alignment vertical="top"/>
    </xf>
    <xf numFmtId="183" fontId="250" fillId="0" borderId="0" xfId="37" applyNumberFormat="1" applyFont="1" applyAlignment="1">
      <alignment horizontal="center" vertical="center"/>
    </xf>
    <xf numFmtId="49" fontId="228"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8" fillId="0" borderId="0" xfId="37" quotePrefix="1" applyNumberFormat="1" applyFont="1" applyAlignment="1">
      <alignment horizontal="left" vertical="center"/>
    </xf>
    <xf numFmtId="0" fontId="326" fillId="0" borderId="0" xfId="37" applyFont="1" applyAlignment="1">
      <alignment horizontal="right" vertical="center"/>
    </xf>
    <xf numFmtId="0" fontId="321" fillId="0" borderId="0" xfId="37" applyFont="1"/>
    <xf numFmtId="0" fontId="83" fillId="0" borderId="0" xfId="37" applyFont="1" applyAlignment="1">
      <alignment horizontal="center" vertical="center"/>
    </xf>
    <xf numFmtId="49" fontId="250" fillId="0" borderId="0" xfId="37" applyNumberFormat="1" applyFont="1" applyAlignment="1">
      <alignment vertical="center"/>
    </xf>
    <xf numFmtId="0" fontId="273"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50" fillId="0" borderId="0" xfId="37" applyNumberFormat="1" applyFont="1" applyAlignment="1">
      <alignment vertical="center"/>
    </xf>
    <xf numFmtId="0" fontId="327"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8" fillId="0" borderId="0" xfId="37" quotePrefix="1" applyFont="1" applyAlignment="1">
      <alignment horizontal="center" vertical="top"/>
    </xf>
    <xf numFmtId="175" fontId="250"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50" fillId="0" borderId="0" xfId="37" applyNumberFormat="1" applyFont="1" applyAlignment="1">
      <alignment horizontal="center" vertical="center"/>
    </xf>
    <xf numFmtId="186" fontId="250" fillId="0" borderId="0" xfId="0" applyNumberFormat="1" applyFont="1" applyAlignment="1">
      <alignment horizontal="center" vertical="center"/>
    </xf>
    <xf numFmtId="188" fontId="250" fillId="0" borderId="0" xfId="37" applyNumberFormat="1" applyFont="1" applyAlignment="1">
      <alignment horizontal="center" vertical="center"/>
    </xf>
    <xf numFmtId="0" fontId="328" fillId="0" borderId="0" xfId="33" applyFont="1"/>
    <xf numFmtId="0" fontId="329" fillId="0" borderId="0" xfId="33" applyFont="1"/>
    <xf numFmtId="0" fontId="329" fillId="0" borderId="0" xfId="33" applyFont="1" applyAlignment="1">
      <alignment horizontal="left" vertical="center"/>
    </xf>
    <xf numFmtId="0" fontId="329" fillId="0" borderId="0" xfId="33" applyFont="1" applyAlignment="1">
      <alignment vertical="center"/>
    </xf>
    <xf numFmtId="164" fontId="329" fillId="0" borderId="0" xfId="34" applyNumberFormat="1" applyFont="1" applyFill="1" applyBorder="1" applyAlignment="1" applyProtection="1">
      <alignment vertical="center"/>
    </xf>
    <xf numFmtId="0" fontId="289" fillId="0" borderId="0" xfId="33" applyFont="1"/>
    <xf numFmtId="14" fontId="329" fillId="0" borderId="0" xfId="34" applyNumberFormat="1" applyFont="1" applyFill="1" applyBorder="1" applyAlignment="1" applyProtection="1">
      <alignment vertical="center"/>
    </xf>
    <xf numFmtId="0" fontId="294" fillId="0" borderId="0" xfId="33" applyFont="1" applyAlignment="1">
      <alignment vertical="center"/>
    </xf>
    <xf numFmtId="0" fontId="329" fillId="0" borderId="0" xfId="33" applyFont="1" applyAlignment="1">
      <alignment horizontal="center" vertical="center"/>
    </xf>
    <xf numFmtId="164" fontId="329" fillId="0" borderId="0" xfId="34" applyNumberFormat="1" applyFont="1" applyFill="1" applyBorder="1" applyAlignment="1" applyProtection="1">
      <alignment horizontal="center" vertical="center"/>
    </xf>
    <xf numFmtId="164" fontId="294" fillId="0" borderId="0" xfId="34" applyNumberFormat="1" applyFont="1" applyFill="1" applyBorder="1" applyAlignment="1" applyProtection="1">
      <alignment vertical="center"/>
    </xf>
    <xf numFmtId="43" fontId="329" fillId="0" borderId="0" xfId="34" applyFont="1" applyFill="1" applyBorder="1" applyAlignment="1" applyProtection="1">
      <alignment vertical="center"/>
    </xf>
    <xf numFmtId="166" fontId="329" fillId="0" borderId="0" xfId="35" applyNumberFormat="1" applyFont="1" applyFill="1" applyBorder="1" applyAlignment="1" applyProtection="1">
      <alignment vertical="center"/>
    </xf>
    <xf numFmtId="0" fontId="329" fillId="0" borderId="0" xfId="33" applyFont="1" applyAlignment="1">
      <alignment horizontal="center"/>
    </xf>
    <xf numFmtId="0" fontId="329" fillId="0" borderId="0" xfId="33" applyFont="1" applyAlignment="1">
      <alignment horizontal="left"/>
    </xf>
    <xf numFmtId="166" fontId="329" fillId="0" borderId="0" xfId="35" applyNumberFormat="1" applyFont="1" applyFill="1" applyBorder="1" applyAlignment="1" applyProtection="1"/>
    <xf numFmtId="0" fontId="330" fillId="0" borderId="0" xfId="33" applyFont="1"/>
    <xf numFmtId="0" fontId="102" fillId="0" borderId="0" xfId="33" applyFont="1" applyAlignment="1">
      <alignment horizontal="left"/>
    </xf>
    <xf numFmtId="0" fontId="294" fillId="0" borderId="0" xfId="33" applyFont="1" applyAlignment="1">
      <alignment horizontal="center"/>
    </xf>
    <xf numFmtId="164" fontId="294"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9" fillId="0" borderId="0" xfId="33" applyFont="1" applyAlignment="1">
      <alignment horizontal="right" vertical="center"/>
    </xf>
    <xf numFmtId="0" fontId="294" fillId="0" borderId="0" xfId="33" applyFont="1" applyAlignment="1">
      <alignment horizontal="right"/>
    </xf>
    <xf numFmtId="182" fontId="329" fillId="0" borderId="0" xfId="33" applyNumberFormat="1" applyFont="1" applyAlignment="1">
      <alignment horizontal="center"/>
    </xf>
    <xf numFmtId="164" fontId="294" fillId="0" borderId="0" xfId="34" applyNumberFormat="1" applyFont="1" applyFill="1" applyBorder="1" applyAlignment="1" applyProtection="1">
      <alignment horizontal="center" vertical="center"/>
    </xf>
    <xf numFmtId="0" fontId="294" fillId="0" borderId="0" xfId="33" applyFont="1"/>
    <xf numFmtId="182" fontId="329" fillId="0" borderId="0" xfId="33" applyNumberFormat="1" applyFont="1" applyAlignment="1">
      <alignment vertical="center"/>
    </xf>
    <xf numFmtId="37" fontId="329" fillId="0" borderId="0" xfId="34" applyNumberFormat="1" applyFont="1" applyFill="1" applyBorder="1" applyAlignment="1" applyProtection="1">
      <alignment vertical="center"/>
    </xf>
    <xf numFmtId="37" fontId="329" fillId="0" borderId="0" xfId="33" applyNumberFormat="1" applyFont="1" applyAlignment="1">
      <alignment vertical="center"/>
    </xf>
    <xf numFmtId="182" fontId="329" fillId="0" borderId="0" xfId="33" applyNumberFormat="1" applyFont="1" applyAlignment="1">
      <alignment horizontal="center" vertical="center"/>
    </xf>
    <xf numFmtId="164" fontId="329" fillId="0" borderId="0" xfId="34" applyNumberFormat="1" applyFont="1" applyFill="1" applyBorder="1" applyAlignment="1" applyProtection="1"/>
    <xf numFmtId="164" fontId="289" fillId="0" borderId="0" xfId="34" applyNumberFormat="1" applyFont="1" applyFill="1" applyBorder="1" applyAlignment="1" applyProtection="1">
      <alignment horizontal="center" vertical="center"/>
    </xf>
    <xf numFmtId="164" fontId="4" fillId="6" borderId="17" xfId="1" applyNumberFormat="1" applyFont="1" applyFill="1" applyBorder="1" applyProtection="1">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0" borderId="13" xfId="0" applyFont="1" applyBorder="1" applyAlignment="1">
      <alignment horizontal="left" vertical="center"/>
    </xf>
    <xf numFmtId="0" fontId="46" fillId="5" borderId="125" xfId="0" applyFont="1" applyFill="1" applyBorder="1" applyAlignment="1" applyProtection="1">
      <alignment horizontal="left" vertical="center" wrapText="1"/>
      <protection locked="0"/>
    </xf>
    <xf numFmtId="0" fontId="46" fillId="5" borderId="126"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9" fillId="0" borderId="0" xfId="0" applyFont="1" applyAlignment="1">
      <alignment horizontal="left"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46" fillId="0" borderId="7" xfId="0" applyFont="1" applyBorder="1" applyAlignment="1">
      <alignment vertical="center"/>
    </xf>
    <xf numFmtId="0" fontId="46" fillId="0" borderId="0" xfId="0" applyFont="1" applyAlignment="1">
      <alignmen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13" xfId="0" applyFont="1" applyBorder="1" applyAlignment="1">
      <alignment horizontal="center"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46" fillId="0" borderId="77" xfId="0" applyFont="1" applyBorder="1" applyAlignment="1">
      <alignment vertical="center"/>
    </xf>
    <xf numFmtId="0" fontId="46" fillId="0" borderId="82" xfId="0" applyFont="1" applyBorder="1" applyAlignment="1">
      <alignment vertical="center"/>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9" fillId="0" borderId="0" xfId="0" applyFont="1" applyAlignment="1">
      <alignment horizontal="left"/>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0" fontId="46" fillId="0" borderId="8" xfId="0" applyFont="1" applyBorder="1" applyAlignment="1">
      <alignment vertical="center"/>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0" borderId="78" xfId="0" applyFont="1" applyBorder="1" applyAlignment="1">
      <alignment vertical="center"/>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1" fillId="0" borderId="0" xfId="0" applyFont="1" applyAlignment="1">
      <alignment horizontal="left" vertical="center" wrapText="1"/>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54" fillId="0" borderId="0" xfId="0" applyFont="1" applyAlignment="1">
      <alignment horizontal="left"/>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0" fontId="46" fillId="0" borderId="40" xfId="0" applyFont="1" applyBorder="1" applyAlignment="1">
      <alignment horizontal="center" vertical="center" wrapText="1"/>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206" fillId="0" borderId="0" xfId="0" applyFont="1" applyAlignment="1">
      <alignment horizontal="center" wrapText="1"/>
    </xf>
    <xf numFmtId="0" fontId="206"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37" xfId="0" applyNumberFormat="1" applyFont="1" applyBorder="1" applyAlignment="1">
      <alignment horizontal="center" vertical="center"/>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46" fillId="0" borderId="126"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277" fillId="0" borderId="0" xfId="0" applyFont="1" applyAlignment="1">
      <alignment horizontal="center" vertical="center" wrapText="1"/>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96"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96" fillId="0" borderId="0" xfId="0" applyFont="1" applyAlignment="1">
      <alignment horizontal="center" vertical="center"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78" fillId="0" borderId="0" xfId="0" applyFont="1" applyAlignment="1">
      <alignment horizontal="left" vertical="top" wrapText="1"/>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0" borderId="60" xfId="0" applyNumberFormat="1" applyFont="1" applyBorder="1" applyAlignment="1">
      <alignment horizontal="right" vertical="center"/>
    </xf>
    <xf numFmtId="3" fontId="13" fillId="0" borderId="61" xfId="0" applyNumberFormat="1" applyFont="1" applyBorder="1" applyAlignment="1">
      <alignment horizontal="right" vertical="center"/>
    </xf>
    <xf numFmtId="0" fontId="12" fillId="0" borderId="0" xfId="0" applyFont="1" applyAlignment="1">
      <alignment horizontal="left" vertic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1" fillId="0" borderId="0" xfId="0" applyFont="1" applyAlignment="1">
      <alignment horizontal="center" wrapText="1"/>
    </xf>
    <xf numFmtId="0" fontId="11" fillId="0" borderId="13" xfId="0" applyFont="1" applyBorder="1" applyAlignment="1">
      <alignment horizontal="center" wrapText="1"/>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14" fillId="0" borderId="0" xfId="0" applyFont="1" applyAlignment="1">
      <alignment horizontal="left" vertical="top" wrapText="1"/>
    </xf>
    <xf numFmtId="0" fontId="176"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8" fontId="4" fillId="5" borderId="30" xfId="1" applyNumberFormat="1" applyFont="1" applyFill="1" applyBorder="1" applyAlignment="1" applyProtection="1">
      <alignment vertical="center"/>
      <protection locked="0"/>
    </xf>
    <xf numFmtId="3" fontId="4" fillId="5" borderId="30" xfId="0" applyNumberFormat="1" applyFont="1" applyFill="1" applyBorder="1" applyAlignment="1" applyProtection="1">
      <alignment horizontal="right" vertical="center"/>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132" xfId="0" applyNumberFormat="1" applyFont="1" applyBorder="1" applyAlignment="1">
      <alignment horizontal="right" vertical="center"/>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0" fillId="5" borderId="33"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125" xfId="33" applyFont="1" applyFill="1" applyBorder="1" applyAlignment="1" applyProtection="1">
      <alignment horizontal="left" vertical="center" wrapText="1"/>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0" fontId="26" fillId="13" borderId="75" xfId="33" applyFont="1" applyFill="1" applyBorder="1" applyAlignment="1">
      <alignment horizontal="center" vertical="center"/>
    </xf>
    <xf numFmtId="0" fontId="26" fillId="13" borderId="79"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33" xfId="33" applyFont="1" applyFill="1" applyBorder="1" applyAlignment="1" applyProtection="1">
      <alignment horizontal="left" vertical="center"/>
      <protection locked="0"/>
    </xf>
    <xf numFmtId="0" fontId="10" fillId="5" borderId="58" xfId="33" applyFont="1" applyFill="1" applyBorder="1" applyAlignment="1" applyProtection="1">
      <alignment horizontal="left" vertical="center"/>
      <protection locked="0"/>
    </xf>
    <xf numFmtId="0" fontId="10" fillId="5" borderId="34" xfId="33" applyFont="1" applyFill="1" applyBorder="1" applyAlignment="1" applyProtection="1">
      <alignment horizontal="left" vertical="center"/>
      <protection locked="0"/>
    </xf>
    <xf numFmtId="0" fontId="10" fillId="5" borderId="125" xfId="33" applyFont="1" applyFill="1" applyBorder="1" applyAlignment="1" applyProtection="1">
      <alignment horizontal="left" vertical="center"/>
      <protection locked="0"/>
    </xf>
    <xf numFmtId="0" fontId="10" fillId="5" borderId="126" xfId="33" applyFont="1" applyFill="1" applyBorder="1" applyAlignment="1" applyProtection="1">
      <alignment horizontal="left" vertical="center"/>
      <protection locked="0"/>
    </xf>
    <xf numFmtId="0" fontId="10" fillId="5" borderId="127" xfId="33" applyFont="1" applyFill="1" applyBorder="1" applyAlignment="1" applyProtection="1">
      <alignment horizontal="left" vertical="center"/>
      <protection locked="0"/>
    </xf>
    <xf numFmtId="10" fontId="10" fillId="5" borderId="77" xfId="10" applyNumberFormat="1" applyFont="1" applyFill="1" applyBorder="1" applyAlignment="1" applyProtection="1">
      <alignment horizontal="center" vertical="center" wrapText="1"/>
      <protection locked="0"/>
    </xf>
    <xf numFmtId="10" fontId="10" fillId="5" borderId="78" xfId="10" applyNumberFormat="1" applyFont="1" applyFill="1" applyBorder="1" applyAlignment="1" applyProtection="1">
      <alignment horizontal="center" vertical="center" wrapText="1"/>
      <protection locked="0"/>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76" xfId="33" applyFont="1" applyFill="1" applyBorder="1" applyAlignment="1" applyProtection="1">
      <alignment horizontal="left" vertical="center" wrapText="1"/>
      <protection locked="0"/>
    </xf>
    <xf numFmtId="10" fontId="10" fillId="5" borderId="33" xfId="10" applyNumberFormat="1" applyFont="1" applyFill="1" applyBorder="1" applyAlignment="1" applyProtection="1">
      <alignment horizontal="center" vertical="center" wrapText="1"/>
      <protection locked="0"/>
    </xf>
    <xf numFmtId="10" fontId="10" fillId="5" borderId="34" xfId="10" applyNumberFormat="1" applyFont="1" applyFill="1" applyBorder="1" applyAlignment="1" applyProtection="1">
      <alignment horizontal="center" vertical="center" wrapText="1"/>
      <protection locked="0"/>
    </xf>
    <xf numFmtId="10" fontId="10" fillId="5" borderId="125" xfId="10" applyNumberFormat="1" applyFont="1" applyFill="1" applyBorder="1" applyAlignment="1" applyProtection="1">
      <alignment horizontal="center" vertical="center" wrapText="1"/>
      <protection locked="0"/>
    </xf>
    <xf numFmtId="10" fontId="10" fillId="5" borderId="127" xfId="10" applyNumberFormat="1" applyFont="1" applyFill="1" applyBorder="1" applyAlignment="1" applyProtection="1">
      <alignment horizontal="center" vertical="center" wrapText="1"/>
      <protection locked="0"/>
    </xf>
    <xf numFmtId="0" fontId="10" fillId="0" borderId="0" xfId="33" applyFont="1" applyAlignment="1">
      <alignment horizontal="left" vertical="center" wrapText="1"/>
    </xf>
    <xf numFmtId="0" fontId="10" fillId="5" borderId="207" xfId="33" applyFont="1" applyFill="1" applyBorder="1" applyAlignment="1" applyProtection="1">
      <alignment horizontal="left" vertical="top" wrapText="1"/>
      <protection locked="0"/>
    </xf>
    <xf numFmtId="0" fontId="10" fillId="5" borderId="212" xfId="33" applyFont="1" applyFill="1" applyBorder="1" applyAlignment="1" applyProtection="1">
      <alignment horizontal="left" vertical="top" wrapText="1"/>
      <protection locked="0"/>
    </xf>
    <xf numFmtId="0" fontId="10" fillId="5" borderId="208" xfId="33" applyFont="1" applyFill="1" applyBorder="1" applyAlignment="1" applyProtection="1">
      <alignment horizontal="left" vertical="top" wrapText="1"/>
      <protection locked="0"/>
    </xf>
    <xf numFmtId="0" fontId="10" fillId="13" borderId="207"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83" xfId="33" applyFont="1" applyFill="1" applyBorder="1" applyAlignment="1">
      <alignment horizontal="center" vertical="center"/>
    </xf>
    <xf numFmtId="0" fontId="10" fillId="0" borderId="8" xfId="33" applyFont="1" applyBorder="1" applyAlignment="1">
      <alignment horizontal="left" vertical="center" wrapText="1"/>
    </xf>
    <xf numFmtId="0" fontId="10" fillId="5" borderId="75" xfId="33" applyFont="1" applyFill="1" applyBorder="1" applyAlignment="1" applyProtection="1">
      <alignment horizontal="left" vertical="top"/>
      <protection locked="0"/>
    </xf>
    <xf numFmtId="0" fontId="10" fillId="5" borderId="79" xfId="33" applyFont="1" applyFill="1" applyBorder="1" applyAlignment="1" applyProtection="1">
      <alignment horizontal="left" vertical="top"/>
      <protection locked="0"/>
    </xf>
    <xf numFmtId="0" fontId="10" fillId="5" borderId="82" xfId="33" applyFont="1" applyFill="1" applyBorder="1" applyAlignment="1" applyProtection="1">
      <alignment horizontal="left" vertical="top"/>
      <protection locked="0"/>
    </xf>
    <xf numFmtId="0" fontId="10" fillId="5" borderId="78" xfId="33" applyFont="1" applyFill="1" applyBorder="1" applyAlignment="1" applyProtection="1">
      <alignment horizontal="left" vertical="top"/>
      <protection locked="0"/>
    </xf>
    <xf numFmtId="0" fontId="10" fillId="5" borderId="209" xfId="33" applyFont="1" applyFill="1" applyBorder="1" applyAlignment="1" applyProtection="1">
      <alignment horizontal="left" vertical="top" wrapText="1"/>
      <protection locked="0"/>
    </xf>
    <xf numFmtId="0" fontId="10" fillId="13" borderId="75"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81" xfId="33" applyFont="1" applyFill="1" applyBorder="1" applyAlignment="1">
      <alignment horizontal="center" vertical="center"/>
    </xf>
    <xf numFmtId="0" fontId="10" fillId="5" borderId="83" xfId="33" applyFont="1" applyFill="1" applyBorder="1" applyAlignment="1" applyProtection="1">
      <alignment horizontal="left" vertical="top" wrapText="1"/>
      <protection locked="0"/>
    </xf>
    <xf numFmtId="0" fontId="10" fillId="13" borderId="83" xfId="33" applyFont="1" applyFill="1" applyBorder="1" applyAlignment="1">
      <alignment horizontal="left" vertical="center" wrapText="1"/>
    </xf>
    <xf numFmtId="0" fontId="30" fillId="8" borderId="75" xfId="33" applyFont="1" applyFill="1" applyBorder="1" applyAlignment="1">
      <alignment horizontal="center" vertical="center"/>
    </xf>
    <xf numFmtId="0" fontId="251"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0" fillId="0" borderId="0" xfId="33" applyFont="1" applyAlignment="1">
      <alignment horizontal="right" vertical="center"/>
    </xf>
    <xf numFmtId="0" fontId="26" fillId="5" borderId="75"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5" borderId="210" xfId="33" applyFont="1" applyFill="1" applyBorder="1" applyAlignment="1" applyProtection="1">
      <alignment horizontal="left" vertical="top" wrapText="1"/>
      <protection locked="0"/>
    </xf>
    <xf numFmtId="0" fontId="10" fillId="5" borderId="211" xfId="33" applyFont="1" applyFill="1" applyBorder="1" applyAlignment="1" applyProtection="1">
      <alignment horizontal="left" vertical="top" wrapText="1"/>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0" borderId="0" xfId="33" applyFont="1" applyAlignment="1">
      <alignment horizontal="left" vertical="center"/>
    </xf>
    <xf numFmtId="0" fontId="10" fillId="5" borderId="30" xfId="33" applyFont="1" applyFill="1" applyBorder="1" applyAlignment="1" applyProtection="1">
      <alignment vertical="center"/>
      <protection locked="0"/>
    </xf>
    <xf numFmtId="0" fontId="10" fillId="5" borderId="21" xfId="33" applyFont="1" applyFill="1" applyBorder="1" applyAlignment="1" applyProtection="1">
      <alignment vertical="center"/>
      <protection locked="0"/>
    </xf>
    <xf numFmtId="0" fontId="10" fillId="5" borderId="31" xfId="33" applyFont="1" applyFill="1" applyBorder="1" applyAlignment="1" applyProtection="1">
      <alignment vertical="center"/>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10" fillId="5" borderId="77" xfId="33" applyFont="1" applyFill="1" applyBorder="1" applyAlignment="1" applyProtection="1">
      <alignment vertical="center"/>
      <protection locked="0"/>
    </xf>
    <xf numFmtId="0" fontId="10" fillId="5" borderId="82" xfId="33" applyFont="1" applyFill="1" applyBorder="1" applyAlignment="1" applyProtection="1">
      <alignment vertical="center"/>
      <protection locked="0"/>
    </xf>
    <xf numFmtId="0" fontId="10" fillId="5" borderId="78" xfId="33" applyFont="1" applyFill="1" applyBorder="1" applyAlignment="1" applyProtection="1">
      <alignment vertical="center"/>
      <protection locked="0"/>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77" xfId="33" applyFont="1" applyFill="1" applyBorder="1" applyAlignment="1" applyProtection="1">
      <alignment horizontal="center" vertical="top"/>
      <protection locked="0"/>
    </xf>
    <xf numFmtId="0" fontId="26" fillId="5" borderId="78" xfId="33" applyFont="1" applyFill="1" applyBorder="1" applyAlignment="1" applyProtection="1">
      <alignment horizontal="center" vertical="top"/>
      <protection locked="0"/>
    </xf>
    <xf numFmtId="0" fontId="26" fillId="13" borderId="163" xfId="33" applyFont="1" applyFill="1" applyBorder="1" applyAlignment="1">
      <alignment horizontal="center" vertical="center"/>
    </xf>
    <xf numFmtId="0" fontId="10" fillId="5" borderId="75" xfId="33" applyFont="1" applyFill="1" applyBorder="1" applyAlignment="1" applyProtection="1">
      <alignment horizontal="left" vertical="center"/>
      <protection locked="0"/>
    </xf>
    <xf numFmtId="0" fontId="10" fillId="5" borderId="79" xfId="33" applyFont="1" applyFill="1" applyBorder="1" applyAlignment="1" applyProtection="1">
      <alignment horizontal="left" vertical="center"/>
      <protection locked="0"/>
    </xf>
    <xf numFmtId="0" fontId="10" fillId="5" borderId="76" xfId="33" applyFont="1" applyFill="1" applyBorder="1" applyAlignment="1" applyProtection="1">
      <alignment horizontal="left" vertical="center"/>
      <protection locked="0"/>
    </xf>
    <xf numFmtId="0" fontId="26" fillId="5" borderId="30" xfId="33" applyFont="1" applyFill="1" applyBorder="1" applyAlignment="1" applyProtection="1">
      <alignment horizontal="center" vertical="center"/>
      <protection locked="0"/>
    </xf>
    <xf numFmtId="0" fontId="26" fillId="5" borderId="214" xfId="33" applyFont="1" applyFill="1" applyBorder="1" applyAlignment="1" applyProtection="1">
      <alignment horizontal="center" vertical="center"/>
      <protection locked="0"/>
    </xf>
    <xf numFmtId="0" fontId="26" fillId="5" borderId="33" xfId="33" applyFont="1" applyFill="1" applyBorder="1" applyAlignment="1" applyProtection="1">
      <alignment horizontal="center" vertical="center"/>
      <protection locked="0"/>
    </xf>
    <xf numFmtId="0" fontId="26" fillId="5" borderId="215" xfId="33" applyFont="1" applyFill="1" applyBorder="1" applyAlignment="1" applyProtection="1">
      <alignment horizontal="center" vertical="center"/>
      <protection locked="0"/>
    </xf>
    <xf numFmtId="0" fontId="4" fillId="5" borderId="75" xfId="33" applyFont="1" applyFill="1" applyBorder="1" applyAlignment="1" applyProtection="1">
      <alignment horizontal="left" vertical="center" wrapText="1"/>
      <protection locked="0"/>
    </xf>
    <xf numFmtId="0" fontId="4" fillId="5" borderId="79" xfId="33" applyFont="1" applyFill="1" applyBorder="1" applyAlignment="1" applyProtection="1">
      <alignment horizontal="left" vertical="center" wrapText="1"/>
      <protection locked="0"/>
    </xf>
    <xf numFmtId="0" fontId="4" fillId="5" borderId="76" xfId="33" applyFont="1" applyFill="1" applyBorder="1" applyAlignment="1" applyProtection="1">
      <alignment horizontal="left" vertical="center" wrapText="1"/>
      <protection locked="0"/>
    </xf>
    <xf numFmtId="0" fontId="26" fillId="5" borderId="213" xfId="33" applyFont="1" applyFill="1" applyBorder="1" applyAlignment="1" applyProtection="1">
      <alignment horizontal="center" vertical="center"/>
      <protection locked="0"/>
    </xf>
    <xf numFmtId="0" fontId="26" fillId="5" borderId="33" xfId="33" applyFont="1" applyFill="1" applyBorder="1" applyAlignment="1" applyProtection="1">
      <alignment horizontal="center" vertical="top"/>
      <protection locked="0"/>
    </xf>
    <xf numFmtId="0" fontId="26" fillId="5" borderId="34" xfId="33" applyFont="1" applyFill="1" applyBorder="1" applyAlignment="1" applyProtection="1">
      <alignment horizontal="center" vertical="top"/>
      <protection locked="0"/>
    </xf>
    <xf numFmtId="0" fontId="10" fillId="0" borderId="0" xfId="33" applyFont="1" applyAlignment="1">
      <alignment horizontal="justify" vertical="top" wrapText="1"/>
    </xf>
    <xf numFmtId="0" fontId="256"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10" fillId="5" borderId="216" xfId="33" applyFont="1" applyFill="1" applyBorder="1" applyAlignment="1" applyProtection="1">
      <alignment horizontal="left" vertical="center" wrapText="1"/>
      <protection locked="0"/>
    </xf>
    <xf numFmtId="0" fontId="10" fillId="5" borderId="217" xfId="33" applyFont="1" applyFill="1" applyBorder="1" applyAlignment="1" applyProtection="1">
      <alignment horizontal="left" vertical="center" wrapText="1"/>
      <protection locked="0"/>
    </xf>
    <xf numFmtId="0" fontId="10" fillId="5" borderId="18" xfId="33" applyFont="1" applyFill="1" applyBorder="1" applyAlignment="1" applyProtection="1">
      <alignment horizontal="left" vertical="top" wrapText="1"/>
      <protection locked="0"/>
    </xf>
    <xf numFmtId="0" fontId="26" fillId="5" borderId="79"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top"/>
      <protection locked="0"/>
    </xf>
    <xf numFmtId="0" fontId="26" fillId="5" borderId="218" xfId="33" applyFont="1" applyFill="1" applyBorder="1" applyAlignment="1" applyProtection="1">
      <alignment horizontal="center" vertical="top"/>
      <protection locked="0"/>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26" fillId="5" borderId="31"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10" fillId="0" borderId="47" xfId="33" applyFont="1" applyBorder="1" applyAlignment="1">
      <alignment horizontal="left" vertical="top" wrapText="1"/>
    </xf>
    <xf numFmtId="0" fontId="26" fillId="5" borderId="45" xfId="33" applyFont="1" applyFill="1" applyBorder="1" applyAlignment="1" applyProtection="1">
      <alignment horizontal="center" vertical="top"/>
      <protection locked="0"/>
    </xf>
    <xf numFmtId="0" fontId="26" fillId="5" borderId="64" xfId="33" applyFont="1" applyFill="1" applyBorder="1" applyAlignment="1" applyProtection="1">
      <alignment horizontal="center" vertical="top"/>
      <protection locked="0"/>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26" fillId="5" borderId="18"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26" fillId="5" borderId="34" xfId="33" applyFont="1" applyFill="1" applyBorder="1" applyAlignment="1" applyProtection="1">
      <alignment horizontal="center" vertical="center"/>
      <protection locked="0"/>
    </xf>
    <xf numFmtId="0" fontId="26" fillId="5" borderId="83" xfId="33" applyFont="1" applyFill="1" applyBorder="1" applyAlignment="1" applyProtection="1">
      <alignment horizontal="center" vertical="center"/>
      <protection locked="0"/>
    </xf>
    <xf numFmtId="0" fontId="26" fillId="5" borderId="17" xfId="33" applyFont="1" applyFill="1" applyBorder="1" applyAlignment="1" applyProtection="1">
      <alignment horizontal="center" vertical="top"/>
      <protection locked="0"/>
    </xf>
    <xf numFmtId="0" fontId="26" fillId="5" borderId="128" xfId="33" applyFont="1" applyFill="1" applyBorder="1" applyAlignment="1" applyProtection="1">
      <alignment horizontal="center" vertical="top"/>
      <protection locked="0"/>
    </xf>
    <xf numFmtId="0" fontId="26" fillId="5" borderId="128" xfId="33" applyFont="1" applyFill="1" applyBorder="1" applyAlignment="1" applyProtection="1">
      <alignment horizontal="center" vertical="center"/>
      <protection locked="0"/>
    </xf>
    <xf numFmtId="0" fontId="10" fillId="0" borderId="8" xfId="33" applyFont="1" applyBorder="1" applyAlignment="1">
      <alignment horizontal="justify" vertical="top" wrapText="1"/>
    </xf>
    <xf numFmtId="0" fontId="10" fillId="0" borderId="0" xfId="37" applyFont="1" applyAlignment="1">
      <alignment horizontal="left" vertical="top" wrapText="1"/>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4" fillId="0" borderId="67" xfId="37" applyBorder="1" applyAlignment="1">
      <alignment horizontal="center" wrapText="1"/>
    </xf>
    <xf numFmtId="0" fontId="4" fillId="0" borderId="0" xfId="37" applyAlignment="1">
      <alignment horizontal="center" wrapText="1"/>
    </xf>
    <xf numFmtId="0" fontId="4" fillId="0" borderId="13" xfId="37" applyBorder="1" applyAlignment="1">
      <alignment horizontal="center" wrapText="1"/>
    </xf>
    <xf numFmtId="0" fontId="10" fillId="10" borderId="27" xfId="37" applyFont="1" applyFill="1" applyBorder="1" applyAlignment="1" applyProtection="1">
      <alignment horizontal="left" vertical="center"/>
      <protection locked="0"/>
    </xf>
    <xf numFmtId="0" fontId="10" fillId="10" borderId="20"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10" fillId="10" borderId="34" xfId="37" applyFont="1" applyFill="1" applyBorder="1" applyAlignment="1" applyProtection="1">
      <alignment horizontal="left" vertical="center"/>
      <protection locked="0"/>
    </xf>
    <xf numFmtId="0" fontId="10" fillId="5" borderId="75" xfId="37" applyFont="1" applyFill="1" applyBorder="1" applyAlignment="1" applyProtection="1">
      <alignment horizontal="left" vertical="center"/>
      <protection locked="0"/>
    </xf>
    <xf numFmtId="0" fontId="10" fillId="5" borderId="79" xfId="37" applyFont="1" applyFill="1" applyBorder="1" applyAlignment="1" applyProtection="1">
      <alignment horizontal="left" vertical="center"/>
      <protection locked="0"/>
    </xf>
    <xf numFmtId="0" fontId="10" fillId="5" borderId="76" xfId="37" applyFont="1" applyFill="1" applyBorder="1" applyAlignment="1" applyProtection="1">
      <alignment horizontal="left" vertical="center"/>
      <protection locked="0"/>
    </xf>
    <xf numFmtId="0" fontId="10" fillId="10" borderId="75"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135" fillId="13" borderId="75" xfId="37" applyFont="1" applyFill="1" applyBorder="1" applyAlignment="1">
      <alignment horizontal="center" vertical="center"/>
    </xf>
    <xf numFmtId="0" fontId="135" fillId="13" borderId="79" xfId="37" applyFont="1" applyFill="1" applyBorder="1" applyAlignment="1">
      <alignment horizontal="center" vertical="center"/>
    </xf>
    <xf numFmtId="0" fontId="135" fillId="13" borderId="76" xfId="37" applyFont="1" applyFill="1" applyBorder="1" applyAlignment="1">
      <alignment horizontal="center" vertical="center"/>
    </xf>
    <xf numFmtId="0" fontId="26" fillId="0" borderId="0" xfId="37" applyFont="1" applyAlignment="1">
      <alignment horizontal="center" vertical="center" wrapText="1"/>
    </xf>
    <xf numFmtId="0" fontId="135" fillId="10" borderId="75" xfId="37" applyFont="1" applyFill="1" applyBorder="1" applyAlignment="1" applyProtection="1">
      <alignment horizontal="center" vertical="center"/>
      <protection locked="0"/>
    </xf>
    <xf numFmtId="0" fontId="135" fillId="10" borderId="79" xfId="37" applyFont="1" applyFill="1" applyBorder="1" applyAlignment="1" applyProtection="1">
      <alignment horizontal="center" vertical="center"/>
      <protection locked="0"/>
    </xf>
    <xf numFmtId="0" fontId="135" fillId="10" borderId="76" xfId="37" applyFont="1" applyFill="1" applyBorder="1" applyAlignment="1" applyProtection="1">
      <alignment horizontal="center" vertical="center"/>
      <protection locked="0"/>
    </xf>
    <xf numFmtId="0" fontId="135" fillId="13" borderId="77" xfId="37" applyFont="1" applyFill="1" applyBorder="1" applyAlignment="1">
      <alignment horizontal="center" vertical="center"/>
    </xf>
    <xf numFmtId="0" fontId="135" fillId="13" borderId="82" xfId="37" applyFont="1" applyFill="1" applyBorder="1" applyAlignment="1">
      <alignment horizontal="center" vertical="center"/>
    </xf>
    <xf numFmtId="0" fontId="135" fillId="13" borderId="78" xfId="37" applyFont="1" applyFill="1" applyBorder="1" applyAlignment="1">
      <alignment horizontal="center" vertical="center"/>
    </xf>
    <xf numFmtId="0" fontId="135" fillId="13" borderId="9" xfId="37" applyFont="1" applyFill="1" applyBorder="1" applyAlignment="1">
      <alignment horizontal="center" vertical="center"/>
    </xf>
    <xf numFmtId="0" fontId="135" fillId="13" borderId="13" xfId="37" applyFont="1" applyFill="1" applyBorder="1" applyAlignment="1">
      <alignment horizontal="center" vertical="center"/>
    </xf>
    <xf numFmtId="0" fontId="135" fillId="13" borderId="14" xfId="37" applyFont="1" applyFill="1" applyBorder="1" applyAlignment="1">
      <alignment horizontal="center" vertical="center"/>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0" fillId="0" borderId="0" xfId="37" applyFont="1" applyAlignment="1">
      <alignment horizontal="left" vertical="center" wrapText="1"/>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91" fillId="0" borderId="0" xfId="37" applyFont="1" applyAlignment="1">
      <alignment horizontal="center" vertical="center" wrapText="1"/>
    </xf>
    <xf numFmtId="0" fontId="135" fillId="5" borderId="75" xfId="37" applyFont="1" applyFill="1" applyBorder="1" applyAlignment="1" applyProtection="1">
      <alignment horizontal="center" vertical="center"/>
      <protection locked="0"/>
    </xf>
    <xf numFmtId="0" fontId="135" fillId="5" borderId="79" xfId="37" applyFont="1" applyFill="1" applyBorder="1" applyAlignment="1" applyProtection="1">
      <alignment horizontal="center" vertical="center"/>
      <protection locked="0"/>
    </xf>
    <xf numFmtId="0" fontId="135" fillId="5" borderId="76" xfId="37" applyFont="1" applyFill="1" applyBorder="1" applyAlignment="1" applyProtection="1">
      <alignment horizontal="center" vertical="center"/>
      <protection locked="0"/>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266" fillId="0" borderId="115" xfId="37" applyFont="1" applyBorder="1" applyAlignment="1">
      <alignment horizontal="center" vertical="center"/>
    </xf>
    <xf numFmtId="0" fontId="266" fillId="0" borderId="85" xfId="37" applyFont="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0" fontId="4" fillId="5" borderId="75" xfId="37" applyFill="1" applyBorder="1" applyAlignment="1" applyProtection="1">
      <alignment horizontal="left" vertical="top" wrapText="1"/>
      <protection locked="0"/>
    </xf>
    <xf numFmtId="0" fontId="4" fillId="5" borderId="79" xfId="37" applyFill="1" applyBorder="1" applyAlignment="1" applyProtection="1">
      <alignment horizontal="left" vertical="top" wrapText="1"/>
      <protection locked="0"/>
    </xf>
    <xf numFmtId="0" fontId="4" fillId="5" borderId="76" xfId="37" applyFill="1" applyBorder="1" applyAlignment="1" applyProtection="1">
      <alignment horizontal="left" vertical="top" wrapText="1"/>
      <protection locked="0"/>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0" fontId="10" fillId="0" borderId="13" xfId="37" applyFont="1" applyBorder="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5" borderId="83" xfId="37" applyFont="1" applyFill="1" applyBorder="1" applyAlignment="1" applyProtection="1">
      <alignment horizontal="left" vertical="center"/>
      <protection locked="0"/>
    </xf>
    <xf numFmtId="0" fontId="10" fillId="5" borderId="83" xfId="37" applyFont="1" applyFill="1" applyBorder="1" applyAlignment="1" applyProtection="1">
      <alignment horizontal="center" vertical="center"/>
      <protection locked="0"/>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10" borderId="125" xfId="37" applyFont="1" applyFill="1" applyBorder="1" applyAlignment="1" applyProtection="1">
      <alignment horizontal="left" vertical="top" wrapText="1"/>
      <protection locked="0"/>
    </xf>
    <xf numFmtId="0" fontId="10" fillId="10" borderId="126" xfId="37" applyFont="1" applyFill="1" applyBorder="1" applyAlignment="1" applyProtection="1">
      <alignment horizontal="left" vertical="top" wrapText="1"/>
      <protection locked="0"/>
    </xf>
    <xf numFmtId="0" fontId="10" fillId="10" borderId="127" xfId="37" applyFont="1" applyFill="1" applyBorder="1" applyAlignment="1" applyProtection="1">
      <alignment horizontal="left" vertical="top" wrapText="1"/>
      <protection locked="0"/>
    </xf>
    <xf numFmtId="0" fontId="10" fillId="10" borderId="30" xfId="37" applyFont="1" applyFill="1" applyBorder="1" applyAlignment="1" applyProtection="1">
      <alignment horizontal="left" vertical="top" wrapText="1"/>
      <protection locked="0"/>
    </xf>
    <xf numFmtId="0" fontId="10" fillId="10" borderId="21" xfId="37" applyFont="1" applyFill="1" applyBorder="1" applyAlignment="1" applyProtection="1">
      <alignment horizontal="left" vertical="top" wrapText="1"/>
      <protection locked="0"/>
    </xf>
    <xf numFmtId="0" fontId="10" fillId="10" borderId="31" xfId="37" applyFont="1" applyFill="1" applyBorder="1" applyAlignment="1" applyProtection="1">
      <alignment horizontal="left" vertical="top" wrapText="1"/>
      <protection locked="0"/>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center" vertical="top" wrapText="1"/>
      <protection locked="0"/>
    </xf>
    <xf numFmtId="0" fontId="10" fillId="10" borderId="31" xfId="37" applyFont="1" applyFill="1" applyBorder="1" applyAlignment="1" applyProtection="1">
      <alignment horizontal="center" vertical="top" wrapText="1"/>
      <protection locked="0"/>
    </xf>
    <xf numFmtId="0" fontId="10" fillId="5" borderId="30" xfId="37" applyFont="1" applyFill="1" applyBorder="1" applyAlignment="1" applyProtection="1">
      <alignment horizontal="center" vertical="top"/>
      <protection locked="0"/>
    </xf>
    <xf numFmtId="0" fontId="10" fillId="5" borderId="31" xfId="37" applyFont="1" applyFill="1" applyBorder="1" applyAlignment="1" applyProtection="1">
      <alignment horizontal="center" vertical="top"/>
      <protection locked="0"/>
    </xf>
    <xf numFmtId="0" fontId="10" fillId="10" borderId="125" xfId="37" applyFont="1" applyFill="1" applyBorder="1" applyAlignment="1" applyProtection="1">
      <alignment horizontal="center" vertical="top" wrapText="1"/>
      <protection locked="0"/>
    </xf>
    <xf numFmtId="0" fontId="10" fillId="10" borderId="127" xfId="37" applyFont="1" applyFill="1" applyBorder="1" applyAlignment="1" applyProtection="1">
      <alignment horizontal="center" vertical="top" wrapText="1"/>
      <protection locked="0"/>
    </xf>
    <xf numFmtId="0" fontId="10" fillId="5" borderId="125" xfId="37" applyFont="1" applyFill="1" applyBorder="1" applyAlignment="1" applyProtection="1">
      <alignment horizontal="center" vertical="top"/>
      <protection locked="0"/>
    </xf>
    <xf numFmtId="0" fontId="10" fillId="5" borderId="127" xfId="37" applyFont="1" applyFill="1" applyBorder="1" applyAlignment="1" applyProtection="1">
      <alignment horizontal="center" vertical="top"/>
      <protection locked="0"/>
    </xf>
    <xf numFmtId="0" fontId="4" fillId="0" borderId="19" xfId="37" applyBorder="1" applyAlignment="1">
      <alignment horizontal="center" wrapText="1"/>
    </xf>
    <xf numFmtId="0" fontId="10" fillId="5" borderId="126" xfId="37" applyFont="1" applyFill="1" applyBorder="1" applyAlignment="1" applyProtection="1">
      <alignment horizontal="center" vertical="top"/>
      <protection locked="0"/>
    </xf>
    <xf numFmtId="0" fontId="10" fillId="5" borderId="21" xfId="37" applyFont="1" applyFill="1" applyBorder="1" applyAlignment="1" applyProtection="1">
      <alignment horizontal="center" vertical="top"/>
      <protection locked="0"/>
    </xf>
    <xf numFmtId="0" fontId="5" fillId="13" borderId="125" xfId="37" applyFont="1" applyFill="1" applyBorder="1" applyAlignment="1">
      <alignment horizontal="center" vertical="top" wrapText="1"/>
    </xf>
    <xf numFmtId="0" fontId="5" fillId="13" borderId="127" xfId="37" applyFont="1" applyFill="1" applyBorder="1" applyAlignment="1">
      <alignment horizontal="center" vertical="top" wrapText="1"/>
    </xf>
    <xf numFmtId="0" fontId="5" fillId="13" borderId="30" xfId="37" applyFont="1" applyFill="1" applyBorder="1" applyAlignment="1">
      <alignment horizontal="center" vertical="top" wrapText="1"/>
    </xf>
    <xf numFmtId="0" fontId="5" fillId="13" borderId="31" xfId="37" applyFont="1" applyFill="1" applyBorder="1" applyAlignment="1">
      <alignment horizontal="center" vertical="top" wrapText="1"/>
    </xf>
    <xf numFmtId="0" fontId="4" fillId="10" borderId="125" xfId="37" applyFill="1" applyBorder="1" applyAlignment="1" applyProtection="1">
      <alignment horizontal="left" vertical="center" wrapText="1"/>
      <protection locked="0"/>
    </xf>
    <xf numFmtId="0" fontId="4" fillId="10" borderId="126" xfId="37" applyFill="1" applyBorder="1" applyAlignment="1" applyProtection="1">
      <alignment horizontal="left" vertical="center" wrapText="1"/>
      <protection locked="0"/>
    </xf>
    <xf numFmtId="0" fontId="4" fillId="10" borderId="127" xfId="37" applyFill="1" applyBorder="1" applyAlignment="1" applyProtection="1">
      <alignment horizontal="left" vertical="center" wrapText="1"/>
      <protection locked="0"/>
    </xf>
    <xf numFmtId="0" fontId="4" fillId="10" borderId="30" xfId="37" applyFill="1" applyBorder="1" applyAlignment="1" applyProtection="1">
      <alignment horizontal="left" vertical="center" wrapText="1"/>
      <protection locked="0"/>
    </xf>
    <xf numFmtId="0" fontId="4" fillId="10" borderId="21" xfId="37" applyFill="1" applyBorder="1" applyAlignment="1" applyProtection="1">
      <alignment horizontal="left" vertical="center" wrapText="1"/>
      <protection locked="0"/>
    </xf>
    <xf numFmtId="0" fontId="4" fillId="10" borderId="31"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4" fillId="10" borderId="58" xfId="37" applyFill="1" applyBorder="1" applyAlignment="1" applyProtection="1">
      <alignment horizontal="left" vertical="center" wrapText="1"/>
      <protection locked="0"/>
    </xf>
    <xf numFmtId="0" fontId="4" fillId="10" borderId="34" xfId="37"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top" wrapText="1"/>
      <protection locked="0"/>
    </xf>
    <xf numFmtId="0" fontId="10" fillId="10" borderId="34" xfId="37" applyFont="1" applyFill="1" applyBorder="1" applyAlignment="1" applyProtection="1">
      <alignment horizontal="center" vertical="top" wrapText="1"/>
      <protection locked="0"/>
    </xf>
    <xf numFmtId="0" fontId="10" fillId="5" borderId="33" xfId="37" applyFont="1" applyFill="1" applyBorder="1" applyAlignment="1" applyProtection="1">
      <alignment horizontal="center" vertical="top"/>
      <protection locked="0"/>
    </xf>
    <xf numFmtId="0" fontId="10" fillId="5" borderId="34" xfId="37" applyFont="1" applyFill="1" applyBorder="1" applyAlignment="1" applyProtection="1">
      <alignment horizontal="center" vertical="top"/>
      <protection locked="0"/>
    </xf>
    <xf numFmtId="0" fontId="10" fillId="10" borderId="33" xfId="37" applyFont="1" applyFill="1" applyBorder="1" applyAlignment="1" applyProtection="1">
      <alignment horizontal="left" vertical="top" wrapText="1"/>
      <protection locked="0"/>
    </xf>
    <xf numFmtId="0" fontId="10" fillId="10" borderId="58" xfId="37" applyFont="1" applyFill="1" applyBorder="1" applyAlignment="1" applyProtection="1">
      <alignment horizontal="left" vertical="top" wrapText="1"/>
      <protection locked="0"/>
    </xf>
    <xf numFmtId="0" fontId="10" fillId="10" borderId="34" xfId="37" applyFont="1" applyFill="1" applyBorder="1" applyAlignment="1" applyProtection="1">
      <alignment horizontal="left" vertical="top" wrapText="1"/>
      <protection locked="0"/>
    </xf>
    <xf numFmtId="0" fontId="10" fillId="5" borderId="58" xfId="37" applyFont="1" applyFill="1" applyBorder="1" applyAlignment="1" applyProtection="1">
      <alignment horizontal="center" vertical="top"/>
      <protection locked="0"/>
    </xf>
    <xf numFmtId="10" fontId="10" fillId="10" borderId="30"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49" fontId="10" fillId="10" borderId="30" xfId="37" applyNumberFormat="1" applyFont="1" applyFill="1" applyBorder="1" applyAlignment="1" applyProtection="1">
      <alignment horizontal="left" vertical="center"/>
      <protection locked="0"/>
    </xf>
    <xf numFmtId="49" fontId="10" fillId="10" borderId="21" xfId="37" applyNumberFormat="1" applyFont="1" applyFill="1" applyBorder="1" applyAlignment="1" applyProtection="1">
      <alignment horizontal="left" vertical="center"/>
      <protection locked="0"/>
    </xf>
    <xf numFmtId="49" fontId="10" fillId="10" borderId="31" xfId="37" applyNumberFormat="1" applyFont="1" applyFill="1" applyBorder="1" applyAlignment="1" applyProtection="1">
      <alignment horizontal="left" vertical="center"/>
      <protection locked="0"/>
    </xf>
    <xf numFmtId="0" fontId="10" fillId="31" borderId="75" xfId="37" applyFont="1" applyFill="1" applyBorder="1" applyAlignment="1" applyProtection="1">
      <alignment horizontal="center" vertical="center" wrapText="1"/>
      <protection locked="0"/>
    </xf>
    <xf numFmtId="0" fontId="10" fillId="31" borderId="76" xfId="37" applyFont="1" applyFill="1" applyBorder="1" applyAlignment="1" applyProtection="1">
      <alignment horizontal="center" vertical="center" wrapText="1"/>
      <protection locked="0"/>
    </xf>
    <xf numFmtId="49" fontId="10" fillId="31" borderId="75" xfId="37" applyNumberFormat="1" applyFont="1" applyFill="1" applyBorder="1" applyAlignment="1" applyProtection="1">
      <alignment horizontal="left" vertical="center" wrapText="1"/>
      <protection locked="0"/>
    </xf>
    <xf numFmtId="49" fontId="10" fillId="31" borderId="79" xfId="37" applyNumberFormat="1" applyFont="1" applyFill="1" applyBorder="1" applyAlignment="1" applyProtection="1">
      <alignment horizontal="left" vertical="center" wrapText="1"/>
      <protection locked="0"/>
    </xf>
    <xf numFmtId="49" fontId="10" fillId="31"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wrapText="1"/>
    </xf>
    <xf numFmtId="10" fontId="10" fillId="10" borderId="125" xfId="37" applyNumberFormat="1" applyFont="1" applyFill="1" applyBorder="1" applyAlignment="1" applyProtection="1">
      <alignment horizontal="center" vertical="center"/>
      <protection locked="0"/>
    </xf>
    <xf numFmtId="10" fontId="10" fillId="10" borderId="127" xfId="37" applyNumberFormat="1" applyFont="1" applyFill="1" applyBorder="1" applyAlignment="1" applyProtection="1">
      <alignment horizontal="center" vertical="center"/>
      <protection locked="0"/>
    </xf>
    <xf numFmtId="10" fontId="10" fillId="13" borderId="125" xfId="37" applyNumberFormat="1" applyFont="1" applyFill="1" applyBorder="1" applyAlignment="1">
      <alignment horizontal="center" vertical="center"/>
    </xf>
    <xf numFmtId="10" fontId="10" fillId="13" borderId="127" xfId="37" applyNumberFormat="1" applyFont="1" applyFill="1" applyBorder="1" applyAlignment="1">
      <alignment horizontal="center" vertical="center"/>
    </xf>
    <xf numFmtId="49" fontId="10" fillId="10" borderId="125" xfId="37" applyNumberFormat="1" applyFont="1" applyFill="1" applyBorder="1" applyAlignment="1" applyProtection="1">
      <alignment horizontal="left" vertical="center"/>
      <protection locked="0"/>
    </xf>
    <xf numFmtId="49" fontId="10" fillId="10" borderId="126" xfId="37" applyNumberFormat="1" applyFont="1" applyFill="1" applyBorder="1" applyAlignment="1" applyProtection="1">
      <alignment horizontal="left" vertical="center"/>
      <protection locked="0"/>
    </xf>
    <xf numFmtId="49" fontId="10" fillId="10" borderId="127" xfId="37" applyNumberFormat="1" applyFont="1" applyFill="1" applyBorder="1" applyAlignment="1" applyProtection="1">
      <alignment horizontal="left" vertical="center"/>
      <protection locked="0"/>
    </xf>
    <xf numFmtId="0" fontId="26" fillId="0" borderId="13" xfId="37" applyFont="1" applyBorder="1" applyAlignment="1">
      <alignment horizontal="left" vertical="top" wrapText="1"/>
    </xf>
    <xf numFmtId="0" fontId="135" fillId="0" borderId="0" xfId="37" applyFont="1" applyAlignment="1">
      <alignment horizontal="center" vertical="center" wrapText="1"/>
    </xf>
    <xf numFmtId="10" fontId="10" fillId="10" borderId="33" xfId="37" applyNumberFormat="1" applyFont="1" applyFill="1" applyBorder="1" applyAlignment="1" applyProtection="1">
      <alignment horizontal="center" vertical="center"/>
      <protection locked="0"/>
    </xf>
    <xf numFmtId="10" fontId="10" fillId="10" borderId="34"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lignment horizontal="center" vertical="center"/>
    </xf>
    <xf numFmtId="10" fontId="10" fillId="13" borderId="34" xfId="37" applyNumberFormat="1" applyFont="1" applyFill="1" applyBorder="1" applyAlignment="1">
      <alignment horizontal="center" vertical="center"/>
    </xf>
    <xf numFmtId="49" fontId="10" fillId="10" borderId="33" xfId="37" applyNumberFormat="1" applyFont="1" applyFill="1" applyBorder="1" applyAlignment="1" applyProtection="1">
      <alignment horizontal="left" vertical="center"/>
      <protection locked="0"/>
    </xf>
    <xf numFmtId="49" fontId="10" fillId="10" borderId="58" xfId="37" applyNumberFormat="1" applyFont="1" applyFill="1" applyBorder="1" applyAlignment="1" applyProtection="1">
      <alignment horizontal="left" vertical="center"/>
      <protection locked="0"/>
    </xf>
    <xf numFmtId="49" fontId="10" fillId="10" borderId="34"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13" xfId="37" applyFont="1" applyBorder="1" applyAlignment="1">
      <alignment horizontal="center" wrapText="1"/>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pplyProtection="1">
      <alignment horizontal="left" vertical="center"/>
      <protection locked="0"/>
    </xf>
    <xf numFmtId="0" fontId="10" fillId="5" borderId="126" xfId="37" applyFont="1" applyFill="1" applyBorder="1" applyAlignment="1" applyProtection="1">
      <alignment horizontal="left" vertical="center"/>
      <protection locked="0"/>
    </xf>
    <xf numFmtId="0" fontId="10" fillId="5" borderId="127" xfId="37" applyFont="1" applyFill="1" applyBorder="1" applyAlignment="1" applyProtection="1">
      <alignment horizontal="left" vertical="center"/>
      <protection locked="0"/>
    </xf>
    <xf numFmtId="0" fontId="10" fillId="5" borderId="33" xfId="37" applyFont="1" applyFill="1" applyBorder="1" applyAlignment="1" applyProtection="1">
      <alignment horizontal="left" vertical="center"/>
      <protection locked="0"/>
    </xf>
    <xf numFmtId="0" fontId="10" fillId="5" borderId="58" xfId="37" applyFont="1" applyFill="1" applyBorder="1" applyAlignment="1" applyProtection="1">
      <alignment horizontal="left" vertical="center"/>
      <protection locked="0"/>
    </xf>
    <xf numFmtId="0" fontId="10" fillId="5" borderId="34" xfId="37" applyFont="1" applyFill="1" applyBorder="1" applyAlignment="1" applyProtection="1">
      <alignment horizontal="left" vertical="center"/>
      <protection locked="0"/>
    </xf>
    <xf numFmtId="0" fontId="43" fillId="0" borderId="0" xfId="37" applyFont="1" applyAlignment="1">
      <alignment horizontal="center" wrapText="1"/>
    </xf>
    <xf numFmtId="0" fontId="287" fillId="0" borderId="0" xfId="37" applyFont="1" applyAlignment="1">
      <alignment horizontal="center" vertical="center" wrapText="1"/>
    </xf>
    <xf numFmtId="0" fontId="10" fillId="13" borderId="83" xfId="37" applyFont="1" applyFill="1" applyBorder="1" applyAlignment="1">
      <alignment horizontal="center" vertical="center"/>
    </xf>
    <xf numFmtId="0" fontId="4" fillId="10" borderId="128" xfId="37" applyFill="1" applyBorder="1" applyAlignment="1" applyProtection="1">
      <alignment horizontal="left" vertical="top"/>
      <protection locked="0"/>
    </xf>
    <xf numFmtId="0" fontId="4" fillId="10" borderId="128" xfId="37" applyFill="1" applyBorder="1" applyAlignment="1" applyProtection="1">
      <alignment horizontal="left" vertical="top" wrapText="1"/>
      <protection locked="0"/>
    </xf>
    <xf numFmtId="4" fontId="10" fillId="10" borderId="128" xfId="37" applyNumberFormat="1" applyFont="1" applyFill="1" applyBorder="1" applyAlignment="1" applyProtection="1">
      <alignment horizontal="center" vertical="top"/>
      <protection locked="0"/>
    </xf>
    <xf numFmtId="3" fontId="10" fillId="10" borderId="128" xfId="37" applyNumberFormat="1" applyFont="1" applyFill="1" applyBorder="1" applyAlignment="1" applyProtection="1">
      <alignment horizontal="center" vertical="center"/>
      <protection locked="0"/>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4" fillId="10" borderId="18" xfId="37" applyFill="1" applyBorder="1" applyAlignment="1" applyProtection="1">
      <alignment horizontal="left" vertical="top"/>
      <protection locked="0"/>
    </xf>
    <xf numFmtId="0" fontId="4" fillId="10" borderId="18" xfId="37" applyFill="1" applyBorder="1" applyAlignment="1" applyProtection="1">
      <alignment horizontal="left" vertical="top" wrapText="1"/>
      <protection locked="0"/>
    </xf>
    <xf numFmtId="4" fontId="10" fillId="10" borderId="18" xfId="37" applyNumberFormat="1" applyFont="1" applyFill="1" applyBorder="1" applyAlignment="1" applyProtection="1">
      <alignment horizontal="center" vertical="top"/>
      <protection locked="0"/>
    </xf>
    <xf numFmtId="3" fontId="10" fillId="10" borderId="18" xfId="37" applyNumberFormat="1" applyFont="1" applyFill="1" applyBorder="1" applyAlignment="1" applyProtection="1">
      <alignment horizontal="center" vertical="center"/>
      <protection locked="0"/>
    </xf>
    <xf numFmtId="0" fontId="115" fillId="0" borderId="40" xfId="37" applyFont="1" applyBorder="1" applyAlignment="1">
      <alignment horizontal="center"/>
    </xf>
    <xf numFmtId="0" fontId="115" fillId="0" borderId="0" xfId="37" applyFont="1" applyAlignment="1">
      <alignment horizontal="center"/>
    </xf>
    <xf numFmtId="0" fontId="115" fillId="0" borderId="7" xfId="37" applyFont="1" applyBorder="1" applyAlignment="1">
      <alignment horizontal="center"/>
    </xf>
    <xf numFmtId="0" fontId="10" fillId="10" borderId="128" xfId="37" applyFont="1" applyFill="1" applyBorder="1" applyAlignment="1" applyProtection="1">
      <alignment horizontal="left" vertical="center"/>
      <protection locked="0"/>
    </xf>
    <xf numFmtId="0" fontId="10" fillId="10" borderId="128" xfId="37"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10" fillId="10" borderId="75" xfId="37" applyFont="1" applyFill="1" applyBorder="1" applyAlignment="1" applyProtection="1">
      <alignment horizontal="center"/>
      <protection locked="0"/>
    </xf>
    <xf numFmtId="0" fontId="10" fillId="10" borderId="79" xfId="37" applyFont="1" applyFill="1" applyBorder="1" applyAlignment="1" applyProtection="1">
      <alignment horizontal="center"/>
      <protection locked="0"/>
    </xf>
    <xf numFmtId="0" fontId="10" fillId="10" borderId="76" xfId="37" applyFont="1" applyFill="1" applyBorder="1" applyAlignment="1" applyProtection="1">
      <alignment horizontal="center"/>
      <protection locked="0"/>
    </xf>
    <xf numFmtId="0" fontId="26" fillId="10" borderId="75" xfId="37" applyFont="1" applyFill="1" applyBorder="1" applyAlignment="1" applyProtection="1">
      <alignment horizontal="center" vertical="center"/>
      <protection locked="0"/>
    </xf>
    <xf numFmtId="0" fontId="26" fillId="10" borderId="79" xfId="37" applyFont="1" applyFill="1" applyBorder="1" applyAlignment="1" applyProtection="1">
      <alignment horizontal="center" vertical="center"/>
      <protection locked="0"/>
    </xf>
    <xf numFmtId="0" fontId="26" fillId="10" borderId="76" xfId="37" applyFont="1" applyFill="1" applyBorder="1" applyAlignment="1" applyProtection="1">
      <alignment horizontal="center" vertical="center"/>
      <protection locked="0"/>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5" fillId="13" borderId="33" xfId="37" applyFont="1" applyFill="1" applyBorder="1" applyAlignment="1">
      <alignment horizontal="center" vertical="top" wrapText="1"/>
    </xf>
    <xf numFmtId="0" fontId="5" fillId="13" borderId="34" xfId="37" applyFont="1" applyFill="1" applyBorder="1" applyAlignment="1">
      <alignment horizontal="center" vertical="top" wrapText="1"/>
    </xf>
    <xf numFmtId="0" fontId="266" fillId="0" borderId="75" xfId="37" applyFont="1" applyBorder="1" applyAlignment="1">
      <alignment horizontal="center" vertical="center" wrapText="1"/>
    </xf>
    <xf numFmtId="0" fontId="266" fillId="0" borderId="76" xfId="37" applyFont="1" applyBorder="1" applyAlignment="1">
      <alignment horizontal="center" vertical="center" wrapText="1"/>
    </xf>
    <xf numFmtId="0" fontId="228" fillId="0" borderId="0" xfId="37" applyFont="1" applyAlignment="1">
      <alignment horizontal="center" vertical="center" wrapText="1"/>
    </xf>
    <xf numFmtId="0" fontId="228" fillId="0" borderId="0" xfId="37" applyFont="1" applyAlignment="1">
      <alignment horizontal="center" vertical="center"/>
    </xf>
    <xf numFmtId="0" fontId="250" fillId="0" borderId="0" xfId="37" applyFont="1" applyAlignment="1">
      <alignment horizontal="center"/>
    </xf>
    <xf numFmtId="0" fontId="228" fillId="0" borderId="0" xfId="37" applyFont="1" applyAlignment="1">
      <alignment horizontal="center"/>
    </xf>
    <xf numFmtId="0" fontId="260" fillId="0" borderId="75" xfId="37" applyFont="1" applyBorder="1" applyAlignment="1">
      <alignment horizontal="center" vertical="center" wrapText="1"/>
    </xf>
    <xf numFmtId="0" fontId="260" fillId="0" borderId="76" xfId="37" applyFont="1" applyBorder="1" applyAlignment="1">
      <alignment horizontal="center" vertical="center" wrapText="1"/>
    </xf>
    <xf numFmtId="0" fontId="266" fillId="0" borderId="83" xfId="37" applyFont="1" applyBorder="1" applyAlignment="1">
      <alignment horizontal="center" vertical="center" wrapText="1"/>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26" fillId="0" borderId="80" xfId="37" applyFont="1" applyBorder="1" applyAlignment="1">
      <alignment horizontal="center" vertical="center"/>
    </xf>
    <xf numFmtId="0" fontId="260" fillId="0" borderId="56" xfId="37" applyFont="1" applyBorder="1" applyAlignment="1">
      <alignment horizontal="center" vertical="center"/>
    </xf>
    <xf numFmtId="0" fontId="260" fillId="0" borderId="1" xfId="37" applyFont="1" applyBorder="1" applyAlignment="1">
      <alignment horizontal="center" vertical="center"/>
    </xf>
    <xf numFmtId="0" fontId="260" fillId="0" borderId="35" xfId="37" applyFont="1" applyBorder="1" applyAlignment="1">
      <alignment horizontal="center" vertical="center"/>
    </xf>
    <xf numFmtId="0" fontId="266" fillId="0" borderId="56" xfId="37" applyFont="1" applyBorder="1" applyAlignment="1">
      <alignment horizontal="center" vertical="center"/>
    </xf>
    <xf numFmtId="0" fontId="266" fillId="0" borderId="1" xfId="37" applyFont="1" applyBorder="1" applyAlignment="1">
      <alignment horizontal="center" vertical="center"/>
    </xf>
    <xf numFmtId="0" fontId="266" fillId="0" borderId="3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10" fillId="10" borderId="18" xfId="37" applyFont="1" applyFill="1" applyBorder="1" applyAlignment="1" applyProtection="1">
      <alignment horizontal="center" vertical="center"/>
      <protection locked="0"/>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2"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0" fillId="11" borderId="30" xfId="34" applyNumberFormat="1" applyFont="1" applyFill="1" applyBorder="1" applyAlignment="1" applyProtection="1">
      <alignment horizontal="center" vertical="center"/>
      <protection locked="0"/>
    </xf>
    <xf numFmtId="164" fontId="210" fillId="11" borderId="180" xfId="34" applyNumberFormat="1" applyFont="1" applyFill="1" applyBorder="1" applyAlignment="1" applyProtection="1">
      <alignment horizontal="center" vertical="center"/>
      <protection locked="0"/>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7" fillId="0" borderId="0" xfId="0" applyFont="1" applyAlignment="1">
      <alignment horizontal="left" vertical="top" wrapText="1"/>
    </xf>
    <xf numFmtId="0" fontId="113"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4"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5"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0" fontId="200"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1" t="s">
        <v>914</v>
      </c>
    </row>
    <row r="2" spans="1:6" ht="15" customHeight="1">
      <c r="A2" s="652" t="str">
        <f>'Part I-Project Identification'!F26</f>
        <v>Princeton Court</v>
      </c>
    </row>
    <row r="3" spans="1:6" ht="15" customHeight="1">
      <c r="A3" s="652" t="str">
        <f>CONCATENATE('Part I-Project Identification'!F27,", ", 'Part I-Project Identification'!J27," County")</f>
        <v>College Park, Fulton County</v>
      </c>
    </row>
    <row r="4" spans="1:6" ht="12" customHeight="1">
      <c r="A4" s="1057"/>
    </row>
    <row r="5" spans="1:6" ht="72" customHeight="1">
      <c r="A5" s="3027" t="s">
        <v>3971</v>
      </c>
      <c r="B5" s="3028" t="s">
        <v>3772</v>
      </c>
      <c r="C5" s="3028"/>
      <c r="D5" s="3028"/>
      <c r="E5" s="3028"/>
      <c r="F5" s="3028"/>
    </row>
    <row r="6" spans="1:6" ht="6.65" customHeight="1">
      <c r="A6" s="3027"/>
      <c r="B6" s="3028"/>
      <c r="C6" s="3028"/>
      <c r="D6" s="3028"/>
      <c r="E6" s="3028"/>
      <c r="F6" s="3028"/>
    </row>
    <row r="7" spans="1:6" ht="72" customHeight="1">
      <c r="A7" s="3027"/>
      <c r="B7" s="3028"/>
      <c r="C7" s="3028"/>
      <c r="D7" s="3028"/>
      <c r="E7" s="3028"/>
      <c r="F7" s="3028"/>
    </row>
    <row r="8" spans="1:6" ht="6.65" customHeight="1">
      <c r="A8" s="3027"/>
    </row>
    <row r="9" spans="1:6" ht="72" customHeight="1">
      <c r="A9" s="3027"/>
    </row>
    <row r="10" spans="1:6" ht="6.65" customHeight="1">
      <c r="A10" s="3027"/>
    </row>
    <row r="11" spans="1:6" ht="72" customHeight="1">
      <c r="A11" s="3027"/>
    </row>
    <row r="12" spans="1:6" ht="6.65" customHeight="1">
      <c r="A12" s="3027"/>
    </row>
    <row r="13" spans="1:6" ht="72" customHeight="1">
      <c r="A13" s="3027"/>
    </row>
    <row r="14" spans="1:6" ht="6.65" customHeight="1">
      <c r="A14" s="3027"/>
    </row>
    <row r="15" spans="1:6" ht="72" customHeight="1">
      <c r="A15" s="3027"/>
    </row>
    <row r="16" spans="1:6" ht="6.65" customHeight="1">
      <c r="A16" s="3027"/>
    </row>
    <row r="17" spans="1:1" ht="72" customHeight="1">
      <c r="A17" s="3027"/>
    </row>
    <row r="18" spans="1:1" ht="6.65" customHeight="1">
      <c r="A18" s="3027"/>
    </row>
    <row r="19" spans="1:1" ht="72" customHeight="1">
      <c r="A19" s="3027"/>
    </row>
    <row r="20" spans="1:1" ht="6.65" customHeight="1">
      <c r="A20" s="3027"/>
    </row>
    <row r="21" spans="1:1" ht="72" customHeight="1">
      <c r="A21" s="3027"/>
    </row>
    <row r="22" spans="1:1" ht="6.65" customHeight="1">
      <c r="A22" s="3027"/>
    </row>
    <row r="23" spans="1:1" ht="72" customHeight="1">
      <c r="A23" s="3027"/>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67" zoomScaleNormal="100" workbookViewId="0">
      <selection activeCell="A283" sqref="A283:M283"/>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72" width="9.26953125" style="356"/>
    <col min="173" max="173" width="12.54296875" style="356" customWidth="1"/>
    <col min="174" max="174" width="8.26953125" style="356" customWidth="1"/>
    <col min="175" max="178" width="7.26953125" style="356" customWidth="1"/>
    <col min="179" max="179" width="8.26953125" style="356" customWidth="1"/>
    <col min="180" max="183" width="7.26953125" style="356" customWidth="1"/>
    <col min="184" max="193" width="9.26953125" style="356"/>
    <col min="194" max="194" width="8.26953125" style="356" customWidth="1"/>
    <col min="195" max="198" width="7.26953125" style="356" customWidth="1"/>
    <col min="199" max="203" width="9.26953125" style="356"/>
    <col min="204" max="204" width="8.26953125" style="356" customWidth="1"/>
    <col min="205" max="208" width="7.26953125" style="356" customWidth="1"/>
    <col min="209" max="288" width="9.26953125" style="356"/>
    <col min="289" max="293" width="11.26953125" style="356" customWidth="1"/>
    <col min="294" max="308" width="9.26953125" style="356"/>
    <col min="309" max="309" width="10.26953125" style="356" customWidth="1"/>
    <col min="310" max="313" width="10" style="356" customWidth="1"/>
    <col min="314" max="317" width="9.26953125" style="356"/>
    <col min="318" max="318" width="9.26953125" style="1640"/>
    <col min="319" max="322" width="9.26953125" style="356"/>
    <col min="323" max="323" width="9.26953125" style="1640"/>
    <col min="324" max="327" width="11.453125" style="356" customWidth="1"/>
    <col min="328" max="328" width="11.453125" style="1640" customWidth="1"/>
    <col min="329" max="332" width="11.453125" style="356" customWidth="1"/>
    <col min="333" max="333" width="11.453125" style="1640" customWidth="1"/>
    <col min="334" max="348" width="9.26953125" style="1640"/>
    <col min="349" max="353" width="11" style="1640" customWidth="1"/>
    <col min="354" max="354" width="9.26953125" style="1640"/>
    <col min="355" max="360" width="9.26953125" style="356"/>
    <col min="361" max="361" width="9.26953125" style="360"/>
    <col min="362" max="376" width="9.26953125" style="356"/>
    <col min="377" max="378" width="9.26953125" style="360"/>
    <col min="379" max="385" width="10.26953125" style="356" customWidth="1"/>
    <col min="386" max="388" width="9.26953125" style="356"/>
    <col min="389" max="389" width="10.453125" style="356" customWidth="1"/>
    <col min="390" max="393" width="10.26953125" style="356" customWidth="1"/>
    <col min="394" max="411" width="9.26953125" style="356"/>
    <col min="412" max="414" width="9.26953125" style="115"/>
    <col min="415" max="415" width="9.26953125" style="2498"/>
    <col min="416" max="416" width="9.26953125" style="2502"/>
    <col min="417" max="528" width="9.26953125" style="115"/>
    <col min="529" max="16384" width="9.26953125" style="62"/>
  </cols>
  <sheetData>
    <row r="1" spans="1:528" s="1621" customFormat="1" ht="12.75" hidden="1" customHeight="1">
      <c r="B1" s="1621" t="s">
        <v>4287</v>
      </c>
      <c r="C1" s="1621" t="s">
        <v>164</v>
      </c>
      <c r="D1" s="1621" t="s">
        <v>166</v>
      </c>
      <c r="E1" s="1621" t="s">
        <v>4288</v>
      </c>
      <c r="F1" s="1621" t="s">
        <v>4289</v>
      </c>
      <c r="G1" s="1621" t="s">
        <v>4290</v>
      </c>
      <c r="H1" s="1621" t="s">
        <v>4291</v>
      </c>
      <c r="I1" s="1621" t="s">
        <v>4292</v>
      </c>
      <c r="J1" s="1621" t="s">
        <v>4293</v>
      </c>
      <c r="K1" s="1621" t="s">
        <v>3052</v>
      </c>
      <c r="L1" s="1621" t="s">
        <v>4294</v>
      </c>
      <c r="M1" s="1621" t="s">
        <v>4295</v>
      </c>
      <c r="N1" s="1621" t="s">
        <v>4296</v>
      </c>
      <c r="O1" s="1621" t="s">
        <v>4297</v>
      </c>
      <c r="P1" s="1621" t="s">
        <v>362</v>
      </c>
      <c r="Q1" s="1621" t="s">
        <v>4298</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2498"/>
      <c r="OZ1" s="2502">
        <v>1</v>
      </c>
      <c r="PA1" s="1848"/>
      <c r="PB1" s="1848"/>
      <c r="PC1" s="1848"/>
      <c r="PD1" s="1848"/>
      <c r="PE1" s="1848"/>
      <c r="PF1" s="1848"/>
      <c r="PG1" s="1848"/>
      <c r="PH1" s="1848"/>
      <c r="PI1" s="1848"/>
      <c r="PJ1" s="1848"/>
      <c r="PK1" s="1848"/>
      <c r="PL1" s="1848"/>
      <c r="PM1" s="1848"/>
      <c r="PN1" s="1848"/>
      <c r="PO1" s="1848"/>
      <c r="PP1" s="1848"/>
      <c r="PQ1" s="1848"/>
    </row>
    <row r="2" spans="1:528" s="69" customFormat="1" ht="14.15" customHeight="1">
      <c r="A2" s="3631" t="str">
        <f>CONCATENATE("PART FOUR - PROJECTED REVENUES &amp; EXPENSES","  -  ",'Part I-Project Identification'!$O$7," ",'Part I-Project Identification'!$F$26,", ",'Part I-Project Identification'!F27,", ",'Part I-Project Identification'!J27," County")</f>
        <v>PART FOUR - PROJECTED REVENUES &amp; EXPENSES  -  2025-5 Princeton Court, College Park, Fulton County</v>
      </c>
      <c r="B2" s="3632"/>
      <c r="C2" s="3632"/>
      <c r="D2" s="3632"/>
      <c r="E2" s="3632"/>
      <c r="F2" s="3632"/>
      <c r="G2" s="3632"/>
      <c r="H2" s="3632"/>
      <c r="I2" s="3632"/>
      <c r="J2" s="3632"/>
      <c r="K2" s="3632"/>
      <c r="L2" s="3632"/>
      <c r="M2" s="3632"/>
      <c r="N2" s="3632"/>
      <c r="O2" s="3632"/>
      <c r="P2" s="3632"/>
      <c r="Q2" s="3633"/>
      <c r="T2" s="1354" t="str">
        <f>A2</f>
        <v>PART FOUR - PROJECTED REVENUES &amp; EXPENSES  -  2025-5 Princeton Court, College Park, Fulton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2500"/>
      <c r="OZ2" s="2503">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2467"/>
      <c r="JJ3" s="2467"/>
      <c r="JK3" s="2467"/>
      <c r="JL3" s="2467"/>
      <c r="JM3" s="2467"/>
      <c r="JN3" s="2467"/>
      <c r="JO3" s="2467"/>
      <c r="JP3" s="2467"/>
      <c r="JQ3" s="2467"/>
      <c r="JR3" s="2467"/>
      <c r="JS3" s="2467"/>
      <c r="JT3" s="2467"/>
      <c r="JU3" s="2467"/>
      <c r="JV3" s="2467"/>
      <c r="JW3" s="2467"/>
      <c r="JX3" s="2467"/>
      <c r="JY3" s="2467"/>
      <c r="JZ3" s="2467"/>
      <c r="KA3" s="2467"/>
      <c r="KB3" s="2467"/>
      <c r="KC3" s="2467"/>
      <c r="KD3" s="2467"/>
      <c r="KE3" s="2467"/>
      <c r="KF3" s="2467"/>
      <c r="KG3" s="2467"/>
      <c r="KH3" s="2467"/>
      <c r="KI3" s="2467"/>
      <c r="KJ3" s="2467"/>
      <c r="KK3" s="2467"/>
      <c r="KL3" s="2467"/>
      <c r="KM3" s="2467"/>
      <c r="KN3" s="2467"/>
      <c r="KO3" s="2467"/>
      <c r="KP3" s="2467"/>
      <c r="KQ3" s="2467"/>
      <c r="KR3" s="2467"/>
      <c r="KS3" s="2467"/>
      <c r="KT3" s="2467"/>
      <c r="KU3" s="2467"/>
      <c r="KV3" s="2467"/>
      <c r="KW3" s="2467"/>
      <c r="KX3" s="2467"/>
      <c r="KY3" s="2467"/>
      <c r="KZ3" s="2467"/>
      <c r="LA3" s="2467"/>
      <c r="LB3" s="2467"/>
      <c r="LC3" s="2467"/>
      <c r="LD3" s="2467"/>
      <c r="LE3" s="2467"/>
      <c r="LF3" s="2467"/>
      <c r="LG3" s="2467"/>
      <c r="LH3" s="2467"/>
      <c r="LI3" s="2467"/>
      <c r="LJ3" s="2467"/>
      <c r="LK3" s="2467"/>
      <c r="LL3" s="2467"/>
      <c r="LM3" s="2467"/>
      <c r="LN3" s="2467"/>
      <c r="LO3" s="2467"/>
      <c r="LP3" s="2467"/>
      <c r="LQ3" s="2467"/>
      <c r="LR3" s="2467"/>
      <c r="LS3" s="2467"/>
      <c r="LT3" s="2467"/>
      <c r="LU3" s="246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2502">
        <v>3</v>
      </c>
    </row>
    <row r="4" spans="1:528" s="69" customFormat="1" ht="12.65" customHeight="1">
      <c r="A4" s="4" t="s">
        <v>572</v>
      </c>
      <c r="B4" s="4" t="s">
        <v>2177</v>
      </c>
      <c r="C4" s="1"/>
      <c r="D4" s="1421" t="s">
        <v>3991</v>
      </c>
      <c r="E4" s="1421"/>
      <c r="F4" s="1421"/>
      <c r="G4" s="1421"/>
      <c r="H4" s="1421"/>
      <c r="I4" s="1421"/>
      <c r="J4" s="1421"/>
      <c r="K4" s="93"/>
      <c r="L4" s="93"/>
      <c r="M4" s="93"/>
      <c r="O4" s="153" t="s">
        <v>533</v>
      </c>
      <c r="P4" s="3634" t="str">
        <f>'Part I-Project Identification'!$O$29</f>
        <v>Atlanta-Sandy Springs-Marietta</v>
      </c>
      <c r="Q4" s="3634"/>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2468"/>
      <c r="JJ4" s="2468"/>
      <c r="JK4" s="2468"/>
      <c r="JL4" s="2468"/>
      <c r="JM4" s="2468"/>
      <c r="JN4" s="2467" t="s">
        <v>456</v>
      </c>
      <c r="JO4" s="2467" t="s">
        <v>2239</v>
      </c>
      <c r="JP4" s="2467" t="s">
        <v>2240</v>
      </c>
      <c r="JQ4" s="2467" t="s">
        <v>2241</v>
      </c>
      <c r="JR4" s="2467" t="s">
        <v>2242</v>
      </c>
      <c r="JS4" s="2467" t="s">
        <v>456</v>
      </c>
      <c r="JT4" s="2467" t="s">
        <v>2239</v>
      </c>
      <c r="JU4" s="2467" t="s">
        <v>2240</v>
      </c>
      <c r="JV4" s="2467" t="s">
        <v>2241</v>
      </c>
      <c r="JW4" s="2467" t="s">
        <v>2242</v>
      </c>
      <c r="JX4" s="2468"/>
      <c r="JY4" s="2468"/>
      <c r="JZ4" s="2468"/>
      <c r="KA4" s="2468"/>
      <c r="KB4" s="2468"/>
      <c r="KC4" s="2468"/>
      <c r="KD4" s="2468"/>
      <c r="KE4" s="2468"/>
      <c r="KF4" s="2468"/>
      <c r="KG4" s="2468"/>
      <c r="KH4" s="2467" t="s">
        <v>456</v>
      </c>
      <c r="KI4" s="2467" t="s">
        <v>2239</v>
      </c>
      <c r="KJ4" s="2467" t="s">
        <v>2240</v>
      </c>
      <c r="KK4" s="2467" t="s">
        <v>2241</v>
      </c>
      <c r="KL4" s="2467" t="s">
        <v>2242</v>
      </c>
      <c r="KM4" s="2467" t="s">
        <v>456</v>
      </c>
      <c r="KN4" s="2467" t="s">
        <v>2239</v>
      </c>
      <c r="KO4" s="2467" t="s">
        <v>2240</v>
      </c>
      <c r="KP4" s="2467" t="s">
        <v>2241</v>
      </c>
      <c r="KQ4" s="2467" t="s">
        <v>2242</v>
      </c>
      <c r="KR4" s="2467" t="s">
        <v>456</v>
      </c>
      <c r="KS4" s="2467" t="s">
        <v>2239</v>
      </c>
      <c r="KT4" s="2467" t="s">
        <v>2240</v>
      </c>
      <c r="KU4" s="2467" t="s">
        <v>2241</v>
      </c>
      <c r="KV4" s="2467" t="s">
        <v>2242</v>
      </c>
      <c r="KW4" s="2467" t="s">
        <v>456</v>
      </c>
      <c r="KX4" s="2467" t="s">
        <v>2239</v>
      </c>
      <c r="KY4" s="2467" t="s">
        <v>2240</v>
      </c>
      <c r="KZ4" s="2467" t="s">
        <v>2241</v>
      </c>
      <c r="LA4" s="2467" t="s">
        <v>2242</v>
      </c>
      <c r="LB4" s="2467" t="s">
        <v>456</v>
      </c>
      <c r="LC4" s="2467" t="s">
        <v>2239</v>
      </c>
      <c r="LD4" s="2467" t="s">
        <v>2240</v>
      </c>
      <c r="LE4" s="2467" t="s">
        <v>2241</v>
      </c>
      <c r="LF4" s="2467" t="s">
        <v>2242</v>
      </c>
      <c r="LG4" s="2467" t="s">
        <v>456</v>
      </c>
      <c r="LH4" s="2467" t="s">
        <v>2239</v>
      </c>
      <c r="LI4" s="2467" t="s">
        <v>2240</v>
      </c>
      <c r="LJ4" s="2467" t="s">
        <v>2241</v>
      </c>
      <c r="LK4" s="2467" t="s">
        <v>2242</v>
      </c>
      <c r="LL4" s="2467" t="s">
        <v>456</v>
      </c>
      <c r="LM4" s="2467" t="s">
        <v>2239</v>
      </c>
      <c r="LN4" s="2467" t="s">
        <v>2240</v>
      </c>
      <c r="LO4" s="2467" t="s">
        <v>2241</v>
      </c>
      <c r="LP4" s="2467" t="s">
        <v>2242</v>
      </c>
      <c r="LQ4" s="2467" t="s">
        <v>456</v>
      </c>
      <c r="LR4" s="2467" t="s">
        <v>2239</v>
      </c>
      <c r="LS4" s="2467" t="s">
        <v>2240</v>
      </c>
      <c r="LT4" s="2467" t="s">
        <v>2241</v>
      </c>
      <c r="LU4" s="2467" t="s">
        <v>2242</v>
      </c>
      <c r="LV4" s="2467" t="s">
        <v>456</v>
      </c>
      <c r="LW4" s="2467" t="s">
        <v>2239</v>
      </c>
      <c r="LX4" s="2467" t="s">
        <v>2240</v>
      </c>
      <c r="LY4" s="2467" t="s">
        <v>2241</v>
      </c>
      <c r="LZ4" s="2467" t="s">
        <v>2242</v>
      </c>
      <c r="MA4" s="2467" t="s">
        <v>456</v>
      </c>
      <c r="MB4" s="2467" t="s">
        <v>2239</v>
      </c>
      <c r="MC4" s="2467" t="s">
        <v>2240</v>
      </c>
      <c r="MD4" s="2467" t="s">
        <v>2241</v>
      </c>
      <c r="ME4" s="2467" t="s">
        <v>2242</v>
      </c>
      <c r="MF4" s="2467" t="s">
        <v>456</v>
      </c>
      <c r="MG4" s="2467" t="s">
        <v>2239</v>
      </c>
      <c r="MH4" s="2467" t="s">
        <v>2240</v>
      </c>
      <c r="MI4" s="2467" t="s">
        <v>2241</v>
      </c>
      <c r="MJ4" s="2467" t="s">
        <v>2242</v>
      </c>
      <c r="MK4" s="2467" t="s">
        <v>456</v>
      </c>
      <c r="ML4" s="2467" t="s">
        <v>2239</v>
      </c>
      <c r="MM4" s="2467" t="s">
        <v>2240</v>
      </c>
      <c r="MN4" s="2467" t="s">
        <v>2241</v>
      </c>
      <c r="MO4" s="246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578" t="s">
        <v>2963</v>
      </c>
      <c r="NP4" s="3578" t="s">
        <v>2964</v>
      </c>
      <c r="NQ4" s="3578" t="s">
        <v>2965</v>
      </c>
      <c r="NR4" s="3578" t="s">
        <v>2966</v>
      </c>
      <c r="NS4" s="3578" t="s">
        <v>2967</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2500"/>
      <c r="OZ4" s="2503">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41" t="s">
        <v>3120</v>
      </c>
      <c r="R5" s="813"/>
      <c r="S5" s="336"/>
      <c r="T5" s="336"/>
      <c r="U5" s="336"/>
      <c r="W5" s="337"/>
      <c r="X5" s="3578" t="s">
        <v>3561</v>
      </c>
      <c r="Y5" s="3578" t="s">
        <v>3562</v>
      </c>
      <c r="Z5" s="3578" t="s">
        <v>3563</v>
      </c>
      <c r="AA5" s="3578" t="s">
        <v>3564</v>
      </c>
      <c r="AB5" s="3578" t="s">
        <v>3565</v>
      </c>
      <c r="AC5" s="3578" t="s">
        <v>3566</v>
      </c>
      <c r="AD5" s="3578" t="s">
        <v>3567</v>
      </c>
      <c r="AE5" s="3578" t="s">
        <v>3568</v>
      </c>
      <c r="AF5" s="3578" t="s">
        <v>3569</v>
      </c>
      <c r="AG5" s="3578" t="s">
        <v>3570</v>
      </c>
      <c r="AH5" s="3578" t="s">
        <v>860</v>
      </c>
      <c r="AI5" s="3578" t="s">
        <v>704</v>
      </c>
      <c r="AJ5" s="3578" t="s">
        <v>705</v>
      </c>
      <c r="AK5" s="3578" t="s">
        <v>706</v>
      </c>
      <c r="AL5" s="3578" t="s">
        <v>707</v>
      </c>
      <c r="AM5" s="3578" t="s">
        <v>861</v>
      </c>
      <c r="AN5" s="3578" t="s">
        <v>2125</v>
      </c>
      <c r="AO5" s="3578" t="s">
        <v>2126</v>
      </c>
      <c r="AP5" s="3578" t="s">
        <v>2127</v>
      </c>
      <c r="AQ5" s="3578" t="s">
        <v>2128</v>
      </c>
      <c r="AR5" s="3578" t="s">
        <v>3572</v>
      </c>
      <c r="AS5" s="3578" t="s">
        <v>3573</v>
      </c>
      <c r="AT5" s="3578" t="s">
        <v>3574</v>
      </c>
      <c r="AU5" s="3578" t="s">
        <v>3575</v>
      </c>
      <c r="AV5" s="3578" t="s">
        <v>3571</v>
      </c>
      <c r="AW5" s="3578" t="s">
        <v>862</v>
      </c>
      <c r="AX5" s="3578" t="s">
        <v>2129</v>
      </c>
      <c r="AY5" s="3578" t="s">
        <v>2130</v>
      </c>
      <c r="AZ5" s="3578" t="s">
        <v>2131</v>
      </c>
      <c r="BA5" s="3578" t="s">
        <v>2132</v>
      </c>
      <c r="BB5" s="3578" t="s">
        <v>3576</v>
      </c>
      <c r="BC5" s="3578" t="s">
        <v>3577</v>
      </c>
      <c r="BD5" s="3578" t="s">
        <v>3578</v>
      </c>
      <c r="BE5" s="3578" t="s">
        <v>3579</v>
      </c>
      <c r="BF5" s="3578" t="s">
        <v>3580</v>
      </c>
      <c r="BG5" s="3578" t="s">
        <v>123</v>
      </c>
      <c r="BH5" s="3578" t="s">
        <v>2133</v>
      </c>
      <c r="BI5" s="3578" t="s">
        <v>2134</v>
      </c>
      <c r="BJ5" s="3578" t="s">
        <v>2135</v>
      </c>
      <c r="BK5" s="3578" t="s">
        <v>1079</v>
      </c>
      <c r="BL5" s="3578" t="s">
        <v>3581</v>
      </c>
      <c r="BM5" s="3578" t="s">
        <v>3582</v>
      </c>
      <c r="BN5" s="3578" t="s">
        <v>3583</v>
      </c>
      <c r="BO5" s="3578" t="s">
        <v>3584</v>
      </c>
      <c r="BP5" s="3578" t="s">
        <v>3585</v>
      </c>
      <c r="BQ5" s="3578" t="s">
        <v>516</v>
      </c>
      <c r="BR5" s="3578" t="s">
        <v>517</v>
      </c>
      <c r="BS5" s="3578" t="s">
        <v>534</v>
      </c>
      <c r="BT5" s="3578" t="s">
        <v>535</v>
      </c>
      <c r="BU5" s="3578" t="s">
        <v>536</v>
      </c>
      <c r="BV5" s="3578" t="s">
        <v>3586</v>
      </c>
      <c r="BW5" s="3578" t="s">
        <v>3587</v>
      </c>
      <c r="BX5" s="3578" t="s">
        <v>3588</v>
      </c>
      <c r="BY5" s="3578" t="s">
        <v>3589</v>
      </c>
      <c r="BZ5" s="3578" t="s">
        <v>3590</v>
      </c>
      <c r="CA5" s="3578" t="s">
        <v>537</v>
      </c>
      <c r="CB5" s="3578" t="s">
        <v>538</v>
      </c>
      <c r="CC5" s="3578" t="s">
        <v>539</v>
      </c>
      <c r="CD5" s="3578" t="s">
        <v>540</v>
      </c>
      <c r="CE5" s="3578" t="s">
        <v>541</v>
      </c>
      <c r="CF5" s="3578" t="s">
        <v>542</v>
      </c>
      <c r="CG5" s="3578" t="s">
        <v>543</v>
      </c>
      <c r="CH5" s="3578" t="s">
        <v>871</v>
      </c>
      <c r="CI5" s="3578" t="s">
        <v>872</v>
      </c>
      <c r="CJ5" s="3578" t="s">
        <v>873</v>
      </c>
      <c r="CK5" s="3578" t="s">
        <v>3596</v>
      </c>
      <c r="CL5" s="3578" t="s">
        <v>3597</v>
      </c>
      <c r="CM5" s="3578" t="s">
        <v>3598</v>
      </c>
      <c r="CN5" s="3578" t="s">
        <v>3599</v>
      </c>
      <c r="CO5" s="3578" t="s">
        <v>3600</v>
      </c>
      <c r="CP5" s="3578" t="s">
        <v>3591</v>
      </c>
      <c r="CQ5" s="3578" t="s">
        <v>3592</v>
      </c>
      <c r="CR5" s="3578" t="s">
        <v>3593</v>
      </c>
      <c r="CS5" s="3578" t="s">
        <v>3594</v>
      </c>
      <c r="CT5" s="3578" t="s">
        <v>3595</v>
      </c>
      <c r="CU5" s="3578" t="s">
        <v>3601</v>
      </c>
      <c r="CV5" s="3578" t="s">
        <v>3602</v>
      </c>
      <c r="CW5" s="3578" t="s">
        <v>3603</v>
      </c>
      <c r="CX5" s="3578" t="s">
        <v>3604</v>
      </c>
      <c r="CY5" s="3578" t="s">
        <v>3605</v>
      </c>
      <c r="CZ5" s="3578" t="s">
        <v>465</v>
      </c>
      <c r="DA5" s="3578" t="s">
        <v>466</v>
      </c>
      <c r="DB5" s="3578" t="s">
        <v>467</v>
      </c>
      <c r="DC5" s="3578" t="s">
        <v>468</v>
      </c>
      <c r="DD5" s="3578" t="s">
        <v>469</v>
      </c>
      <c r="DE5" s="3578" t="s">
        <v>3606</v>
      </c>
      <c r="DF5" s="3578" t="s">
        <v>3607</v>
      </c>
      <c r="DG5" s="3578" t="s">
        <v>3608</v>
      </c>
      <c r="DH5" s="3578" t="s">
        <v>3609</v>
      </c>
      <c r="DI5" s="3578" t="s">
        <v>3610</v>
      </c>
      <c r="DJ5" s="3578" t="s">
        <v>821</v>
      </c>
      <c r="DK5" s="3578" t="s">
        <v>822</v>
      </c>
      <c r="DL5" s="3578" t="s">
        <v>823</v>
      </c>
      <c r="DM5" s="3578" t="s">
        <v>824</v>
      </c>
      <c r="DN5" s="3578" t="s">
        <v>825</v>
      </c>
      <c r="DO5" s="3578" t="s">
        <v>826</v>
      </c>
      <c r="DP5" s="3578" t="s">
        <v>827</v>
      </c>
      <c r="DQ5" s="3578" t="s">
        <v>828</v>
      </c>
      <c r="DR5" s="3578" t="s">
        <v>829</v>
      </c>
      <c r="DS5" s="3578" t="s">
        <v>830</v>
      </c>
      <c r="DT5" s="3578" t="s">
        <v>3611</v>
      </c>
      <c r="DU5" s="3578" t="s">
        <v>3612</v>
      </c>
      <c r="DV5" s="3578" t="s">
        <v>3613</v>
      </c>
      <c r="DW5" s="3578" t="s">
        <v>3614</v>
      </c>
      <c r="DX5" s="3578" t="s">
        <v>3615</v>
      </c>
      <c r="DY5" s="3578" t="s">
        <v>3616</v>
      </c>
      <c r="DZ5" s="3578" t="s">
        <v>3617</v>
      </c>
      <c r="EA5" s="3578" t="s">
        <v>3618</v>
      </c>
      <c r="EB5" s="3578" t="s">
        <v>3619</v>
      </c>
      <c r="EC5" s="3578" t="s">
        <v>3620</v>
      </c>
      <c r="ED5" s="3578" t="s">
        <v>5004</v>
      </c>
      <c r="EE5" s="3578" t="s">
        <v>5005</v>
      </c>
      <c r="EF5" s="3578" t="s">
        <v>5006</v>
      </c>
      <c r="EG5" s="3578" t="s">
        <v>5007</v>
      </c>
      <c r="EH5" s="3578" t="s">
        <v>5008</v>
      </c>
      <c r="EI5" s="3578" t="s">
        <v>5009</v>
      </c>
      <c r="EJ5" s="3578" t="s">
        <v>5010</v>
      </c>
      <c r="EK5" s="3578" t="s">
        <v>5011</v>
      </c>
      <c r="EL5" s="3578" t="s">
        <v>5012</v>
      </c>
      <c r="EM5" s="3578" t="s">
        <v>5013</v>
      </c>
      <c r="EN5" s="3578" t="s">
        <v>5014</v>
      </c>
      <c r="EO5" s="3578" t="s">
        <v>5015</v>
      </c>
      <c r="EP5" s="3578" t="s">
        <v>5016</v>
      </c>
      <c r="EQ5" s="3578" t="s">
        <v>5017</v>
      </c>
      <c r="ER5" s="3578" t="s">
        <v>5018</v>
      </c>
      <c r="ES5" s="3578" t="s">
        <v>5019</v>
      </c>
      <c r="ET5" s="3578" t="s">
        <v>5020</v>
      </c>
      <c r="EU5" s="3578" t="s">
        <v>5021</v>
      </c>
      <c r="EV5" s="3578" t="s">
        <v>5022</v>
      </c>
      <c r="EW5" s="3578" t="s">
        <v>5023</v>
      </c>
      <c r="EX5" s="3578" t="s">
        <v>5024</v>
      </c>
      <c r="EY5" s="3578" t="s">
        <v>5025</v>
      </c>
      <c r="EZ5" s="3578" t="s">
        <v>5026</v>
      </c>
      <c r="FA5" s="3578" t="s">
        <v>5027</v>
      </c>
      <c r="FB5" s="3578" t="s">
        <v>5028</v>
      </c>
      <c r="FC5" s="3578" t="s">
        <v>5029</v>
      </c>
      <c r="FD5" s="3578" t="s">
        <v>5030</v>
      </c>
      <c r="FE5" s="3578" t="s">
        <v>5031</v>
      </c>
      <c r="FF5" s="3578" t="s">
        <v>5032</v>
      </c>
      <c r="FG5" s="3578" t="s">
        <v>5033</v>
      </c>
      <c r="FH5" s="3578" t="s">
        <v>5034</v>
      </c>
      <c r="FI5" s="3578" t="s">
        <v>5035</v>
      </c>
      <c r="FJ5" s="3578" t="s">
        <v>5036</v>
      </c>
      <c r="FK5" s="3578" t="s">
        <v>5037</v>
      </c>
      <c r="FL5" s="3578" t="s">
        <v>5038</v>
      </c>
      <c r="FM5" s="3578" t="s">
        <v>2229</v>
      </c>
      <c r="FN5" s="3578" t="s">
        <v>2230</v>
      </c>
      <c r="FO5" s="3578" t="s">
        <v>2231</v>
      </c>
      <c r="FP5" s="3578" t="s">
        <v>2232</v>
      </c>
      <c r="FQ5" s="3578" t="s">
        <v>2233</v>
      </c>
      <c r="FR5" s="3578" t="s">
        <v>3621</v>
      </c>
      <c r="FS5" s="3578" t="s">
        <v>3622</v>
      </c>
      <c r="FT5" s="3578" t="s">
        <v>3623</v>
      </c>
      <c r="FU5" s="3578" t="s">
        <v>3624</v>
      </c>
      <c r="FV5" s="3578" t="s">
        <v>3625</v>
      </c>
      <c r="FW5" s="3578" t="s">
        <v>3626</v>
      </c>
      <c r="FX5" s="3578" t="s">
        <v>3627</v>
      </c>
      <c r="FY5" s="3578" t="s">
        <v>3628</v>
      </c>
      <c r="FZ5" s="3578" t="s">
        <v>3629</v>
      </c>
      <c r="GA5" s="3578" t="s">
        <v>3630</v>
      </c>
      <c r="GB5" s="3578" t="s">
        <v>111</v>
      </c>
      <c r="GC5" s="3578" t="s">
        <v>1082</v>
      </c>
      <c r="GD5" s="3578" t="s">
        <v>1083</v>
      </c>
      <c r="GE5" s="3578" t="s">
        <v>1138</v>
      </c>
      <c r="GF5" s="3578" t="s">
        <v>1139</v>
      </c>
      <c r="GG5" s="3578" t="s">
        <v>126</v>
      </c>
      <c r="GH5" s="3578" t="s">
        <v>1140</v>
      </c>
      <c r="GI5" s="3578" t="s">
        <v>1141</v>
      </c>
      <c r="GJ5" s="3578" t="s">
        <v>1142</v>
      </c>
      <c r="GK5" s="3578" t="s">
        <v>1143</v>
      </c>
      <c r="GL5" s="3578" t="s">
        <v>3631</v>
      </c>
      <c r="GM5" s="3578" t="s">
        <v>3632</v>
      </c>
      <c r="GN5" s="3578" t="s">
        <v>3633</v>
      </c>
      <c r="GO5" s="3578" t="s">
        <v>3634</v>
      </c>
      <c r="GP5" s="3578" t="s">
        <v>3635</v>
      </c>
      <c r="GQ5" s="3578" t="s">
        <v>125</v>
      </c>
      <c r="GR5" s="3578" t="s">
        <v>852</v>
      </c>
      <c r="GS5" s="3578" t="s">
        <v>853</v>
      </c>
      <c r="GT5" s="3578" t="s">
        <v>854</v>
      </c>
      <c r="GU5" s="3578" t="s">
        <v>855</v>
      </c>
      <c r="GV5" s="3578" t="s">
        <v>3636</v>
      </c>
      <c r="GW5" s="3578" t="s">
        <v>3637</v>
      </c>
      <c r="GX5" s="3578" t="s">
        <v>3638</v>
      </c>
      <c r="GY5" s="3578" t="s">
        <v>3639</v>
      </c>
      <c r="GZ5" s="3578" t="s">
        <v>3640</v>
      </c>
      <c r="HA5" s="3578" t="s">
        <v>124</v>
      </c>
      <c r="HB5" s="3578" t="s">
        <v>856</v>
      </c>
      <c r="HC5" s="3578" t="s">
        <v>857</v>
      </c>
      <c r="HD5" s="3578" t="s">
        <v>858</v>
      </c>
      <c r="HE5" s="3578" t="s">
        <v>859</v>
      </c>
      <c r="HF5" s="3578" t="s">
        <v>751</v>
      </c>
      <c r="HG5" s="3578" t="s">
        <v>752</v>
      </c>
      <c r="HH5" s="3578" t="s">
        <v>753</v>
      </c>
      <c r="HI5" s="3578" t="s">
        <v>754</v>
      </c>
      <c r="HJ5" s="3578" t="s">
        <v>755</v>
      </c>
      <c r="HK5" s="3578" t="s">
        <v>895</v>
      </c>
      <c r="HL5" s="3578" t="s">
        <v>896</v>
      </c>
      <c r="HM5" s="3578" t="s">
        <v>897</v>
      </c>
      <c r="HN5" s="3578" t="s">
        <v>898</v>
      </c>
      <c r="HO5" s="3578" t="s">
        <v>2228</v>
      </c>
      <c r="HP5" s="3578" t="s">
        <v>1342</v>
      </c>
      <c r="HQ5" s="3578" t="s">
        <v>1343</v>
      </c>
      <c r="HR5" s="3578" t="s">
        <v>1344</v>
      </c>
      <c r="HS5" s="3578" t="s">
        <v>1345</v>
      </c>
      <c r="HT5" s="3578" t="s">
        <v>1346</v>
      </c>
      <c r="HU5" s="3578" t="s">
        <v>410</v>
      </c>
      <c r="HV5" s="3578" t="s">
        <v>411</v>
      </c>
      <c r="HW5" s="3578" t="s">
        <v>412</v>
      </c>
      <c r="HX5" s="3578" t="s">
        <v>413</v>
      </c>
      <c r="HY5" s="3578" t="s">
        <v>414</v>
      </c>
      <c r="HZ5" s="3578" t="s">
        <v>14</v>
      </c>
      <c r="IA5" s="3578" t="s">
        <v>15</v>
      </c>
      <c r="IB5" s="3578" t="s">
        <v>16</v>
      </c>
      <c r="IC5" s="3578" t="s">
        <v>17</v>
      </c>
      <c r="ID5" s="3578" t="s">
        <v>18</v>
      </c>
      <c r="IE5" s="3578" t="s">
        <v>214</v>
      </c>
      <c r="IF5" s="3578" t="s">
        <v>215</v>
      </c>
      <c r="IG5" s="3578" t="s">
        <v>216</v>
      </c>
      <c r="IH5" s="3578" t="s">
        <v>1675</v>
      </c>
      <c r="II5" s="3578" t="s">
        <v>1676</v>
      </c>
      <c r="IJ5" s="3578" t="s">
        <v>1677</v>
      </c>
      <c r="IK5" s="3578" t="s">
        <v>549</v>
      </c>
      <c r="IL5" s="3578" t="s">
        <v>550</v>
      </c>
      <c r="IM5" s="3578" t="s">
        <v>551</v>
      </c>
      <c r="IN5" s="3578" t="s">
        <v>552</v>
      </c>
      <c r="IO5" s="3578" t="s">
        <v>19</v>
      </c>
      <c r="IP5" s="3578" t="s">
        <v>20</v>
      </c>
      <c r="IQ5" s="3578" t="s">
        <v>21</v>
      </c>
      <c r="IR5" s="3578" t="s">
        <v>22</v>
      </c>
      <c r="IS5" s="3578" t="s">
        <v>23</v>
      </c>
      <c r="IT5" s="3578" t="s">
        <v>464</v>
      </c>
      <c r="IU5" s="3578" t="s">
        <v>406</v>
      </c>
      <c r="IV5" s="3578" t="s">
        <v>407</v>
      </c>
      <c r="IW5" s="3578" t="s">
        <v>408</v>
      </c>
      <c r="IX5" s="3578" t="s">
        <v>409</v>
      </c>
      <c r="IY5" s="3578" t="s">
        <v>2037</v>
      </c>
      <c r="IZ5" s="3578" t="s">
        <v>2038</v>
      </c>
      <c r="JA5" s="3578" t="s">
        <v>2039</v>
      </c>
      <c r="JB5" s="3578" t="s">
        <v>1383</v>
      </c>
      <c r="JC5" s="3578" t="s">
        <v>1384</v>
      </c>
      <c r="JD5" s="3578" t="s">
        <v>24</v>
      </c>
      <c r="JE5" s="3578" t="s">
        <v>25</v>
      </c>
      <c r="JF5" s="3578" t="s">
        <v>26</v>
      </c>
      <c r="JG5" s="3578" t="s">
        <v>27</v>
      </c>
      <c r="JH5" s="3578" t="s">
        <v>28</v>
      </c>
      <c r="JI5" s="2468"/>
      <c r="JJ5" s="2468"/>
      <c r="JK5" s="2468"/>
      <c r="JL5" s="2468"/>
      <c r="JM5" s="2468"/>
      <c r="JN5" s="2468"/>
      <c r="JO5" s="2468"/>
      <c r="JP5" s="2468"/>
      <c r="JQ5" s="2468"/>
      <c r="JR5" s="2468"/>
      <c r="JS5" s="2468"/>
      <c r="JT5" s="2468"/>
      <c r="JU5" s="2468"/>
      <c r="JV5" s="2468"/>
      <c r="JW5" s="2468"/>
      <c r="JX5" s="2468"/>
      <c r="JY5" s="2468"/>
      <c r="JZ5" s="2468"/>
      <c r="KA5" s="2468"/>
      <c r="KB5" s="2468"/>
      <c r="KC5" s="2468"/>
      <c r="KD5" s="2468"/>
      <c r="KE5" s="2468"/>
      <c r="KF5" s="2468"/>
      <c r="KG5" s="2468"/>
      <c r="KH5" s="2468"/>
      <c r="KI5" s="2468"/>
      <c r="KJ5" s="2468"/>
      <c r="KK5" s="2468"/>
      <c r="KL5" s="2468"/>
      <c r="KM5" s="2468"/>
      <c r="KN5" s="2468"/>
      <c r="KO5" s="2468"/>
      <c r="KP5" s="2468"/>
      <c r="KQ5" s="2468"/>
      <c r="KR5" s="2468"/>
      <c r="KS5" s="2468"/>
      <c r="KT5" s="2468"/>
      <c r="KU5" s="2468"/>
      <c r="KV5" s="2468"/>
      <c r="KW5" s="2468"/>
      <c r="KX5" s="2468"/>
      <c r="KY5" s="2468"/>
      <c r="KZ5" s="2468"/>
      <c r="LA5" s="2468"/>
      <c r="LB5" s="2468"/>
      <c r="LC5" s="2468"/>
      <c r="LD5" s="2468"/>
      <c r="LE5" s="2468"/>
      <c r="LF5" s="2468"/>
      <c r="LG5" s="2468"/>
      <c r="LH5" s="2468"/>
      <c r="LI5" s="2468"/>
      <c r="LJ5" s="2468"/>
      <c r="LK5" s="2468"/>
      <c r="LL5" s="2468"/>
      <c r="LM5" s="2468"/>
      <c r="LN5" s="2468"/>
      <c r="LO5" s="2468"/>
      <c r="LP5" s="2468"/>
      <c r="LQ5" s="2468"/>
      <c r="LR5" s="2468"/>
      <c r="LS5" s="2468"/>
      <c r="LT5" s="2468"/>
      <c r="LU5" s="2468"/>
      <c r="LV5" s="1409"/>
      <c r="LW5" s="1409"/>
      <c r="LX5" s="1409"/>
      <c r="LY5" s="1409"/>
      <c r="LZ5" s="1409"/>
      <c r="MA5" s="1409"/>
      <c r="MB5" s="1409"/>
      <c r="MC5" s="1409"/>
      <c r="MD5" s="1409"/>
      <c r="ME5" s="1409"/>
      <c r="MF5" s="1409"/>
      <c r="MG5" s="1409"/>
      <c r="MH5" s="1409"/>
      <c r="MI5" s="1409"/>
      <c r="MJ5" s="1409"/>
      <c r="MK5" s="1409"/>
      <c r="ML5" s="1409"/>
      <c r="MM5" s="1409"/>
      <c r="MN5" s="1409"/>
      <c r="MO5" s="1409"/>
      <c r="MP5" s="3578" t="s">
        <v>1516</v>
      </c>
      <c r="MQ5" s="3578" t="s">
        <v>2315</v>
      </c>
      <c r="MR5" s="3578" t="s">
        <v>2316</v>
      </c>
      <c r="MS5" s="3578" t="s">
        <v>363</v>
      </c>
      <c r="MT5" s="3578" t="s">
        <v>364</v>
      </c>
      <c r="MU5" s="3578" t="s">
        <v>365</v>
      </c>
      <c r="MV5" s="3578" t="s">
        <v>366</v>
      </c>
      <c r="MW5" s="3578" t="s">
        <v>367</v>
      </c>
      <c r="MX5" s="3578" t="s">
        <v>368</v>
      </c>
      <c r="MY5" s="3578" t="s">
        <v>369</v>
      </c>
      <c r="MZ5" s="3578" t="s">
        <v>195</v>
      </c>
      <c r="NA5" s="3578" t="s">
        <v>196</v>
      </c>
      <c r="NB5" s="3578" t="s">
        <v>197</v>
      </c>
      <c r="NC5" s="3578" t="s">
        <v>198</v>
      </c>
      <c r="ND5" s="3578" t="s">
        <v>199</v>
      </c>
      <c r="NE5" s="3578" t="s">
        <v>200</v>
      </c>
      <c r="NF5" s="3578" t="s">
        <v>201</v>
      </c>
      <c r="NG5" s="3578" t="s">
        <v>202</v>
      </c>
      <c r="NH5" s="3578" t="s">
        <v>203</v>
      </c>
      <c r="NI5" s="3578" t="s">
        <v>204</v>
      </c>
      <c r="NJ5" s="3578" t="s">
        <v>205</v>
      </c>
      <c r="NK5" s="3578" t="s">
        <v>206</v>
      </c>
      <c r="NL5" s="3578" t="s">
        <v>207</v>
      </c>
      <c r="NM5" s="3578" t="s">
        <v>208</v>
      </c>
      <c r="NN5" s="3578" t="s">
        <v>209</v>
      </c>
      <c r="NO5" s="3578"/>
      <c r="NP5" s="3578"/>
      <c r="NQ5" s="3578"/>
      <c r="NR5" s="3578"/>
      <c r="NS5" s="3578"/>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2500"/>
      <c r="OZ5" s="2503">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5" customHeight="1" thickBot="1">
      <c r="A6" s="3643" t="str">
        <f>IF(A58&gt;0,"Finish Row!","")</f>
        <v/>
      </c>
      <c r="B6" s="141" t="s">
        <v>3992</v>
      </c>
      <c r="D6" s="1421"/>
      <c r="E6" s="1421"/>
      <c r="F6" s="1421"/>
      <c r="G6" s="2528" t="s">
        <v>194</v>
      </c>
      <c r="H6" s="3644" t="s">
        <v>3994</v>
      </c>
      <c r="I6" s="3645"/>
      <c r="J6" s="3645"/>
      <c r="K6" s="671" t="s">
        <v>3052</v>
      </c>
      <c r="L6" s="3646" t="str">
        <f>'Part I-Project Identification'!$A$6</f>
        <v>August 11, 2025</v>
      </c>
      <c r="M6" s="3646"/>
      <c r="N6" s="3646"/>
      <c r="O6" s="1619" t="s">
        <v>3976</v>
      </c>
      <c r="P6" s="1411">
        <v>114200</v>
      </c>
      <c r="Q6" s="3641"/>
      <c r="R6" s="813"/>
      <c r="S6" s="72"/>
      <c r="U6" s="72"/>
      <c r="X6" s="3578"/>
      <c r="Y6" s="3578"/>
      <c r="Z6" s="3578"/>
      <c r="AA6" s="3578"/>
      <c r="AB6" s="3578"/>
      <c r="AC6" s="3578"/>
      <c r="AD6" s="3578"/>
      <c r="AE6" s="3578"/>
      <c r="AF6" s="3578"/>
      <c r="AG6" s="3578"/>
      <c r="AH6" s="3578"/>
      <c r="AI6" s="3578"/>
      <c r="AJ6" s="3578"/>
      <c r="AK6" s="3578"/>
      <c r="AL6" s="3578"/>
      <c r="AM6" s="3578"/>
      <c r="AN6" s="3578"/>
      <c r="AO6" s="3578"/>
      <c r="AP6" s="3578"/>
      <c r="AQ6" s="3578"/>
      <c r="AR6" s="3578"/>
      <c r="AS6" s="3578"/>
      <c r="AT6" s="3578"/>
      <c r="AU6" s="3578"/>
      <c r="AV6" s="3578"/>
      <c r="AW6" s="3578"/>
      <c r="AX6" s="3578"/>
      <c r="AY6" s="3578"/>
      <c r="AZ6" s="3578"/>
      <c r="BA6" s="3578"/>
      <c r="BB6" s="3578"/>
      <c r="BC6" s="3578"/>
      <c r="BD6" s="3578"/>
      <c r="BE6" s="3578"/>
      <c r="BF6" s="3578"/>
      <c r="BG6" s="3578"/>
      <c r="BH6" s="3578"/>
      <c r="BI6" s="3578"/>
      <c r="BJ6" s="3578"/>
      <c r="BK6" s="3578"/>
      <c r="BL6" s="3578"/>
      <c r="BM6" s="3578"/>
      <c r="BN6" s="3578"/>
      <c r="BO6" s="3578"/>
      <c r="BP6" s="3578"/>
      <c r="BQ6" s="3578"/>
      <c r="BR6" s="3578"/>
      <c r="BS6" s="3578"/>
      <c r="BT6" s="3578"/>
      <c r="BU6" s="3578"/>
      <c r="BV6" s="3578"/>
      <c r="BW6" s="3578"/>
      <c r="BX6" s="3578"/>
      <c r="BY6" s="3578"/>
      <c r="BZ6" s="3578"/>
      <c r="CA6" s="3578"/>
      <c r="CB6" s="3578"/>
      <c r="CC6" s="3578"/>
      <c r="CD6" s="3578"/>
      <c r="CE6" s="3578"/>
      <c r="CF6" s="3578"/>
      <c r="CG6" s="3578"/>
      <c r="CH6" s="3578"/>
      <c r="CI6" s="3578"/>
      <c r="CJ6" s="3578"/>
      <c r="CK6" s="3578"/>
      <c r="CL6" s="3578"/>
      <c r="CM6" s="3578"/>
      <c r="CN6" s="3578"/>
      <c r="CO6" s="3578"/>
      <c r="CP6" s="3578"/>
      <c r="CQ6" s="3578"/>
      <c r="CR6" s="3578"/>
      <c r="CS6" s="3578"/>
      <c r="CT6" s="3578"/>
      <c r="CU6" s="3578"/>
      <c r="CV6" s="3578"/>
      <c r="CW6" s="3578"/>
      <c r="CX6" s="3578"/>
      <c r="CY6" s="3578"/>
      <c r="CZ6" s="3578"/>
      <c r="DA6" s="3578"/>
      <c r="DB6" s="3578"/>
      <c r="DC6" s="3578"/>
      <c r="DD6" s="3578"/>
      <c r="DE6" s="3578"/>
      <c r="DF6" s="3578"/>
      <c r="DG6" s="3578"/>
      <c r="DH6" s="3578"/>
      <c r="DI6" s="3578"/>
      <c r="DJ6" s="3578"/>
      <c r="DK6" s="3578"/>
      <c r="DL6" s="3578"/>
      <c r="DM6" s="3578"/>
      <c r="DN6" s="3578"/>
      <c r="DO6" s="3578"/>
      <c r="DP6" s="3578"/>
      <c r="DQ6" s="3578"/>
      <c r="DR6" s="3578"/>
      <c r="DS6" s="3578"/>
      <c r="DT6" s="3578"/>
      <c r="DU6" s="3578"/>
      <c r="DV6" s="3578"/>
      <c r="DW6" s="3578"/>
      <c r="DX6" s="3578"/>
      <c r="DY6" s="3578"/>
      <c r="DZ6" s="3578"/>
      <c r="EA6" s="3578"/>
      <c r="EB6" s="3578"/>
      <c r="EC6" s="3578"/>
      <c r="ED6" s="3578"/>
      <c r="EE6" s="3578"/>
      <c r="EF6" s="3578"/>
      <c r="EG6" s="3578"/>
      <c r="EH6" s="3578"/>
      <c r="EI6" s="3578"/>
      <c r="EJ6" s="3578"/>
      <c r="EK6" s="3578"/>
      <c r="EL6" s="3578"/>
      <c r="EM6" s="3578"/>
      <c r="EN6" s="3578"/>
      <c r="EO6" s="3578"/>
      <c r="EP6" s="3578"/>
      <c r="EQ6" s="3578"/>
      <c r="ER6" s="3578"/>
      <c r="ES6" s="3578"/>
      <c r="ET6" s="3578"/>
      <c r="EU6" s="3578"/>
      <c r="EV6" s="3578"/>
      <c r="EW6" s="3578"/>
      <c r="EX6" s="3578"/>
      <c r="EY6" s="3578"/>
      <c r="EZ6" s="3578"/>
      <c r="FA6" s="3578"/>
      <c r="FB6" s="3578"/>
      <c r="FC6" s="3578"/>
      <c r="FD6" s="3578"/>
      <c r="FE6" s="3578"/>
      <c r="FF6" s="3578"/>
      <c r="FG6" s="3578"/>
      <c r="FH6" s="3578"/>
      <c r="FI6" s="3578"/>
      <c r="FJ6" s="3578"/>
      <c r="FK6" s="3578"/>
      <c r="FL6" s="3578"/>
      <c r="FM6" s="3578"/>
      <c r="FN6" s="3578"/>
      <c r="FO6" s="3578"/>
      <c r="FP6" s="3578"/>
      <c r="FQ6" s="3578"/>
      <c r="FR6" s="3578"/>
      <c r="FS6" s="3578"/>
      <c r="FT6" s="3578"/>
      <c r="FU6" s="3578"/>
      <c r="FV6" s="3578"/>
      <c r="FW6" s="3578"/>
      <c r="FX6" s="3578"/>
      <c r="FY6" s="3578"/>
      <c r="FZ6" s="3578"/>
      <c r="GA6" s="3578"/>
      <c r="GB6" s="3578"/>
      <c r="GC6" s="3578"/>
      <c r="GD6" s="3578"/>
      <c r="GE6" s="3578"/>
      <c r="GF6" s="3578"/>
      <c r="GG6" s="3578"/>
      <c r="GH6" s="3578"/>
      <c r="GI6" s="3578"/>
      <c r="GJ6" s="3578"/>
      <c r="GK6" s="3578"/>
      <c r="GL6" s="3578"/>
      <c r="GM6" s="3578"/>
      <c r="GN6" s="3578"/>
      <c r="GO6" s="3578"/>
      <c r="GP6" s="3578"/>
      <c r="GQ6" s="3578"/>
      <c r="GR6" s="3578"/>
      <c r="GS6" s="3578"/>
      <c r="GT6" s="3578"/>
      <c r="GU6" s="3578"/>
      <c r="GV6" s="3578"/>
      <c r="GW6" s="3578"/>
      <c r="GX6" s="3578"/>
      <c r="GY6" s="3578"/>
      <c r="GZ6" s="3578"/>
      <c r="HA6" s="3578"/>
      <c r="HB6" s="3578"/>
      <c r="HC6" s="3578"/>
      <c r="HD6" s="3578"/>
      <c r="HE6" s="3578"/>
      <c r="HF6" s="3578"/>
      <c r="HG6" s="3578"/>
      <c r="HH6" s="3578"/>
      <c r="HI6" s="3578"/>
      <c r="HJ6" s="3578"/>
      <c r="HK6" s="3578"/>
      <c r="HL6" s="3578"/>
      <c r="HM6" s="3578"/>
      <c r="HN6" s="3578"/>
      <c r="HO6" s="3578"/>
      <c r="HP6" s="3578"/>
      <c r="HQ6" s="3578"/>
      <c r="HR6" s="3578"/>
      <c r="HS6" s="3578"/>
      <c r="HT6" s="3578"/>
      <c r="HU6" s="3578"/>
      <c r="HV6" s="3578"/>
      <c r="HW6" s="3578"/>
      <c r="HX6" s="3578"/>
      <c r="HY6" s="3578"/>
      <c r="HZ6" s="3578"/>
      <c r="IA6" s="3578"/>
      <c r="IB6" s="3578"/>
      <c r="IC6" s="3578"/>
      <c r="ID6" s="3578"/>
      <c r="IE6" s="3578"/>
      <c r="IF6" s="3578"/>
      <c r="IG6" s="3578"/>
      <c r="IH6" s="3578"/>
      <c r="II6" s="3578"/>
      <c r="IJ6" s="3578"/>
      <c r="IK6" s="3578"/>
      <c r="IL6" s="3578"/>
      <c r="IM6" s="3578"/>
      <c r="IN6" s="3578"/>
      <c r="IO6" s="3578"/>
      <c r="IP6" s="3578"/>
      <c r="IQ6" s="3578"/>
      <c r="IR6" s="3578"/>
      <c r="IS6" s="3578"/>
      <c r="IT6" s="3578"/>
      <c r="IU6" s="3578"/>
      <c r="IV6" s="3578"/>
      <c r="IW6" s="3578"/>
      <c r="IX6" s="3578"/>
      <c r="IY6" s="3578"/>
      <c r="IZ6" s="3578"/>
      <c r="JA6" s="3578"/>
      <c r="JB6" s="3578"/>
      <c r="JC6" s="3578"/>
      <c r="JD6" s="3578"/>
      <c r="JE6" s="3578"/>
      <c r="JF6" s="3578"/>
      <c r="JG6" s="3578"/>
      <c r="JH6" s="3578"/>
      <c r="JI6" s="2468"/>
      <c r="JJ6" s="2468"/>
      <c r="JK6" s="2468"/>
      <c r="JL6" s="2468"/>
      <c r="JM6" s="2468"/>
      <c r="JN6" s="2468"/>
      <c r="JO6" s="2468"/>
      <c r="JP6" s="2468"/>
      <c r="JQ6" s="2468"/>
      <c r="JR6" s="2468"/>
      <c r="JS6" s="2468"/>
      <c r="JT6" s="2468"/>
      <c r="JU6" s="2468"/>
      <c r="JV6" s="2468"/>
      <c r="JW6" s="2468"/>
      <c r="JX6" s="2468"/>
      <c r="JY6" s="2468"/>
      <c r="JZ6" s="2468"/>
      <c r="KA6" s="2468"/>
      <c r="KB6" s="2468"/>
      <c r="KC6" s="2468"/>
      <c r="KD6" s="2468"/>
      <c r="KE6" s="2468"/>
      <c r="KF6" s="2468"/>
      <c r="KG6" s="2468"/>
      <c r="KH6" s="2468"/>
      <c r="KI6" s="2468"/>
      <c r="KJ6" s="2468"/>
      <c r="KK6" s="2468"/>
      <c r="KL6" s="2468"/>
      <c r="KM6" s="2468"/>
      <c r="KN6" s="2468"/>
      <c r="KO6" s="2468"/>
      <c r="KP6" s="2468"/>
      <c r="KQ6" s="2468"/>
      <c r="KR6" s="2468"/>
      <c r="KS6" s="2468"/>
      <c r="KT6" s="2468"/>
      <c r="KU6" s="2468"/>
      <c r="KV6" s="2468"/>
      <c r="KW6" s="2468"/>
      <c r="KX6" s="2468"/>
      <c r="KY6" s="2468"/>
      <c r="KZ6" s="2468"/>
      <c r="LA6" s="2468"/>
      <c r="LB6" s="2468"/>
      <c r="LC6" s="2468"/>
      <c r="LD6" s="2468"/>
      <c r="LE6" s="2468"/>
      <c r="LF6" s="2468"/>
      <c r="LG6" s="2468"/>
      <c r="LH6" s="2468"/>
      <c r="LI6" s="2468"/>
      <c r="LJ6" s="2468"/>
      <c r="LK6" s="2468"/>
      <c r="LL6" s="2468"/>
      <c r="LM6" s="2468"/>
      <c r="LN6" s="2468"/>
      <c r="LO6" s="2468"/>
      <c r="LP6" s="2468"/>
      <c r="LQ6" s="2468"/>
      <c r="LR6" s="2468"/>
      <c r="LS6" s="2468"/>
      <c r="LT6" s="2468"/>
      <c r="LU6" s="2468"/>
      <c r="LV6" s="1409"/>
      <c r="LW6" s="1409"/>
      <c r="LX6" s="1409"/>
      <c r="LY6" s="1409"/>
      <c r="LZ6" s="1409"/>
      <c r="MA6" s="1409"/>
      <c r="MB6" s="1409"/>
      <c r="MC6" s="1409"/>
      <c r="MD6" s="1409"/>
      <c r="ME6" s="1409"/>
      <c r="MF6" s="1409"/>
      <c r="MG6" s="1409"/>
      <c r="MH6" s="1409"/>
      <c r="MI6" s="1409"/>
      <c r="MJ6" s="1409"/>
      <c r="MK6" s="1409"/>
      <c r="ML6" s="1409"/>
      <c r="MM6" s="1409"/>
      <c r="MN6" s="1409"/>
      <c r="MO6" s="1409"/>
      <c r="MP6" s="3578"/>
      <c r="MQ6" s="3578"/>
      <c r="MR6" s="3578"/>
      <c r="MS6" s="3578"/>
      <c r="MT6" s="3578"/>
      <c r="MU6" s="3578"/>
      <c r="MV6" s="3578"/>
      <c r="MW6" s="3578"/>
      <c r="MX6" s="3578"/>
      <c r="MY6" s="3578"/>
      <c r="MZ6" s="3578"/>
      <c r="NA6" s="3578"/>
      <c r="NB6" s="3578"/>
      <c r="NC6" s="3578"/>
      <c r="ND6" s="3578"/>
      <c r="NE6" s="3578"/>
      <c r="NF6" s="3578"/>
      <c r="NG6" s="3578"/>
      <c r="NH6" s="3578"/>
      <c r="NI6" s="3578"/>
      <c r="NJ6" s="3578"/>
      <c r="NK6" s="3578"/>
      <c r="NL6" s="3578"/>
      <c r="NM6" s="3578"/>
      <c r="NN6" s="3578"/>
      <c r="NO6" s="3578"/>
      <c r="NP6" s="3578"/>
      <c r="NQ6" s="3578"/>
      <c r="NR6" s="3578"/>
      <c r="NS6" s="3578"/>
      <c r="NT6" s="3587" t="s">
        <v>2958</v>
      </c>
      <c r="NU6" s="3587" t="s">
        <v>2959</v>
      </c>
      <c r="NV6" s="3587" t="s">
        <v>2960</v>
      </c>
      <c r="NW6" s="3587" t="s">
        <v>2961</v>
      </c>
      <c r="NX6" s="3587" t="s">
        <v>2962</v>
      </c>
      <c r="NY6" s="3578" t="s">
        <v>4174</v>
      </c>
      <c r="NZ6" s="3578" t="s">
        <v>4175</v>
      </c>
      <c r="OA6" s="3578" t="s">
        <v>4176</v>
      </c>
      <c r="OB6" s="3578" t="s">
        <v>4177</v>
      </c>
      <c r="OC6" s="3578" t="s">
        <v>4178</v>
      </c>
      <c r="OD6" s="358"/>
      <c r="OE6" s="358"/>
      <c r="OF6" s="358"/>
      <c r="OG6" s="358"/>
      <c r="OH6" s="358"/>
      <c r="OI6" s="358"/>
      <c r="OJ6" s="358"/>
      <c r="OK6" s="358"/>
      <c r="OL6" s="358"/>
      <c r="OM6" s="358"/>
      <c r="ON6" s="358"/>
      <c r="OO6" s="358"/>
      <c r="OP6" s="358"/>
      <c r="OQ6" s="358"/>
      <c r="OR6" s="358"/>
      <c r="OS6" s="358"/>
      <c r="OT6" s="358"/>
      <c r="OU6" s="358"/>
      <c r="OV6" s="72"/>
      <c r="OW6" s="72"/>
      <c r="OX6" s="72"/>
      <c r="OY6" s="2500"/>
      <c r="OZ6" s="2503">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5" customHeight="1">
      <c r="A7" s="3643"/>
      <c r="B7" s="23" t="s">
        <v>3993</v>
      </c>
      <c r="E7" s="4"/>
      <c r="G7" s="1198" t="s">
        <v>2645</v>
      </c>
      <c r="I7" s="3647" t="s">
        <v>3938</v>
      </c>
      <c r="J7" s="671" t="s">
        <v>741</v>
      </c>
      <c r="K7" s="671" t="s">
        <v>3099</v>
      </c>
      <c r="L7" s="3646"/>
      <c r="M7" s="3646"/>
      <c r="N7" s="3646"/>
      <c r="O7" s="1620" t="s">
        <v>3975</v>
      </c>
      <c r="P7" s="1449">
        <v>45748</v>
      </c>
      <c r="Q7" s="3641"/>
      <c r="R7" s="3649" t="s">
        <v>2451</v>
      </c>
      <c r="S7" s="3649"/>
      <c r="X7" s="3578"/>
      <c r="Y7" s="3578"/>
      <c r="Z7" s="3578"/>
      <c r="AA7" s="3578"/>
      <c r="AB7" s="3578"/>
      <c r="AC7" s="3578"/>
      <c r="AD7" s="3578"/>
      <c r="AE7" s="3578"/>
      <c r="AF7" s="3578"/>
      <c r="AG7" s="3578"/>
      <c r="AH7" s="3578"/>
      <c r="AI7" s="3578"/>
      <c r="AJ7" s="3578"/>
      <c r="AK7" s="3578"/>
      <c r="AL7" s="3578"/>
      <c r="AM7" s="3578"/>
      <c r="AN7" s="3578"/>
      <c r="AO7" s="3578"/>
      <c r="AP7" s="3578"/>
      <c r="AQ7" s="3578"/>
      <c r="AR7" s="3578"/>
      <c r="AS7" s="3578"/>
      <c r="AT7" s="3578"/>
      <c r="AU7" s="3578"/>
      <c r="AV7" s="3578"/>
      <c r="AW7" s="3578"/>
      <c r="AX7" s="3578"/>
      <c r="AY7" s="3578"/>
      <c r="AZ7" s="3578"/>
      <c r="BA7" s="3578"/>
      <c r="BB7" s="3578"/>
      <c r="BC7" s="3578"/>
      <c r="BD7" s="3578"/>
      <c r="BE7" s="3578"/>
      <c r="BF7" s="3578"/>
      <c r="BG7" s="3578"/>
      <c r="BH7" s="3578"/>
      <c r="BI7" s="3578"/>
      <c r="BJ7" s="3578"/>
      <c r="BK7" s="3578"/>
      <c r="BL7" s="3578"/>
      <c r="BM7" s="3578"/>
      <c r="BN7" s="3578"/>
      <c r="BO7" s="3578"/>
      <c r="BP7" s="3578"/>
      <c r="BQ7" s="3578"/>
      <c r="BR7" s="3578"/>
      <c r="BS7" s="3578"/>
      <c r="BT7" s="3578"/>
      <c r="BU7" s="3578"/>
      <c r="BV7" s="3578"/>
      <c r="BW7" s="3578"/>
      <c r="BX7" s="3578"/>
      <c r="BY7" s="3578"/>
      <c r="BZ7" s="3578"/>
      <c r="CA7" s="3578"/>
      <c r="CB7" s="3578"/>
      <c r="CC7" s="3578"/>
      <c r="CD7" s="3578"/>
      <c r="CE7" s="3578"/>
      <c r="CF7" s="3578"/>
      <c r="CG7" s="3578"/>
      <c r="CH7" s="3578"/>
      <c r="CI7" s="3578"/>
      <c r="CJ7" s="3578"/>
      <c r="CK7" s="3578"/>
      <c r="CL7" s="3578"/>
      <c r="CM7" s="3578"/>
      <c r="CN7" s="3578"/>
      <c r="CO7" s="3578"/>
      <c r="CP7" s="3578"/>
      <c r="CQ7" s="3578"/>
      <c r="CR7" s="3578"/>
      <c r="CS7" s="3578"/>
      <c r="CT7" s="3578"/>
      <c r="CU7" s="3578"/>
      <c r="CV7" s="3578"/>
      <c r="CW7" s="3578"/>
      <c r="CX7" s="3578"/>
      <c r="CY7" s="3578"/>
      <c r="CZ7" s="3578"/>
      <c r="DA7" s="3578"/>
      <c r="DB7" s="3578"/>
      <c r="DC7" s="3578"/>
      <c r="DD7" s="3578"/>
      <c r="DE7" s="3578"/>
      <c r="DF7" s="3578"/>
      <c r="DG7" s="3578"/>
      <c r="DH7" s="3578"/>
      <c r="DI7" s="3578"/>
      <c r="DJ7" s="3578"/>
      <c r="DK7" s="3578"/>
      <c r="DL7" s="3578"/>
      <c r="DM7" s="3578"/>
      <c r="DN7" s="3578"/>
      <c r="DO7" s="3578"/>
      <c r="DP7" s="3578"/>
      <c r="DQ7" s="3578"/>
      <c r="DR7" s="3578"/>
      <c r="DS7" s="3578"/>
      <c r="DT7" s="3578"/>
      <c r="DU7" s="3578"/>
      <c r="DV7" s="3578"/>
      <c r="DW7" s="3578"/>
      <c r="DX7" s="3578"/>
      <c r="DY7" s="3578"/>
      <c r="DZ7" s="3578"/>
      <c r="EA7" s="3578"/>
      <c r="EB7" s="3578"/>
      <c r="EC7" s="3578"/>
      <c r="ED7" s="3578"/>
      <c r="EE7" s="3578"/>
      <c r="EF7" s="3578"/>
      <c r="EG7" s="3578"/>
      <c r="EH7" s="3578"/>
      <c r="EI7" s="3578"/>
      <c r="EJ7" s="3578"/>
      <c r="EK7" s="3578"/>
      <c r="EL7" s="3578"/>
      <c r="EM7" s="3578"/>
      <c r="EN7" s="3578"/>
      <c r="EO7" s="3578"/>
      <c r="EP7" s="3578"/>
      <c r="EQ7" s="3578"/>
      <c r="ER7" s="3578"/>
      <c r="ES7" s="3578"/>
      <c r="ET7" s="3578"/>
      <c r="EU7" s="3578"/>
      <c r="EV7" s="3578"/>
      <c r="EW7" s="3578"/>
      <c r="EX7" s="3578"/>
      <c r="EY7" s="3578"/>
      <c r="EZ7" s="3578"/>
      <c r="FA7" s="3578"/>
      <c r="FB7" s="3578"/>
      <c r="FC7" s="3578"/>
      <c r="FD7" s="3578"/>
      <c r="FE7" s="3578"/>
      <c r="FF7" s="3578"/>
      <c r="FG7" s="3578"/>
      <c r="FH7" s="3578"/>
      <c r="FI7" s="3578"/>
      <c r="FJ7" s="3578"/>
      <c r="FK7" s="3578"/>
      <c r="FL7" s="3578"/>
      <c r="FM7" s="3578"/>
      <c r="FN7" s="3578"/>
      <c r="FO7" s="3578"/>
      <c r="FP7" s="3578"/>
      <c r="FQ7" s="3578"/>
      <c r="FR7" s="3578"/>
      <c r="FS7" s="3578"/>
      <c r="FT7" s="3578"/>
      <c r="FU7" s="3578"/>
      <c r="FV7" s="3578"/>
      <c r="FW7" s="3578"/>
      <c r="FX7" s="3578"/>
      <c r="FY7" s="3578"/>
      <c r="FZ7" s="3578"/>
      <c r="GA7" s="3578"/>
      <c r="GB7" s="3578"/>
      <c r="GC7" s="3578"/>
      <c r="GD7" s="3578"/>
      <c r="GE7" s="3578"/>
      <c r="GF7" s="3578"/>
      <c r="GG7" s="3578"/>
      <c r="GH7" s="3578"/>
      <c r="GI7" s="3578"/>
      <c r="GJ7" s="3578"/>
      <c r="GK7" s="3578"/>
      <c r="GL7" s="3578"/>
      <c r="GM7" s="3578"/>
      <c r="GN7" s="3578"/>
      <c r="GO7" s="3578"/>
      <c r="GP7" s="3578"/>
      <c r="GQ7" s="3578"/>
      <c r="GR7" s="3578"/>
      <c r="GS7" s="3578"/>
      <c r="GT7" s="3578"/>
      <c r="GU7" s="3578"/>
      <c r="GV7" s="3578"/>
      <c r="GW7" s="3578"/>
      <c r="GX7" s="3578"/>
      <c r="GY7" s="3578"/>
      <c r="GZ7" s="3578"/>
      <c r="HA7" s="3578"/>
      <c r="HB7" s="3578"/>
      <c r="HC7" s="3578"/>
      <c r="HD7" s="3578"/>
      <c r="HE7" s="3578"/>
      <c r="HF7" s="3578"/>
      <c r="HG7" s="3578"/>
      <c r="HH7" s="3578"/>
      <c r="HI7" s="3578"/>
      <c r="HJ7" s="3578"/>
      <c r="HK7" s="3578"/>
      <c r="HL7" s="3578"/>
      <c r="HM7" s="3578"/>
      <c r="HN7" s="3578"/>
      <c r="HO7" s="3578"/>
      <c r="HP7" s="3578"/>
      <c r="HQ7" s="3578"/>
      <c r="HR7" s="3578"/>
      <c r="HS7" s="3578"/>
      <c r="HT7" s="3578"/>
      <c r="HU7" s="3578"/>
      <c r="HV7" s="3578"/>
      <c r="HW7" s="3578"/>
      <c r="HX7" s="3578"/>
      <c r="HY7" s="3578"/>
      <c r="HZ7" s="3578"/>
      <c r="IA7" s="3578"/>
      <c r="IB7" s="3578"/>
      <c r="IC7" s="3578"/>
      <c r="ID7" s="3578"/>
      <c r="IE7" s="3578"/>
      <c r="IF7" s="3578"/>
      <c r="IG7" s="3578"/>
      <c r="IH7" s="3578"/>
      <c r="II7" s="3578"/>
      <c r="IJ7" s="3578"/>
      <c r="IK7" s="3578"/>
      <c r="IL7" s="3578"/>
      <c r="IM7" s="3578"/>
      <c r="IN7" s="3578"/>
      <c r="IO7" s="3578"/>
      <c r="IP7" s="3578"/>
      <c r="IQ7" s="3578"/>
      <c r="IR7" s="3578"/>
      <c r="IS7" s="3578"/>
      <c r="IT7" s="3578"/>
      <c r="IU7" s="3578"/>
      <c r="IV7" s="3578"/>
      <c r="IW7" s="3578"/>
      <c r="IX7" s="3578"/>
      <c r="IY7" s="3578"/>
      <c r="IZ7" s="3578"/>
      <c r="JA7" s="3578"/>
      <c r="JB7" s="3578"/>
      <c r="JC7" s="3578"/>
      <c r="JD7" s="3578"/>
      <c r="JE7" s="3578"/>
      <c r="JF7" s="3578"/>
      <c r="JG7" s="3578"/>
      <c r="JH7" s="3578"/>
      <c r="JI7" s="2468"/>
      <c r="JJ7" s="2468"/>
      <c r="JK7" s="2468"/>
      <c r="JL7" s="2468"/>
      <c r="JM7" s="2468"/>
      <c r="JN7" s="2468"/>
      <c r="JO7" s="2468"/>
      <c r="JP7" s="2468"/>
      <c r="JQ7" s="2468"/>
      <c r="JR7" s="2468"/>
      <c r="JS7" s="2468"/>
      <c r="JT7" s="2468"/>
      <c r="JU7" s="2468"/>
      <c r="JV7" s="2468"/>
      <c r="JW7" s="2468"/>
      <c r="JX7" s="2468"/>
      <c r="JY7" s="2468"/>
      <c r="JZ7" s="2468"/>
      <c r="KA7" s="2468"/>
      <c r="KB7" s="2468"/>
      <c r="KC7" s="2468"/>
      <c r="KD7" s="2468"/>
      <c r="KE7" s="2468"/>
      <c r="KF7" s="2468"/>
      <c r="KG7" s="2468"/>
      <c r="KH7" s="2468"/>
      <c r="KI7" s="2468"/>
      <c r="KJ7" s="2468"/>
      <c r="KK7" s="2468"/>
      <c r="KL7" s="2468"/>
      <c r="KM7" s="2468"/>
      <c r="KN7" s="2468"/>
      <c r="KO7" s="2468"/>
      <c r="KP7" s="2468"/>
      <c r="KQ7" s="2468"/>
      <c r="KR7" s="2468"/>
      <c r="KS7" s="2468"/>
      <c r="KT7" s="2468"/>
      <c r="KU7" s="2468"/>
      <c r="KV7" s="2468"/>
      <c r="KW7" s="2468"/>
      <c r="KX7" s="2468"/>
      <c r="KY7" s="2468"/>
      <c r="KZ7" s="2468"/>
      <c r="LA7" s="2468"/>
      <c r="LB7" s="2468"/>
      <c r="LC7" s="2468"/>
      <c r="LD7" s="2468"/>
      <c r="LE7" s="2468"/>
      <c r="LF7" s="2468"/>
      <c r="LG7" s="2468"/>
      <c r="LH7" s="2468"/>
      <c r="LI7" s="2468"/>
      <c r="LJ7" s="2468"/>
      <c r="LK7" s="2468"/>
      <c r="LL7" s="2468"/>
      <c r="LM7" s="2468"/>
      <c r="LN7" s="2468"/>
      <c r="LO7" s="2468"/>
      <c r="LP7" s="2468"/>
      <c r="LQ7" s="2468"/>
      <c r="LR7" s="2468"/>
      <c r="LS7" s="2468"/>
      <c r="LT7" s="2468"/>
      <c r="LU7" s="2468"/>
      <c r="LV7" s="1409"/>
      <c r="LW7" s="1409"/>
      <c r="LX7" s="1409"/>
      <c r="LY7" s="1409"/>
      <c r="LZ7" s="1409"/>
      <c r="MA7" s="1409"/>
      <c r="MB7" s="1409"/>
      <c r="MC7" s="1409"/>
      <c r="MD7" s="1409"/>
      <c r="ME7" s="1409"/>
      <c r="MF7" s="1409"/>
      <c r="MG7" s="1409"/>
      <c r="MH7" s="1409"/>
      <c r="MI7" s="1409"/>
      <c r="MJ7" s="1409"/>
      <c r="MK7" s="1409"/>
      <c r="ML7" s="1409"/>
      <c r="MM7" s="1409"/>
      <c r="MN7" s="1409"/>
      <c r="MO7" s="1409"/>
      <c r="MP7" s="3578"/>
      <c r="MQ7" s="3578"/>
      <c r="MR7" s="3578"/>
      <c r="MS7" s="3578"/>
      <c r="MT7" s="3578"/>
      <c r="MU7" s="3578"/>
      <c r="MV7" s="3578"/>
      <c r="MW7" s="3578"/>
      <c r="MX7" s="3578"/>
      <c r="MY7" s="3578"/>
      <c r="MZ7" s="3578"/>
      <c r="NA7" s="3578"/>
      <c r="NB7" s="3578"/>
      <c r="NC7" s="3578"/>
      <c r="ND7" s="3578"/>
      <c r="NE7" s="3578"/>
      <c r="NF7" s="3578"/>
      <c r="NG7" s="3578"/>
      <c r="NH7" s="3578"/>
      <c r="NI7" s="3578"/>
      <c r="NJ7" s="3578"/>
      <c r="NK7" s="3578"/>
      <c r="NL7" s="3578"/>
      <c r="NM7" s="3578"/>
      <c r="NN7" s="3578"/>
      <c r="NO7" s="3578"/>
      <c r="NP7" s="3578"/>
      <c r="NQ7" s="3578"/>
      <c r="NR7" s="3578"/>
      <c r="NS7" s="3578"/>
      <c r="NT7" s="3587"/>
      <c r="NU7" s="3587"/>
      <c r="NV7" s="3587"/>
      <c r="NW7" s="3587"/>
      <c r="NX7" s="3587"/>
      <c r="NY7" s="3578"/>
      <c r="NZ7" s="3578"/>
      <c r="OA7" s="3578"/>
      <c r="OB7" s="3578"/>
      <c r="OC7" s="3578"/>
      <c r="OD7" s="358"/>
      <c r="OE7" s="358"/>
      <c r="OF7" s="358"/>
      <c r="OG7" s="358"/>
      <c r="OH7" s="358"/>
      <c r="OI7" s="358"/>
      <c r="OJ7" s="358"/>
      <c r="OK7" s="358"/>
      <c r="OL7" s="358"/>
      <c r="OM7" s="358"/>
      <c r="ON7" s="358"/>
      <c r="OO7" s="358"/>
      <c r="OP7" s="358"/>
      <c r="OQ7" s="358"/>
      <c r="OR7" s="358"/>
      <c r="OS7" s="358"/>
      <c r="OT7" s="358"/>
      <c r="OU7" s="358"/>
      <c r="OV7" s="72"/>
      <c r="OW7" s="72"/>
      <c r="OX7" s="72"/>
      <c r="OY7" s="2500"/>
      <c r="OZ7" s="2503">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5" customHeight="1">
      <c r="A8" s="3643"/>
      <c r="B8" s="814" t="s">
        <v>3643</v>
      </c>
      <c r="C8" s="1"/>
      <c r="E8" s="1"/>
      <c r="F8" s="1"/>
      <c r="I8" s="3647"/>
      <c r="J8" s="671" t="s">
        <v>742</v>
      </c>
      <c r="K8" s="671" t="s">
        <v>3100</v>
      </c>
      <c r="L8" s="653"/>
      <c r="M8" s="653"/>
      <c r="N8" s="1618" t="s">
        <v>4373</v>
      </c>
      <c r="O8" s="3650" t="s">
        <v>5230</v>
      </c>
      <c r="P8" s="3651"/>
      <c r="Q8" s="3641"/>
      <c r="R8" s="654"/>
      <c r="S8" s="656" t="s">
        <v>2448</v>
      </c>
      <c r="T8" s="336"/>
      <c r="W8" s="337"/>
      <c r="X8" s="3578"/>
      <c r="Y8" s="3578"/>
      <c r="Z8" s="3578"/>
      <c r="AA8" s="3578"/>
      <c r="AB8" s="3578"/>
      <c r="AC8" s="3578"/>
      <c r="AD8" s="3578"/>
      <c r="AE8" s="3578"/>
      <c r="AF8" s="3578"/>
      <c r="AG8" s="3578"/>
      <c r="AH8" s="3578"/>
      <c r="AI8" s="3578"/>
      <c r="AJ8" s="3578"/>
      <c r="AK8" s="3578"/>
      <c r="AL8" s="3578"/>
      <c r="AM8" s="3578"/>
      <c r="AN8" s="3578"/>
      <c r="AO8" s="3578"/>
      <c r="AP8" s="3578"/>
      <c r="AQ8" s="3578"/>
      <c r="AR8" s="3578"/>
      <c r="AS8" s="3578"/>
      <c r="AT8" s="3578"/>
      <c r="AU8" s="3578"/>
      <c r="AV8" s="3578"/>
      <c r="AW8" s="3578"/>
      <c r="AX8" s="3578"/>
      <c r="AY8" s="3578"/>
      <c r="AZ8" s="3578"/>
      <c r="BA8" s="3578"/>
      <c r="BB8" s="3578"/>
      <c r="BC8" s="3578"/>
      <c r="BD8" s="3578"/>
      <c r="BE8" s="3578"/>
      <c r="BF8" s="3578"/>
      <c r="BG8" s="3578"/>
      <c r="BH8" s="3578"/>
      <c r="BI8" s="3578"/>
      <c r="BJ8" s="3578"/>
      <c r="BK8" s="3578"/>
      <c r="BL8" s="3578"/>
      <c r="BM8" s="3578"/>
      <c r="BN8" s="3578"/>
      <c r="BO8" s="3578"/>
      <c r="BP8" s="3578"/>
      <c r="BQ8" s="3578"/>
      <c r="BR8" s="3578"/>
      <c r="BS8" s="3578"/>
      <c r="BT8" s="3578"/>
      <c r="BU8" s="3578"/>
      <c r="BV8" s="3578"/>
      <c r="BW8" s="3578"/>
      <c r="BX8" s="3578"/>
      <c r="BY8" s="3578"/>
      <c r="BZ8" s="3578"/>
      <c r="CA8" s="3578"/>
      <c r="CB8" s="3578"/>
      <c r="CC8" s="3578"/>
      <c r="CD8" s="3578"/>
      <c r="CE8" s="3578"/>
      <c r="CF8" s="3578"/>
      <c r="CG8" s="3578"/>
      <c r="CH8" s="3578"/>
      <c r="CI8" s="3578"/>
      <c r="CJ8" s="3578"/>
      <c r="CK8" s="3578"/>
      <c r="CL8" s="3578"/>
      <c r="CM8" s="3578"/>
      <c r="CN8" s="3578"/>
      <c r="CO8" s="3578"/>
      <c r="CP8" s="3578"/>
      <c r="CQ8" s="3578"/>
      <c r="CR8" s="3578"/>
      <c r="CS8" s="3578"/>
      <c r="CT8" s="3578"/>
      <c r="CU8" s="3578"/>
      <c r="CV8" s="3578"/>
      <c r="CW8" s="3578"/>
      <c r="CX8" s="3578"/>
      <c r="CY8" s="3578"/>
      <c r="CZ8" s="3578"/>
      <c r="DA8" s="3578"/>
      <c r="DB8" s="3578"/>
      <c r="DC8" s="3578"/>
      <c r="DD8" s="3578"/>
      <c r="DE8" s="3578"/>
      <c r="DF8" s="3578"/>
      <c r="DG8" s="3578"/>
      <c r="DH8" s="3578"/>
      <c r="DI8" s="3578"/>
      <c r="DJ8" s="3578"/>
      <c r="DK8" s="3578"/>
      <c r="DL8" s="3578"/>
      <c r="DM8" s="3578"/>
      <c r="DN8" s="3578"/>
      <c r="DO8" s="3578"/>
      <c r="DP8" s="3578"/>
      <c r="DQ8" s="3578"/>
      <c r="DR8" s="3578"/>
      <c r="DS8" s="3578"/>
      <c r="DT8" s="3578"/>
      <c r="DU8" s="3578"/>
      <c r="DV8" s="3578"/>
      <c r="DW8" s="3578"/>
      <c r="DX8" s="3578"/>
      <c r="DY8" s="3578"/>
      <c r="DZ8" s="3578"/>
      <c r="EA8" s="3578"/>
      <c r="EB8" s="3578"/>
      <c r="EC8" s="3578"/>
      <c r="ED8" s="3578"/>
      <c r="EE8" s="3578"/>
      <c r="EF8" s="3578"/>
      <c r="EG8" s="3578"/>
      <c r="EH8" s="3578"/>
      <c r="EI8" s="3578"/>
      <c r="EJ8" s="3578"/>
      <c r="EK8" s="3578"/>
      <c r="EL8" s="3578"/>
      <c r="EM8" s="3578"/>
      <c r="EN8" s="3578"/>
      <c r="EO8" s="3578"/>
      <c r="EP8" s="3578"/>
      <c r="EQ8" s="3578"/>
      <c r="ER8" s="3578"/>
      <c r="ES8" s="3578"/>
      <c r="ET8" s="3578"/>
      <c r="EU8" s="3578"/>
      <c r="EV8" s="3578"/>
      <c r="EW8" s="3578"/>
      <c r="EX8" s="3578"/>
      <c r="EY8" s="3578"/>
      <c r="EZ8" s="3578"/>
      <c r="FA8" s="3578"/>
      <c r="FB8" s="3578"/>
      <c r="FC8" s="3578"/>
      <c r="FD8" s="3578"/>
      <c r="FE8" s="3578"/>
      <c r="FF8" s="3578"/>
      <c r="FG8" s="3578"/>
      <c r="FH8" s="3578"/>
      <c r="FI8" s="3578"/>
      <c r="FJ8" s="3578"/>
      <c r="FK8" s="3578"/>
      <c r="FL8" s="3578"/>
      <c r="FM8" s="3578"/>
      <c r="FN8" s="3578"/>
      <c r="FO8" s="3578"/>
      <c r="FP8" s="3578"/>
      <c r="FQ8" s="3578"/>
      <c r="FR8" s="3578"/>
      <c r="FS8" s="3578"/>
      <c r="FT8" s="3578"/>
      <c r="FU8" s="3578"/>
      <c r="FV8" s="3578"/>
      <c r="FW8" s="3578"/>
      <c r="FX8" s="3578"/>
      <c r="FY8" s="3578"/>
      <c r="FZ8" s="3578"/>
      <c r="GA8" s="3578"/>
      <c r="GB8" s="3578"/>
      <c r="GC8" s="3578"/>
      <c r="GD8" s="3578"/>
      <c r="GE8" s="3578"/>
      <c r="GF8" s="3578"/>
      <c r="GG8" s="3578"/>
      <c r="GH8" s="3578"/>
      <c r="GI8" s="3578"/>
      <c r="GJ8" s="3578"/>
      <c r="GK8" s="3578"/>
      <c r="GL8" s="3578"/>
      <c r="GM8" s="3578"/>
      <c r="GN8" s="3578"/>
      <c r="GO8" s="3578"/>
      <c r="GP8" s="3578"/>
      <c r="GQ8" s="3578"/>
      <c r="GR8" s="3578"/>
      <c r="GS8" s="3578"/>
      <c r="GT8" s="3578"/>
      <c r="GU8" s="3578"/>
      <c r="GV8" s="3578"/>
      <c r="GW8" s="3578"/>
      <c r="GX8" s="3578"/>
      <c r="GY8" s="3578"/>
      <c r="GZ8" s="3578"/>
      <c r="HA8" s="3578"/>
      <c r="HB8" s="3578"/>
      <c r="HC8" s="3578"/>
      <c r="HD8" s="3578"/>
      <c r="HE8" s="3578"/>
      <c r="HF8" s="3578"/>
      <c r="HG8" s="3578"/>
      <c r="HH8" s="3578"/>
      <c r="HI8" s="3578"/>
      <c r="HJ8" s="3578"/>
      <c r="HK8" s="3578"/>
      <c r="HL8" s="3578"/>
      <c r="HM8" s="3578"/>
      <c r="HN8" s="3578"/>
      <c r="HO8" s="3578"/>
      <c r="HP8" s="3578"/>
      <c r="HQ8" s="3578"/>
      <c r="HR8" s="3578"/>
      <c r="HS8" s="3578"/>
      <c r="HT8" s="3578"/>
      <c r="HU8" s="3578"/>
      <c r="HV8" s="3578"/>
      <c r="HW8" s="3578"/>
      <c r="HX8" s="3578"/>
      <c r="HY8" s="3578"/>
      <c r="HZ8" s="3578"/>
      <c r="IA8" s="3578"/>
      <c r="IB8" s="3578"/>
      <c r="IC8" s="3578"/>
      <c r="ID8" s="3578"/>
      <c r="IE8" s="3578"/>
      <c r="IF8" s="3578"/>
      <c r="IG8" s="3578"/>
      <c r="IH8" s="3578"/>
      <c r="II8" s="3578"/>
      <c r="IJ8" s="3578"/>
      <c r="IK8" s="3578"/>
      <c r="IL8" s="3578"/>
      <c r="IM8" s="3578"/>
      <c r="IN8" s="3578"/>
      <c r="IO8" s="3578"/>
      <c r="IP8" s="3578"/>
      <c r="IQ8" s="3578"/>
      <c r="IR8" s="3578"/>
      <c r="IS8" s="3578"/>
      <c r="IT8" s="3578"/>
      <c r="IU8" s="3578"/>
      <c r="IV8" s="3578"/>
      <c r="IW8" s="3578"/>
      <c r="IX8" s="3578"/>
      <c r="IY8" s="3578"/>
      <c r="IZ8" s="3578"/>
      <c r="JA8" s="3578"/>
      <c r="JB8" s="3578"/>
      <c r="JC8" s="3578"/>
      <c r="JD8" s="3578"/>
      <c r="JE8" s="3578"/>
      <c r="JF8" s="3578"/>
      <c r="JG8" s="3578"/>
      <c r="JH8" s="3578"/>
      <c r="JI8" s="2468"/>
      <c r="JJ8" s="2468"/>
      <c r="JK8" s="2468"/>
      <c r="JL8" s="2468"/>
      <c r="JM8" s="2468"/>
      <c r="JN8" s="2468"/>
      <c r="JO8" s="2468"/>
      <c r="JP8" s="2468"/>
      <c r="JQ8" s="2468"/>
      <c r="JR8" s="2468"/>
      <c r="JS8" s="2468"/>
      <c r="JT8" s="2468"/>
      <c r="JU8" s="2468"/>
      <c r="JV8" s="2468"/>
      <c r="JW8" s="2468"/>
      <c r="JX8" s="2468"/>
      <c r="JY8" s="2468"/>
      <c r="JZ8" s="2468"/>
      <c r="KA8" s="2468"/>
      <c r="KB8" s="2468"/>
      <c r="KC8" s="2468"/>
      <c r="KD8" s="2468"/>
      <c r="KE8" s="2468"/>
      <c r="KF8" s="2468"/>
      <c r="KG8" s="2468"/>
      <c r="KH8" s="2467" t="s">
        <v>525</v>
      </c>
      <c r="KI8" s="2467" t="s">
        <v>2239</v>
      </c>
      <c r="KJ8" s="2467" t="s">
        <v>2240</v>
      </c>
      <c r="KK8" s="2467" t="s">
        <v>2241</v>
      </c>
      <c r="KL8" s="2467" t="s">
        <v>2242</v>
      </c>
      <c r="KM8" s="2467" t="s">
        <v>525</v>
      </c>
      <c r="KN8" s="2467" t="s">
        <v>2239</v>
      </c>
      <c r="KO8" s="2467" t="s">
        <v>2240</v>
      </c>
      <c r="KP8" s="2467" t="s">
        <v>2241</v>
      </c>
      <c r="KQ8" s="2467" t="s">
        <v>2242</v>
      </c>
      <c r="KR8" s="2467" t="s">
        <v>525</v>
      </c>
      <c r="KS8" s="2467" t="s">
        <v>2239</v>
      </c>
      <c r="KT8" s="2467" t="s">
        <v>2240</v>
      </c>
      <c r="KU8" s="2467" t="s">
        <v>2241</v>
      </c>
      <c r="KV8" s="2467" t="s">
        <v>2242</v>
      </c>
      <c r="KW8" s="2467" t="s">
        <v>525</v>
      </c>
      <c r="KX8" s="2467" t="s">
        <v>2239</v>
      </c>
      <c r="KY8" s="2467" t="s">
        <v>2240</v>
      </c>
      <c r="KZ8" s="2467" t="s">
        <v>2241</v>
      </c>
      <c r="LA8" s="2467" t="s">
        <v>2242</v>
      </c>
      <c r="LB8" s="2467" t="s">
        <v>525</v>
      </c>
      <c r="LC8" s="2467" t="s">
        <v>2239</v>
      </c>
      <c r="LD8" s="2467" t="s">
        <v>2240</v>
      </c>
      <c r="LE8" s="2467" t="s">
        <v>2241</v>
      </c>
      <c r="LF8" s="2467" t="s">
        <v>2242</v>
      </c>
      <c r="LG8" s="2467" t="s">
        <v>525</v>
      </c>
      <c r="LH8" s="2467" t="s">
        <v>2239</v>
      </c>
      <c r="LI8" s="2467" t="s">
        <v>2240</v>
      </c>
      <c r="LJ8" s="2467" t="s">
        <v>2241</v>
      </c>
      <c r="LK8" s="2467" t="s">
        <v>2242</v>
      </c>
      <c r="LL8" s="2467" t="s">
        <v>525</v>
      </c>
      <c r="LM8" s="2467" t="s">
        <v>2239</v>
      </c>
      <c r="LN8" s="2467" t="s">
        <v>2240</v>
      </c>
      <c r="LO8" s="2467" t="s">
        <v>2241</v>
      </c>
      <c r="LP8" s="2467" t="s">
        <v>2242</v>
      </c>
      <c r="LQ8" s="2467" t="s">
        <v>525</v>
      </c>
      <c r="LR8" s="2467" t="s">
        <v>2239</v>
      </c>
      <c r="LS8" s="2467" t="s">
        <v>2240</v>
      </c>
      <c r="LT8" s="2467" t="s">
        <v>2241</v>
      </c>
      <c r="LU8" s="2467" t="s">
        <v>2242</v>
      </c>
      <c r="LV8" s="2467" t="s">
        <v>525</v>
      </c>
      <c r="LW8" s="2467" t="s">
        <v>2239</v>
      </c>
      <c r="LX8" s="2467" t="s">
        <v>2240</v>
      </c>
      <c r="LY8" s="2467" t="s">
        <v>2241</v>
      </c>
      <c r="LZ8" s="2467" t="s">
        <v>2242</v>
      </c>
      <c r="MA8" s="2467" t="s">
        <v>525</v>
      </c>
      <c r="MB8" s="2467" t="s">
        <v>2239</v>
      </c>
      <c r="MC8" s="2467" t="s">
        <v>2240</v>
      </c>
      <c r="MD8" s="2467" t="s">
        <v>2241</v>
      </c>
      <c r="ME8" s="2467" t="s">
        <v>2242</v>
      </c>
      <c r="MF8" s="2467" t="s">
        <v>525</v>
      </c>
      <c r="MG8" s="2467" t="s">
        <v>2239</v>
      </c>
      <c r="MH8" s="2467" t="s">
        <v>2240</v>
      </c>
      <c r="MI8" s="2467" t="s">
        <v>2241</v>
      </c>
      <c r="MJ8" s="2467" t="s">
        <v>2242</v>
      </c>
      <c r="MK8" s="2467" t="s">
        <v>525</v>
      </c>
      <c r="ML8" s="2467" t="s">
        <v>2239</v>
      </c>
      <c r="MM8" s="2467" t="s">
        <v>2240</v>
      </c>
      <c r="MN8" s="2467" t="s">
        <v>2241</v>
      </c>
      <c r="MO8" s="2467" t="s">
        <v>2242</v>
      </c>
      <c r="MP8" s="3578"/>
      <c r="MQ8" s="3578"/>
      <c r="MR8" s="3578"/>
      <c r="MS8" s="3578"/>
      <c r="MT8" s="3578"/>
      <c r="MU8" s="3578"/>
      <c r="MV8" s="3578"/>
      <c r="MW8" s="3578"/>
      <c r="MX8" s="3578"/>
      <c r="MY8" s="3578"/>
      <c r="MZ8" s="3578"/>
      <c r="NA8" s="3578"/>
      <c r="NB8" s="3578"/>
      <c r="NC8" s="3578"/>
      <c r="ND8" s="3578"/>
      <c r="NE8" s="3578"/>
      <c r="NF8" s="3578"/>
      <c r="NG8" s="3578"/>
      <c r="NH8" s="3578"/>
      <c r="NI8" s="3578"/>
      <c r="NJ8" s="3578"/>
      <c r="NK8" s="3578"/>
      <c r="NL8" s="3578"/>
      <c r="NM8" s="3578"/>
      <c r="NN8" s="3578"/>
      <c r="NO8" s="3578"/>
      <c r="NP8" s="3578"/>
      <c r="NQ8" s="3578"/>
      <c r="NR8" s="3578"/>
      <c r="NS8" s="3578"/>
      <c r="NT8" s="3587"/>
      <c r="NU8" s="3587"/>
      <c r="NV8" s="3587"/>
      <c r="NW8" s="3587"/>
      <c r="NX8" s="3587"/>
      <c r="NY8" s="3578"/>
      <c r="NZ8" s="3578"/>
      <c r="OA8" s="3578"/>
      <c r="OB8" s="3578"/>
      <c r="OC8" s="3578"/>
      <c r="OD8" s="358"/>
      <c r="OE8" s="358"/>
      <c r="OF8" s="358"/>
      <c r="OG8" s="358"/>
      <c r="OH8" s="358"/>
      <c r="OI8" s="358"/>
      <c r="OJ8" s="358"/>
      <c r="OK8" s="358"/>
      <c r="OL8" s="358"/>
      <c r="OM8" s="358"/>
      <c r="ON8" s="358"/>
      <c r="OO8" s="358"/>
      <c r="OP8" s="358"/>
      <c r="OQ8" s="358"/>
      <c r="OR8" s="358"/>
      <c r="OS8" s="358"/>
      <c r="OT8" s="358"/>
      <c r="OU8" s="358"/>
      <c r="OV8" s="72"/>
      <c r="OW8" s="72"/>
      <c r="OX8" s="72"/>
      <c r="OY8" s="2500"/>
      <c r="OZ8" s="2503">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43"/>
      <c r="B9" s="1045" t="s">
        <v>3644</v>
      </c>
      <c r="C9" s="671" t="s">
        <v>165</v>
      </c>
      <c r="D9" s="671" t="s">
        <v>509</v>
      </c>
      <c r="E9" s="671" t="s">
        <v>1380</v>
      </c>
      <c r="F9" s="671" t="s">
        <v>1380</v>
      </c>
      <c r="G9" s="3647" t="s">
        <v>3989</v>
      </c>
      <c r="H9" s="813" t="s">
        <v>3218</v>
      </c>
      <c r="I9" s="3647"/>
      <c r="J9" s="3652" t="s">
        <v>3983</v>
      </c>
      <c r="K9" s="671" t="s">
        <v>2211</v>
      </c>
      <c r="L9" s="3654" t="s">
        <v>139</v>
      </c>
      <c r="M9" s="3655"/>
      <c r="N9" s="671" t="s">
        <v>2178</v>
      </c>
      <c r="O9" s="671" t="s">
        <v>4376</v>
      </c>
      <c r="P9" s="3656" t="s">
        <v>4138</v>
      </c>
      <c r="Q9" s="3641"/>
      <c r="R9" s="671" t="s">
        <v>2447</v>
      </c>
      <c r="S9" s="671" t="s">
        <v>2449</v>
      </c>
      <c r="T9" s="338"/>
      <c r="W9" s="339"/>
      <c r="X9" s="3578"/>
      <c r="Y9" s="3578"/>
      <c r="Z9" s="3578"/>
      <c r="AA9" s="3578"/>
      <c r="AB9" s="3578"/>
      <c r="AC9" s="3578"/>
      <c r="AD9" s="3578"/>
      <c r="AE9" s="3578"/>
      <c r="AF9" s="3578"/>
      <c r="AG9" s="3578"/>
      <c r="AH9" s="3578"/>
      <c r="AI9" s="3578"/>
      <c r="AJ9" s="3578"/>
      <c r="AK9" s="3578"/>
      <c r="AL9" s="3578"/>
      <c r="AM9" s="3578"/>
      <c r="AN9" s="3578"/>
      <c r="AO9" s="3578"/>
      <c r="AP9" s="3578"/>
      <c r="AQ9" s="3578"/>
      <c r="AR9" s="3578"/>
      <c r="AS9" s="3578"/>
      <c r="AT9" s="3578"/>
      <c r="AU9" s="3578"/>
      <c r="AV9" s="3578"/>
      <c r="AW9" s="3578"/>
      <c r="AX9" s="3578"/>
      <c r="AY9" s="3578"/>
      <c r="AZ9" s="3578"/>
      <c r="BA9" s="3578"/>
      <c r="BB9" s="3578"/>
      <c r="BC9" s="3578"/>
      <c r="BD9" s="3578"/>
      <c r="BE9" s="3578"/>
      <c r="BF9" s="3578"/>
      <c r="BG9" s="3578"/>
      <c r="BH9" s="3578"/>
      <c r="BI9" s="3578"/>
      <c r="BJ9" s="3578"/>
      <c r="BK9" s="3578"/>
      <c r="BL9" s="3578"/>
      <c r="BM9" s="3578"/>
      <c r="BN9" s="3578"/>
      <c r="BO9" s="3578"/>
      <c r="BP9" s="3578"/>
      <c r="BQ9" s="3578"/>
      <c r="BR9" s="3578"/>
      <c r="BS9" s="3578"/>
      <c r="BT9" s="3578"/>
      <c r="BU9" s="3578"/>
      <c r="BV9" s="3578"/>
      <c r="BW9" s="3578"/>
      <c r="BX9" s="3578"/>
      <c r="BY9" s="3578"/>
      <c r="BZ9" s="3578"/>
      <c r="CA9" s="3578"/>
      <c r="CB9" s="3578"/>
      <c r="CC9" s="3578"/>
      <c r="CD9" s="3578"/>
      <c r="CE9" s="3578"/>
      <c r="CF9" s="3578"/>
      <c r="CG9" s="3578"/>
      <c r="CH9" s="3578"/>
      <c r="CI9" s="3578"/>
      <c r="CJ9" s="3578"/>
      <c r="CK9" s="3578"/>
      <c r="CL9" s="3578"/>
      <c r="CM9" s="3578"/>
      <c r="CN9" s="3578"/>
      <c r="CO9" s="3578"/>
      <c r="CP9" s="3578"/>
      <c r="CQ9" s="3578"/>
      <c r="CR9" s="3578"/>
      <c r="CS9" s="3578"/>
      <c r="CT9" s="3578"/>
      <c r="CU9" s="3578"/>
      <c r="CV9" s="3578"/>
      <c r="CW9" s="3578"/>
      <c r="CX9" s="3578"/>
      <c r="CY9" s="3578"/>
      <c r="CZ9" s="3578"/>
      <c r="DA9" s="3578"/>
      <c r="DB9" s="3578"/>
      <c r="DC9" s="3578"/>
      <c r="DD9" s="3578"/>
      <c r="DE9" s="3578"/>
      <c r="DF9" s="3578"/>
      <c r="DG9" s="3578"/>
      <c r="DH9" s="3578"/>
      <c r="DI9" s="3578"/>
      <c r="DJ9" s="3578"/>
      <c r="DK9" s="3578"/>
      <c r="DL9" s="3578"/>
      <c r="DM9" s="3578"/>
      <c r="DN9" s="3578"/>
      <c r="DO9" s="3578"/>
      <c r="DP9" s="3578"/>
      <c r="DQ9" s="3578"/>
      <c r="DR9" s="3578"/>
      <c r="DS9" s="3578"/>
      <c r="DT9" s="3578"/>
      <c r="DU9" s="3578"/>
      <c r="DV9" s="3578"/>
      <c r="DW9" s="3578"/>
      <c r="DX9" s="3578"/>
      <c r="DY9" s="3578"/>
      <c r="DZ9" s="3578"/>
      <c r="EA9" s="3578"/>
      <c r="EB9" s="3578"/>
      <c r="EC9" s="3578"/>
      <c r="ED9" s="3578"/>
      <c r="EE9" s="3578"/>
      <c r="EF9" s="3578"/>
      <c r="EG9" s="3578"/>
      <c r="EH9" s="3578"/>
      <c r="EI9" s="3578"/>
      <c r="EJ9" s="3578"/>
      <c r="EK9" s="3578"/>
      <c r="EL9" s="3578"/>
      <c r="EM9" s="3578"/>
      <c r="EN9" s="3578"/>
      <c r="EO9" s="3578"/>
      <c r="EP9" s="3578"/>
      <c r="EQ9" s="3578"/>
      <c r="ER9" s="3578"/>
      <c r="ES9" s="3578"/>
      <c r="ET9" s="3578"/>
      <c r="EU9" s="3578"/>
      <c r="EV9" s="3578"/>
      <c r="EW9" s="3578"/>
      <c r="EX9" s="3578"/>
      <c r="EY9" s="3578"/>
      <c r="EZ9" s="3578"/>
      <c r="FA9" s="3578"/>
      <c r="FB9" s="3578"/>
      <c r="FC9" s="3578"/>
      <c r="FD9" s="3578"/>
      <c r="FE9" s="3578"/>
      <c r="FF9" s="3578"/>
      <c r="FG9" s="3578"/>
      <c r="FH9" s="3578"/>
      <c r="FI9" s="3578"/>
      <c r="FJ9" s="3578"/>
      <c r="FK9" s="3578"/>
      <c r="FL9" s="3578"/>
      <c r="FM9" s="3578"/>
      <c r="FN9" s="3578"/>
      <c r="FO9" s="3578"/>
      <c r="FP9" s="3578"/>
      <c r="FQ9" s="3578"/>
      <c r="FR9" s="3578"/>
      <c r="FS9" s="3578"/>
      <c r="FT9" s="3578"/>
      <c r="FU9" s="3578"/>
      <c r="FV9" s="3578"/>
      <c r="FW9" s="3578"/>
      <c r="FX9" s="3578"/>
      <c r="FY9" s="3578"/>
      <c r="FZ9" s="3578"/>
      <c r="GA9" s="3578"/>
      <c r="GB9" s="3578"/>
      <c r="GC9" s="3578"/>
      <c r="GD9" s="3578"/>
      <c r="GE9" s="3578"/>
      <c r="GF9" s="3578"/>
      <c r="GG9" s="3578"/>
      <c r="GH9" s="3578"/>
      <c r="GI9" s="3578"/>
      <c r="GJ9" s="3578"/>
      <c r="GK9" s="3578"/>
      <c r="GL9" s="3578"/>
      <c r="GM9" s="3578"/>
      <c r="GN9" s="3578"/>
      <c r="GO9" s="3578"/>
      <c r="GP9" s="3578"/>
      <c r="GQ9" s="3578"/>
      <c r="GR9" s="3578"/>
      <c r="GS9" s="3578"/>
      <c r="GT9" s="3578"/>
      <c r="GU9" s="3578"/>
      <c r="GV9" s="3578"/>
      <c r="GW9" s="3578"/>
      <c r="GX9" s="3578"/>
      <c r="GY9" s="3578"/>
      <c r="GZ9" s="3578"/>
      <c r="HA9" s="3578"/>
      <c r="HB9" s="3578"/>
      <c r="HC9" s="3578"/>
      <c r="HD9" s="3578"/>
      <c r="HE9" s="3578"/>
      <c r="HF9" s="3578"/>
      <c r="HG9" s="3578"/>
      <c r="HH9" s="3578"/>
      <c r="HI9" s="3578"/>
      <c r="HJ9" s="3578"/>
      <c r="HK9" s="3578"/>
      <c r="HL9" s="3578"/>
      <c r="HM9" s="3578"/>
      <c r="HN9" s="3578"/>
      <c r="HO9" s="3578"/>
      <c r="HP9" s="3578"/>
      <c r="HQ9" s="3578"/>
      <c r="HR9" s="3578"/>
      <c r="HS9" s="3578"/>
      <c r="HT9" s="3578"/>
      <c r="HU9" s="3578"/>
      <c r="HV9" s="3578"/>
      <c r="HW9" s="3578"/>
      <c r="HX9" s="3578"/>
      <c r="HY9" s="3578"/>
      <c r="HZ9" s="3578"/>
      <c r="IA9" s="3578"/>
      <c r="IB9" s="3578"/>
      <c r="IC9" s="3578"/>
      <c r="ID9" s="3578"/>
      <c r="IE9" s="3578"/>
      <c r="IF9" s="3578"/>
      <c r="IG9" s="3578"/>
      <c r="IH9" s="3578"/>
      <c r="II9" s="3578"/>
      <c r="IJ9" s="3578"/>
      <c r="IK9" s="3578"/>
      <c r="IL9" s="3578"/>
      <c r="IM9" s="3578"/>
      <c r="IN9" s="3578"/>
      <c r="IO9" s="3578"/>
      <c r="IP9" s="3578"/>
      <c r="IQ9" s="3578"/>
      <c r="IR9" s="3578"/>
      <c r="IS9" s="3578"/>
      <c r="IT9" s="3578"/>
      <c r="IU9" s="3578"/>
      <c r="IV9" s="3578"/>
      <c r="IW9" s="3578"/>
      <c r="IX9" s="3578"/>
      <c r="IY9" s="3578"/>
      <c r="IZ9" s="3578"/>
      <c r="JA9" s="3578"/>
      <c r="JB9" s="3578"/>
      <c r="JC9" s="3578"/>
      <c r="JD9" s="3578"/>
      <c r="JE9" s="3578"/>
      <c r="JF9" s="3578"/>
      <c r="JG9" s="3578"/>
      <c r="JH9" s="3578"/>
      <c r="JI9" s="3578" t="s">
        <v>1369</v>
      </c>
      <c r="JJ9" s="2467" t="s">
        <v>2239</v>
      </c>
      <c r="JK9" s="2467" t="s">
        <v>2240</v>
      </c>
      <c r="JL9" s="2467" t="s">
        <v>2241</v>
      </c>
      <c r="JM9" s="2467" t="s">
        <v>2242</v>
      </c>
      <c r="JN9" s="3578" t="s">
        <v>2293</v>
      </c>
      <c r="JO9" s="3578" t="s">
        <v>2293</v>
      </c>
      <c r="JP9" s="3578" t="s">
        <v>2293</v>
      </c>
      <c r="JQ9" s="3578" t="s">
        <v>2293</v>
      </c>
      <c r="JR9" s="3578" t="s">
        <v>2293</v>
      </c>
      <c r="JS9" s="3578" t="s">
        <v>2929</v>
      </c>
      <c r="JT9" s="3578" t="s">
        <v>2929</v>
      </c>
      <c r="JU9" s="3578" t="s">
        <v>2929</v>
      </c>
      <c r="JV9" s="3578" t="s">
        <v>2929</v>
      </c>
      <c r="JW9" s="3578" t="s">
        <v>2929</v>
      </c>
      <c r="JX9" s="2467" t="s">
        <v>525</v>
      </c>
      <c r="JY9" s="2467" t="s">
        <v>2239</v>
      </c>
      <c r="JZ9" s="2467" t="s">
        <v>2240</v>
      </c>
      <c r="KA9" s="2467" t="s">
        <v>2241</v>
      </c>
      <c r="KB9" s="2467" t="s">
        <v>2242</v>
      </c>
      <c r="KC9" s="2467" t="s">
        <v>525</v>
      </c>
      <c r="KD9" s="2467" t="s">
        <v>2239</v>
      </c>
      <c r="KE9" s="2467" t="s">
        <v>2240</v>
      </c>
      <c r="KF9" s="2467" t="s">
        <v>2241</v>
      </c>
      <c r="KG9" s="2467" t="s">
        <v>2242</v>
      </c>
      <c r="KH9" s="3578" t="s">
        <v>4179</v>
      </c>
      <c r="KI9" s="3578" t="s">
        <v>4179</v>
      </c>
      <c r="KJ9" s="3578" t="s">
        <v>4179</v>
      </c>
      <c r="KK9" s="3578" t="s">
        <v>4179</v>
      </c>
      <c r="KL9" s="3578" t="s">
        <v>4179</v>
      </c>
      <c r="KM9" s="3578" t="s">
        <v>4180</v>
      </c>
      <c r="KN9" s="3578" t="s">
        <v>4180</v>
      </c>
      <c r="KO9" s="3578" t="s">
        <v>4180</v>
      </c>
      <c r="KP9" s="3578" t="s">
        <v>4180</v>
      </c>
      <c r="KQ9" s="3578" t="s">
        <v>4180</v>
      </c>
      <c r="KR9" s="3578" t="s">
        <v>4182</v>
      </c>
      <c r="KS9" s="3578" t="s">
        <v>4182</v>
      </c>
      <c r="KT9" s="3578" t="s">
        <v>4182</v>
      </c>
      <c r="KU9" s="3578" t="s">
        <v>4182</v>
      </c>
      <c r="KV9" s="3578" t="s">
        <v>4182</v>
      </c>
      <c r="KW9" s="3578" t="s">
        <v>4183</v>
      </c>
      <c r="KX9" s="3578" t="s">
        <v>4183</v>
      </c>
      <c r="KY9" s="3578" t="s">
        <v>4183</v>
      </c>
      <c r="KZ9" s="3578" t="s">
        <v>4183</v>
      </c>
      <c r="LA9" s="3578" t="s">
        <v>4183</v>
      </c>
      <c r="LB9" s="3578" t="s">
        <v>4184</v>
      </c>
      <c r="LC9" s="3578" t="s">
        <v>4184</v>
      </c>
      <c r="LD9" s="3578" t="s">
        <v>4184</v>
      </c>
      <c r="LE9" s="3578" t="s">
        <v>4184</v>
      </c>
      <c r="LF9" s="3578" t="s">
        <v>4184</v>
      </c>
      <c r="LG9" s="3578" t="s">
        <v>4377</v>
      </c>
      <c r="LH9" s="3578" t="s">
        <v>4377</v>
      </c>
      <c r="LI9" s="3578" t="s">
        <v>4377</v>
      </c>
      <c r="LJ9" s="3578" t="s">
        <v>4377</v>
      </c>
      <c r="LK9" s="3578" t="s">
        <v>4377</v>
      </c>
      <c r="LL9" s="3578" t="s">
        <v>5077</v>
      </c>
      <c r="LM9" s="3578" t="s">
        <v>5077</v>
      </c>
      <c r="LN9" s="3578" t="s">
        <v>5077</v>
      </c>
      <c r="LO9" s="3578" t="s">
        <v>5077</v>
      </c>
      <c r="LP9" s="3578" t="s">
        <v>5077</v>
      </c>
      <c r="LQ9" s="3578" t="s">
        <v>5078</v>
      </c>
      <c r="LR9" s="3578" t="s">
        <v>5078</v>
      </c>
      <c r="LS9" s="3578" t="s">
        <v>5078</v>
      </c>
      <c r="LT9" s="3578" t="s">
        <v>5078</v>
      </c>
      <c r="LU9" s="3578" t="s">
        <v>5078</v>
      </c>
      <c r="LV9" s="3578" t="s">
        <v>4186</v>
      </c>
      <c r="LW9" s="3578" t="s">
        <v>4186</v>
      </c>
      <c r="LX9" s="3578" t="s">
        <v>4186</v>
      </c>
      <c r="LY9" s="3578" t="s">
        <v>4186</v>
      </c>
      <c r="LZ9" s="3578" t="s">
        <v>4186</v>
      </c>
      <c r="MA9" s="3578" t="s">
        <v>4378</v>
      </c>
      <c r="MB9" s="3578" t="s">
        <v>4378</v>
      </c>
      <c r="MC9" s="3578" t="s">
        <v>4378</v>
      </c>
      <c r="MD9" s="3578" t="s">
        <v>4378</v>
      </c>
      <c r="ME9" s="3578" t="s">
        <v>4378</v>
      </c>
      <c r="MF9" s="3578" t="s">
        <v>5079</v>
      </c>
      <c r="MG9" s="3578" t="s">
        <v>5079</v>
      </c>
      <c r="MH9" s="3578" t="s">
        <v>5079</v>
      </c>
      <c r="MI9" s="3578" t="s">
        <v>5079</v>
      </c>
      <c r="MJ9" s="3578" t="s">
        <v>5079</v>
      </c>
      <c r="MK9" s="3578" t="s">
        <v>5080</v>
      </c>
      <c r="ML9" s="3578" t="s">
        <v>5080</v>
      </c>
      <c r="MM9" s="3578" t="s">
        <v>5080</v>
      </c>
      <c r="MN9" s="3578" t="s">
        <v>5080</v>
      </c>
      <c r="MO9" s="3578" t="s">
        <v>5080</v>
      </c>
      <c r="MP9" s="3578"/>
      <c r="MQ9" s="3578"/>
      <c r="MR9" s="3578"/>
      <c r="MS9" s="3578"/>
      <c r="MT9" s="3578"/>
      <c r="MU9" s="3578"/>
      <c r="MV9" s="3578"/>
      <c r="MW9" s="3578"/>
      <c r="MX9" s="3578"/>
      <c r="MY9" s="3578"/>
      <c r="MZ9" s="3578"/>
      <c r="NA9" s="3578"/>
      <c r="NB9" s="3578"/>
      <c r="NC9" s="3578"/>
      <c r="ND9" s="3578"/>
      <c r="NE9" s="3578"/>
      <c r="NF9" s="3578"/>
      <c r="NG9" s="3578"/>
      <c r="NH9" s="3578"/>
      <c r="NI9" s="3578"/>
      <c r="NJ9" s="3578"/>
      <c r="NK9" s="3578"/>
      <c r="NL9" s="3578"/>
      <c r="NM9" s="3578"/>
      <c r="NN9" s="3578"/>
      <c r="NO9" s="3578"/>
      <c r="NP9" s="3578"/>
      <c r="NQ9" s="3578"/>
      <c r="NR9" s="3578"/>
      <c r="NS9" s="3578"/>
      <c r="NT9" s="3587"/>
      <c r="NU9" s="3587"/>
      <c r="NV9" s="3587"/>
      <c r="NW9" s="3587"/>
      <c r="NX9" s="3587"/>
      <c r="NY9" s="3578"/>
      <c r="NZ9" s="3578"/>
      <c r="OA9" s="3578"/>
      <c r="OB9" s="3578"/>
      <c r="OC9" s="3578"/>
      <c r="OD9" s="359"/>
      <c r="OE9" s="359"/>
      <c r="OF9" s="359"/>
      <c r="OG9" s="359"/>
      <c r="OH9" s="359"/>
      <c r="OI9" s="359"/>
      <c r="OJ9" s="359"/>
      <c r="OK9" s="359"/>
      <c r="OL9" s="359"/>
      <c r="OM9" s="359"/>
      <c r="ON9" s="359"/>
      <c r="OO9" s="359"/>
      <c r="OP9" s="359"/>
      <c r="OQ9" s="359"/>
      <c r="OR9" s="359"/>
      <c r="OS9" s="359"/>
      <c r="OT9" s="359"/>
      <c r="OU9" s="359"/>
      <c r="OV9" s="68"/>
      <c r="OW9" s="68"/>
      <c r="OX9" s="68"/>
      <c r="OY9" s="2504"/>
      <c r="OZ9" s="2505">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43"/>
      <c r="B10" s="1193" t="s">
        <v>3805</v>
      </c>
      <c r="C10" s="671" t="s">
        <v>164</v>
      </c>
      <c r="D10" s="671" t="s">
        <v>166</v>
      </c>
      <c r="E10" s="671" t="s">
        <v>1381</v>
      </c>
      <c r="F10" s="671" t="s">
        <v>1201</v>
      </c>
      <c r="G10" s="3648"/>
      <c r="H10" s="671" t="s">
        <v>3990</v>
      </c>
      <c r="I10" s="3648"/>
      <c r="J10" s="3653"/>
      <c r="K10" s="357" t="s">
        <v>334</v>
      </c>
      <c r="L10" s="671" t="s">
        <v>1430</v>
      </c>
      <c r="M10" s="671" t="s">
        <v>503</v>
      </c>
      <c r="N10" s="671" t="s">
        <v>1380</v>
      </c>
      <c r="O10" s="671" t="s">
        <v>4390</v>
      </c>
      <c r="P10" s="3657"/>
      <c r="Q10" s="3642"/>
      <c r="R10" s="671" t="s">
        <v>1382</v>
      </c>
      <c r="S10" s="671" t="s">
        <v>2450</v>
      </c>
      <c r="T10" s="10" t="s">
        <v>1706</v>
      </c>
      <c r="W10" s="10"/>
      <c r="X10" s="3578"/>
      <c r="Y10" s="3578"/>
      <c r="Z10" s="3578"/>
      <c r="AA10" s="3578"/>
      <c r="AB10" s="3578"/>
      <c r="AC10" s="3578"/>
      <c r="AD10" s="3578"/>
      <c r="AE10" s="3578"/>
      <c r="AF10" s="3578"/>
      <c r="AG10" s="3578"/>
      <c r="AH10" s="3578"/>
      <c r="AI10" s="3578"/>
      <c r="AJ10" s="3578"/>
      <c r="AK10" s="3578"/>
      <c r="AL10" s="3578"/>
      <c r="AM10" s="3578"/>
      <c r="AN10" s="3578"/>
      <c r="AO10" s="3578"/>
      <c r="AP10" s="3578"/>
      <c r="AQ10" s="3578"/>
      <c r="AR10" s="3578"/>
      <c r="AS10" s="3578"/>
      <c r="AT10" s="3578"/>
      <c r="AU10" s="3578"/>
      <c r="AV10" s="3578"/>
      <c r="AW10" s="3578"/>
      <c r="AX10" s="3578"/>
      <c r="AY10" s="3578"/>
      <c r="AZ10" s="3578"/>
      <c r="BA10" s="3578"/>
      <c r="BB10" s="3578"/>
      <c r="BC10" s="3578"/>
      <c r="BD10" s="3578"/>
      <c r="BE10" s="3578"/>
      <c r="BF10" s="3578"/>
      <c r="BG10" s="3578"/>
      <c r="BH10" s="3578"/>
      <c r="BI10" s="3578"/>
      <c r="BJ10" s="3578"/>
      <c r="BK10" s="3578"/>
      <c r="BL10" s="3578"/>
      <c r="BM10" s="3578"/>
      <c r="BN10" s="3578"/>
      <c r="BO10" s="3578"/>
      <c r="BP10" s="3578"/>
      <c r="BQ10" s="3578"/>
      <c r="BR10" s="3578"/>
      <c r="BS10" s="3578"/>
      <c r="BT10" s="3578"/>
      <c r="BU10" s="3578"/>
      <c r="BV10" s="3578"/>
      <c r="BW10" s="3578"/>
      <c r="BX10" s="3578"/>
      <c r="BY10" s="3578"/>
      <c r="BZ10" s="3578"/>
      <c r="CA10" s="3578"/>
      <c r="CB10" s="3578"/>
      <c r="CC10" s="3578"/>
      <c r="CD10" s="3578"/>
      <c r="CE10" s="3578"/>
      <c r="CF10" s="3578"/>
      <c r="CG10" s="3578"/>
      <c r="CH10" s="3578"/>
      <c r="CI10" s="3578"/>
      <c r="CJ10" s="3578"/>
      <c r="CK10" s="3578"/>
      <c r="CL10" s="3578"/>
      <c r="CM10" s="3578"/>
      <c r="CN10" s="3578"/>
      <c r="CO10" s="3578"/>
      <c r="CP10" s="3578"/>
      <c r="CQ10" s="3578"/>
      <c r="CR10" s="3578"/>
      <c r="CS10" s="3578"/>
      <c r="CT10" s="3578"/>
      <c r="CU10" s="3578"/>
      <c r="CV10" s="3578"/>
      <c r="CW10" s="3578"/>
      <c r="CX10" s="3578"/>
      <c r="CY10" s="3578"/>
      <c r="CZ10" s="3578"/>
      <c r="DA10" s="3578"/>
      <c r="DB10" s="3578"/>
      <c r="DC10" s="3578"/>
      <c r="DD10" s="3578"/>
      <c r="DE10" s="3578"/>
      <c r="DF10" s="3578"/>
      <c r="DG10" s="3578"/>
      <c r="DH10" s="3578"/>
      <c r="DI10" s="3578"/>
      <c r="DJ10" s="3578"/>
      <c r="DK10" s="3578"/>
      <c r="DL10" s="3578"/>
      <c r="DM10" s="3578"/>
      <c r="DN10" s="3578"/>
      <c r="DO10" s="3578"/>
      <c r="DP10" s="3578"/>
      <c r="DQ10" s="3578"/>
      <c r="DR10" s="3578"/>
      <c r="DS10" s="3578"/>
      <c r="DT10" s="3578"/>
      <c r="DU10" s="3578"/>
      <c r="DV10" s="3578"/>
      <c r="DW10" s="3578"/>
      <c r="DX10" s="3578"/>
      <c r="DY10" s="3578"/>
      <c r="DZ10" s="3578"/>
      <c r="EA10" s="3578"/>
      <c r="EB10" s="3578"/>
      <c r="EC10" s="3578"/>
      <c r="ED10" s="3578"/>
      <c r="EE10" s="3578"/>
      <c r="EF10" s="3578"/>
      <c r="EG10" s="3578"/>
      <c r="EH10" s="3578"/>
      <c r="EI10" s="3578"/>
      <c r="EJ10" s="3578"/>
      <c r="EK10" s="3578"/>
      <c r="EL10" s="3578"/>
      <c r="EM10" s="3578"/>
      <c r="EN10" s="3578"/>
      <c r="EO10" s="3578"/>
      <c r="EP10" s="3578"/>
      <c r="EQ10" s="3578"/>
      <c r="ER10" s="3578"/>
      <c r="ES10" s="3578"/>
      <c r="ET10" s="3578"/>
      <c r="EU10" s="3578"/>
      <c r="EV10" s="3578"/>
      <c r="EW10" s="3578"/>
      <c r="EX10" s="3578"/>
      <c r="EY10" s="3578"/>
      <c r="EZ10" s="3578"/>
      <c r="FA10" s="3578"/>
      <c r="FB10" s="3578"/>
      <c r="FC10" s="3578"/>
      <c r="FD10" s="3578"/>
      <c r="FE10" s="3578"/>
      <c r="FF10" s="3578"/>
      <c r="FG10" s="3578"/>
      <c r="FH10" s="3578"/>
      <c r="FI10" s="3578"/>
      <c r="FJ10" s="3578"/>
      <c r="FK10" s="3578"/>
      <c r="FL10" s="3578"/>
      <c r="FM10" s="3578"/>
      <c r="FN10" s="3578"/>
      <c r="FO10" s="3578"/>
      <c r="FP10" s="3578"/>
      <c r="FQ10" s="3578"/>
      <c r="FR10" s="3578"/>
      <c r="FS10" s="3578"/>
      <c r="FT10" s="3578"/>
      <c r="FU10" s="3578"/>
      <c r="FV10" s="3578"/>
      <c r="FW10" s="3578"/>
      <c r="FX10" s="3578"/>
      <c r="FY10" s="3578"/>
      <c r="FZ10" s="3578"/>
      <c r="GA10" s="3578"/>
      <c r="GB10" s="3578"/>
      <c r="GC10" s="3578"/>
      <c r="GD10" s="3578"/>
      <c r="GE10" s="3578"/>
      <c r="GF10" s="3578"/>
      <c r="GG10" s="3578"/>
      <c r="GH10" s="3578"/>
      <c r="GI10" s="3578"/>
      <c r="GJ10" s="3578"/>
      <c r="GK10" s="3578"/>
      <c r="GL10" s="3578"/>
      <c r="GM10" s="3578"/>
      <c r="GN10" s="3578"/>
      <c r="GO10" s="3578"/>
      <c r="GP10" s="3578"/>
      <c r="GQ10" s="3578"/>
      <c r="GR10" s="3578"/>
      <c r="GS10" s="3578"/>
      <c r="GT10" s="3578"/>
      <c r="GU10" s="3578"/>
      <c r="GV10" s="3578"/>
      <c r="GW10" s="3578"/>
      <c r="GX10" s="3578"/>
      <c r="GY10" s="3578"/>
      <c r="GZ10" s="3578"/>
      <c r="HA10" s="3578"/>
      <c r="HB10" s="3578"/>
      <c r="HC10" s="3578"/>
      <c r="HD10" s="3578"/>
      <c r="HE10" s="3578"/>
      <c r="HF10" s="3578"/>
      <c r="HG10" s="3578"/>
      <c r="HH10" s="3578"/>
      <c r="HI10" s="3578"/>
      <c r="HJ10" s="3578"/>
      <c r="HK10" s="3578"/>
      <c r="HL10" s="3578"/>
      <c r="HM10" s="3578"/>
      <c r="HN10" s="3578"/>
      <c r="HO10" s="3578"/>
      <c r="HP10" s="3578"/>
      <c r="HQ10" s="3578"/>
      <c r="HR10" s="3578"/>
      <c r="HS10" s="3578"/>
      <c r="HT10" s="3578"/>
      <c r="HU10" s="3578"/>
      <c r="HV10" s="3578"/>
      <c r="HW10" s="3578"/>
      <c r="HX10" s="3578"/>
      <c r="HY10" s="3578"/>
      <c r="HZ10" s="3578"/>
      <c r="IA10" s="3578"/>
      <c r="IB10" s="3578"/>
      <c r="IC10" s="3578"/>
      <c r="ID10" s="3578"/>
      <c r="IE10" s="3578"/>
      <c r="IF10" s="3578"/>
      <c r="IG10" s="3578"/>
      <c r="IH10" s="3578"/>
      <c r="II10" s="3578"/>
      <c r="IJ10" s="3578"/>
      <c r="IK10" s="3578"/>
      <c r="IL10" s="3578"/>
      <c r="IM10" s="3578"/>
      <c r="IN10" s="3578"/>
      <c r="IO10" s="3578"/>
      <c r="IP10" s="3578"/>
      <c r="IQ10" s="3578"/>
      <c r="IR10" s="3578"/>
      <c r="IS10" s="3578"/>
      <c r="IT10" s="3578"/>
      <c r="IU10" s="3578"/>
      <c r="IV10" s="3578"/>
      <c r="IW10" s="3578"/>
      <c r="IX10" s="3578"/>
      <c r="IY10" s="3578"/>
      <c r="IZ10" s="3578"/>
      <c r="JA10" s="3578"/>
      <c r="JB10" s="3578"/>
      <c r="JC10" s="3578"/>
      <c r="JD10" s="3578"/>
      <c r="JE10" s="3578"/>
      <c r="JF10" s="3578"/>
      <c r="JG10" s="3578"/>
      <c r="JH10" s="3578"/>
      <c r="JI10" s="3578"/>
      <c r="JJ10" s="2467" t="s">
        <v>2292</v>
      </c>
      <c r="JK10" s="2467" t="s">
        <v>2292</v>
      </c>
      <c r="JL10" s="2467" t="s">
        <v>2292</v>
      </c>
      <c r="JM10" s="2467" t="s">
        <v>2292</v>
      </c>
      <c r="JN10" s="3578"/>
      <c r="JO10" s="3578"/>
      <c r="JP10" s="3578"/>
      <c r="JQ10" s="3578"/>
      <c r="JR10" s="3578"/>
      <c r="JS10" s="3578"/>
      <c r="JT10" s="3578"/>
      <c r="JU10" s="3578"/>
      <c r="JV10" s="3578"/>
      <c r="JW10" s="3578"/>
      <c r="JX10" s="2467" t="s">
        <v>2294</v>
      </c>
      <c r="JY10" s="2467" t="s">
        <v>2294</v>
      </c>
      <c r="JZ10" s="2467" t="s">
        <v>2294</v>
      </c>
      <c r="KA10" s="2467" t="s">
        <v>2294</v>
      </c>
      <c r="KB10" s="2467" t="s">
        <v>2294</v>
      </c>
      <c r="KC10" s="2467" t="s">
        <v>2930</v>
      </c>
      <c r="KD10" s="2467" t="s">
        <v>2930</v>
      </c>
      <c r="KE10" s="2467" t="s">
        <v>2930</v>
      </c>
      <c r="KF10" s="2467" t="s">
        <v>2930</v>
      </c>
      <c r="KG10" s="2467" t="s">
        <v>2930</v>
      </c>
      <c r="KH10" s="3578"/>
      <c r="KI10" s="3578"/>
      <c r="KJ10" s="3578"/>
      <c r="KK10" s="3578"/>
      <c r="KL10" s="3578"/>
      <c r="KM10" s="3578"/>
      <c r="KN10" s="3578"/>
      <c r="KO10" s="3578"/>
      <c r="KP10" s="3578"/>
      <c r="KQ10" s="3578"/>
      <c r="KR10" s="3578"/>
      <c r="KS10" s="3578"/>
      <c r="KT10" s="3578"/>
      <c r="KU10" s="3578"/>
      <c r="KV10" s="3578"/>
      <c r="KW10" s="3578"/>
      <c r="KX10" s="3578"/>
      <c r="KY10" s="3578"/>
      <c r="KZ10" s="3578"/>
      <c r="LA10" s="3578"/>
      <c r="LB10" s="3578"/>
      <c r="LC10" s="3578"/>
      <c r="LD10" s="3578"/>
      <c r="LE10" s="3578"/>
      <c r="LF10" s="3578"/>
      <c r="LG10" s="3578"/>
      <c r="LH10" s="3578"/>
      <c r="LI10" s="3578"/>
      <c r="LJ10" s="3578"/>
      <c r="LK10" s="3578"/>
      <c r="LL10" s="3578"/>
      <c r="LM10" s="3578"/>
      <c r="LN10" s="3578"/>
      <c r="LO10" s="3578"/>
      <c r="LP10" s="3578"/>
      <c r="LQ10" s="3578"/>
      <c r="LR10" s="3578"/>
      <c r="LS10" s="3578"/>
      <c r="LT10" s="3578"/>
      <c r="LU10" s="3578"/>
      <c r="LV10" s="3578"/>
      <c r="LW10" s="3578"/>
      <c r="LX10" s="3578"/>
      <c r="LY10" s="3578"/>
      <c r="LZ10" s="3578"/>
      <c r="MA10" s="3578"/>
      <c r="MB10" s="3578"/>
      <c r="MC10" s="3578"/>
      <c r="MD10" s="3578"/>
      <c r="ME10" s="3578"/>
      <c r="MF10" s="3578"/>
      <c r="MG10" s="3578"/>
      <c r="MH10" s="3578"/>
      <c r="MI10" s="3578"/>
      <c r="MJ10" s="3578"/>
      <c r="MK10" s="3578"/>
      <c r="ML10" s="3578"/>
      <c r="MM10" s="3578"/>
      <c r="MN10" s="3578"/>
      <c r="MO10" s="3578"/>
      <c r="MP10" s="3578"/>
      <c r="MQ10" s="3578"/>
      <c r="MR10" s="3578"/>
      <c r="MS10" s="3578"/>
      <c r="MT10" s="3578"/>
      <c r="MU10" s="3578"/>
      <c r="MV10" s="3578"/>
      <c r="MW10" s="3578"/>
      <c r="MX10" s="3578"/>
      <c r="MY10" s="3578"/>
      <c r="MZ10" s="3578"/>
      <c r="NA10" s="3578"/>
      <c r="NB10" s="3578"/>
      <c r="NC10" s="3578"/>
      <c r="ND10" s="3578"/>
      <c r="NE10" s="3578"/>
      <c r="NF10" s="3578"/>
      <c r="NG10" s="3578"/>
      <c r="NH10" s="3578"/>
      <c r="NI10" s="3578"/>
      <c r="NJ10" s="3578"/>
      <c r="NK10" s="3578"/>
      <c r="NL10" s="3578"/>
      <c r="NM10" s="3578"/>
      <c r="NN10" s="3578"/>
      <c r="NO10" s="3578"/>
      <c r="NP10" s="3578"/>
      <c r="NQ10" s="3578"/>
      <c r="NR10" s="3578"/>
      <c r="NS10" s="3578"/>
      <c r="NT10" s="3587"/>
      <c r="NU10" s="3587"/>
      <c r="NV10" s="3587"/>
      <c r="NW10" s="3587"/>
      <c r="NX10" s="3587"/>
      <c r="NY10" s="3578"/>
      <c r="NZ10" s="3578"/>
      <c r="OA10" s="3578"/>
      <c r="OB10" s="3578"/>
      <c r="OC10" s="3578"/>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504"/>
      <c r="OZ10" s="2503">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290</v>
      </c>
      <c r="C11" s="129">
        <v>1</v>
      </c>
      <c r="D11" s="1642">
        <v>1</v>
      </c>
      <c r="E11" s="130">
        <v>1</v>
      </c>
      <c r="F11" s="130">
        <v>650</v>
      </c>
      <c r="G11" s="130">
        <v>0</v>
      </c>
      <c r="H11" s="130">
        <v>1218</v>
      </c>
      <c r="I11" s="1355">
        <v>0</v>
      </c>
      <c r="J11" s="1356">
        <v>0</v>
      </c>
      <c r="K11" s="629"/>
      <c r="L11" s="459">
        <f t="shared" ref="L11:L57" si="1">MAX(0,H11-I11-J11)</f>
        <v>1218</v>
      </c>
      <c r="M11" s="459">
        <f t="shared" ref="M11:M57" si="2">MAX(0,E11*L11)</f>
        <v>1218</v>
      </c>
      <c r="N11" s="679" t="s">
        <v>2645</v>
      </c>
      <c r="O11" s="1584" t="s">
        <v>5231</v>
      </c>
      <c r="P11" s="679" t="s">
        <v>5232</v>
      </c>
      <c r="Q11" s="131" t="s">
        <v>2645</v>
      </c>
      <c r="R11" s="721"/>
      <c r="S11" s="722"/>
      <c r="T11" s="3584"/>
      <c r="U11" s="3585"/>
      <c r="V11" s="3585"/>
      <c r="W11" s="3586"/>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f t="shared" ref="BH11:BH57" si="39">IF(AND(C11=1,B11="Unrestricted",NOT(N11="Common Space")),E11,"")</f>
        <v>1</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f t="shared" ref="HB11:HB57" si="189">IF(AND(C11=1,B11="Unrestricted",NOT(N11="Common Space")),E11*F11,"")</f>
        <v>650</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f t="shared" ref="IK11:IK57" si="224">IF(AND($C11=1, $P11="Acquisition/Rehab",$B11="Unrestricted",NOT($B11="N/A-CS"),NOT($N11="Common Space")),$E11,"")</f>
        <v>1</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f t="shared" ref="JJ11:JJ57" si="249">IF(AND($C11=1, NOT(OR($O11="SF Detached",$O11="Mfd Home",$O11="Semi-Detached",$O11="Row House/TH"))),$E11,"")</f>
        <v>1</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f t="shared" ref="LH11:LH57" si="299">IF(AND($C11=1, $O11="Low-Rise Elevator",NOT($Q11="Yes")),$E11,"")</f>
        <v>1</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2469" t="str">
        <f t="shared" ref="MP11:MP57" si="333">IF(AND($B11="NSP 120% AMI",$C11="Efficiency", NOT($N11="Common Space")),$E11,"")</f>
        <v/>
      </c>
      <c r="MQ11" s="2469" t="str">
        <f t="shared" ref="MQ11:MQ57" si="334">IF(AND($B11="NSP 120% AMI",$C11=1,NOT($N11="Common Space")),$E11,"")</f>
        <v/>
      </c>
      <c r="MR11" s="2469" t="str">
        <f t="shared" ref="MR11:MR57" si="335">IF(AND($B11="NSP 120% AMI",$C11=2,NOT($N11="Common Space")),$E11,"")</f>
        <v/>
      </c>
      <c r="MS11" s="2469" t="str">
        <f t="shared" ref="MS11:MS57" si="336">IF(AND($B11="NSP 120% AMI",$C11=3,NOT($N11="Common Space")),$E11,"")</f>
        <v/>
      </c>
      <c r="MT11" s="246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1</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2498" t="s">
        <v>4299</v>
      </c>
      <c r="OZ11" s="2502">
        <v>11</v>
      </c>
    </row>
    <row r="12" spans="1:528" ht="12" customHeight="1">
      <c r="A12" s="86" t="str">
        <f t="shared" si="0"/>
        <v/>
      </c>
      <c r="B12" s="1017" t="s">
        <v>290</v>
      </c>
      <c r="C12" s="132">
        <v>2</v>
      </c>
      <c r="D12" s="1643">
        <v>1</v>
      </c>
      <c r="E12" s="133">
        <v>3</v>
      </c>
      <c r="F12" s="133">
        <v>860</v>
      </c>
      <c r="G12" s="133">
        <v>0</v>
      </c>
      <c r="H12" s="133">
        <v>1386</v>
      </c>
      <c r="I12" s="133">
        <v>0</v>
      </c>
      <c r="J12" s="1357">
        <v>0</v>
      </c>
      <c r="K12" s="630"/>
      <c r="L12" s="460">
        <f t="shared" si="1"/>
        <v>1386</v>
      </c>
      <c r="M12" s="460">
        <f t="shared" si="2"/>
        <v>4158</v>
      </c>
      <c r="N12" s="680" t="s">
        <v>2645</v>
      </c>
      <c r="O12" s="1585" t="s">
        <v>5231</v>
      </c>
      <c r="P12" s="680" t="s">
        <v>5232</v>
      </c>
      <c r="Q12" s="134" t="s">
        <v>2645</v>
      </c>
      <c r="R12" s="723"/>
      <c r="S12" s="724"/>
      <c r="T12" s="3575"/>
      <c r="U12" s="3576"/>
      <c r="V12" s="3576"/>
      <c r="W12" s="3577"/>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f t="shared" si="40"/>
        <v>3</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f t="shared" si="190"/>
        <v>2580</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f t="shared" si="225"/>
        <v>3</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f t="shared" si="250"/>
        <v>3</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f t="shared" si="300"/>
        <v>3</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2469" t="str">
        <f t="shared" si="333"/>
        <v/>
      </c>
      <c r="MQ12" s="2469" t="str">
        <f t="shared" si="334"/>
        <v/>
      </c>
      <c r="MR12" s="2469" t="str">
        <f t="shared" si="335"/>
        <v/>
      </c>
      <c r="MS12" s="2469" t="str">
        <f t="shared" si="336"/>
        <v/>
      </c>
      <c r="MT12" s="246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3</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2498" t="s">
        <v>4300</v>
      </c>
      <c r="OZ12" s="2503">
        <v>12</v>
      </c>
    </row>
    <row r="13" spans="1:528" ht="12" customHeight="1">
      <c r="A13" s="86" t="str">
        <f t="shared" si="0"/>
        <v/>
      </c>
      <c r="B13" s="1017" t="s">
        <v>290</v>
      </c>
      <c r="C13" s="132">
        <v>2</v>
      </c>
      <c r="D13" s="1643">
        <v>2</v>
      </c>
      <c r="E13" s="133">
        <v>3</v>
      </c>
      <c r="F13" s="133">
        <v>952</v>
      </c>
      <c r="G13" s="133">
        <v>0</v>
      </c>
      <c r="H13" s="133">
        <v>1428</v>
      </c>
      <c r="I13" s="133">
        <v>0</v>
      </c>
      <c r="J13" s="1357">
        <v>0</v>
      </c>
      <c r="K13" s="630"/>
      <c r="L13" s="460">
        <f t="shared" si="1"/>
        <v>1428</v>
      </c>
      <c r="M13" s="460">
        <f t="shared" si="2"/>
        <v>4284</v>
      </c>
      <c r="N13" s="680" t="s">
        <v>2645</v>
      </c>
      <c r="O13" s="1585" t="s">
        <v>5231</v>
      </c>
      <c r="P13" s="680" t="s">
        <v>5232</v>
      </c>
      <c r="Q13" s="134" t="s">
        <v>2645</v>
      </c>
      <c r="R13" s="723"/>
      <c r="S13" s="724"/>
      <c r="T13" s="3575"/>
      <c r="U13" s="3576"/>
      <c r="V13" s="3576"/>
      <c r="W13" s="3577"/>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f t="shared" si="40"/>
        <v>3</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f t="shared" si="190"/>
        <v>2856</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f t="shared" si="225"/>
        <v>3</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f t="shared" si="250"/>
        <v>3</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f t="shared" si="300"/>
        <v>3</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2469" t="str">
        <f t="shared" si="333"/>
        <v/>
      </c>
      <c r="MQ13" s="2469" t="str">
        <f t="shared" si="334"/>
        <v/>
      </c>
      <c r="MR13" s="2469" t="str">
        <f t="shared" si="335"/>
        <v/>
      </c>
      <c r="MS13" s="2469" t="str">
        <f t="shared" si="336"/>
        <v/>
      </c>
      <c r="MT13" s="246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3</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2498" t="s">
        <v>4301</v>
      </c>
      <c r="OZ13" s="2503">
        <v>13</v>
      </c>
    </row>
    <row r="14" spans="1:528" ht="12" customHeight="1">
      <c r="A14" s="86" t="str">
        <f t="shared" si="0"/>
        <v/>
      </c>
      <c r="B14" s="1017" t="s">
        <v>5255</v>
      </c>
      <c r="C14" s="132">
        <v>2</v>
      </c>
      <c r="D14" s="1643">
        <v>2</v>
      </c>
      <c r="E14" s="133">
        <v>1</v>
      </c>
      <c r="F14" s="133">
        <v>952</v>
      </c>
      <c r="G14" s="133">
        <v>0</v>
      </c>
      <c r="H14" s="133">
        <v>0</v>
      </c>
      <c r="I14" s="133">
        <v>0</v>
      </c>
      <c r="J14" s="1357">
        <v>0</v>
      </c>
      <c r="K14" s="630"/>
      <c r="L14" s="460">
        <f t="shared" si="1"/>
        <v>0</v>
      </c>
      <c r="M14" s="460">
        <f t="shared" si="2"/>
        <v>0</v>
      </c>
      <c r="N14" s="680" t="s">
        <v>2303</v>
      </c>
      <c r="O14" s="1585" t="s">
        <v>5231</v>
      </c>
      <c r="P14" s="680" t="s">
        <v>5232</v>
      </c>
      <c r="Q14" s="134" t="s">
        <v>2645</v>
      </c>
      <c r="R14" s="723"/>
      <c r="S14" s="724"/>
      <c r="T14" s="3575"/>
      <c r="U14" s="3576"/>
      <c r="V14" s="3576"/>
      <c r="W14" s="3577"/>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f t="shared" si="150"/>
        <v>1</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f t="shared" si="200"/>
        <v>952</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f t="shared" si="230"/>
        <v>1</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f t="shared" si="250"/>
        <v>1</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f t="shared" si="300"/>
        <v>1</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2469" t="str">
        <f t="shared" si="333"/>
        <v/>
      </c>
      <c r="MQ14" s="2469" t="str">
        <f t="shared" si="334"/>
        <v/>
      </c>
      <c r="MR14" s="2469" t="str">
        <f t="shared" si="335"/>
        <v/>
      </c>
      <c r="MS14" s="2469" t="str">
        <f t="shared" si="336"/>
        <v/>
      </c>
      <c r="MT14" s="246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1</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2498" t="s">
        <v>4302</v>
      </c>
      <c r="OZ14" s="2502">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575"/>
      <c r="U15" s="3576"/>
      <c r="V15" s="3576"/>
      <c r="W15" s="3577"/>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2469" t="str">
        <f t="shared" si="333"/>
        <v/>
      </c>
      <c r="MQ15" s="2469" t="str">
        <f t="shared" si="334"/>
        <v/>
      </c>
      <c r="MR15" s="2469" t="str">
        <f t="shared" si="335"/>
        <v/>
      </c>
      <c r="MS15" s="2469" t="str">
        <f t="shared" si="336"/>
        <v/>
      </c>
      <c r="MT15" s="246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2498" t="s">
        <v>4303</v>
      </c>
      <c r="OZ15" s="2503">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575"/>
      <c r="U16" s="3576"/>
      <c r="V16" s="3576"/>
      <c r="W16" s="3577"/>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2469" t="str">
        <f t="shared" si="333"/>
        <v/>
      </c>
      <c r="MQ16" s="2469" t="str">
        <f t="shared" si="334"/>
        <v/>
      </c>
      <c r="MR16" s="2469" t="str">
        <f t="shared" si="335"/>
        <v/>
      </c>
      <c r="MS16" s="2469" t="str">
        <f t="shared" si="336"/>
        <v/>
      </c>
      <c r="MT16" s="246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2498" t="s">
        <v>4304</v>
      </c>
      <c r="OZ16" s="2503">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575"/>
      <c r="U17" s="3576"/>
      <c r="V17" s="3576"/>
      <c r="W17" s="3577"/>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2469" t="str">
        <f t="shared" si="333"/>
        <v/>
      </c>
      <c r="MQ17" s="2469" t="str">
        <f t="shared" si="334"/>
        <v/>
      </c>
      <c r="MR17" s="2469" t="str">
        <f t="shared" si="335"/>
        <v/>
      </c>
      <c r="MS17" s="2469" t="str">
        <f t="shared" si="336"/>
        <v/>
      </c>
      <c r="MT17" s="246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2498" t="s">
        <v>4305</v>
      </c>
      <c r="OZ17" s="2503">
        <v>17</v>
      </c>
    </row>
    <row r="18" spans="1:416" ht="12" customHeight="1">
      <c r="A18" s="86" t="str">
        <f t="shared" si="0"/>
        <v/>
      </c>
      <c r="B18" s="1054">
        <v>30</v>
      </c>
      <c r="C18" s="1019">
        <v>1</v>
      </c>
      <c r="D18" s="1645">
        <v>1</v>
      </c>
      <c r="E18" s="1020">
        <v>2</v>
      </c>
      <c r="F18" s="1020">
        <v>650</v>
      </c>
      <c r="G18" s="1020">
        <f>564+J18</f>
        <v>642</v>
      </c>
      <c r="H18" s="1020">
        <f>533+J18</f>
        <v>611</v>
      </c>
      <c r="I18" s="1020">
        <v>0</v>
      </c>
      <c r="J18" s="1036">
        <f>IF(C18="",0,HLOOKUP(C18,'Part IV-Utility Allowances'!$I$11:$M$25,15))</f>
        <v>78</v>
      </c>
      <c r="K18" s="1037"/>
      <c r="L18" s="1038">
        <f t="shared" si="1"/>
        <v>533</v>
      </c>
      <c r="M18" s="1038">
        <f t="shared" si="2"/>
        <v>1066</v>
      </c>
      <c r="N18" s="1039" t="s">
        <v>2645</v>
      </c>
      <c r="O18" s="1587" t="s">
        <v>5231</v>
      </c>
      <c r="P18" s="1039" t="s">
        <v>5232</v>
      </c>
      <c r="Q18" s="1040" t="s">
        <v>2645</v>
      </c>
      <c r="R18" s="723"/>
      <c r="S18" s="724"/>
      <c r="T18" s="3575"/>
      <c r="U18" s="3576"/>
      <c r="V18" s="3576"/>
      <c r="W18" s="3577"/>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2</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f t="shared" si="179"/>
        <v>1300</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f t="shared" si="219"/>
        <v>2</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f t="shared" si="249"/>
        <v>2</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f t="shared" si="299"/>
        <v>2</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2469" t="str">
        <f t="shared" si="333"/>
        <v/>
      </c>
      <c r="MQ18" s="2469" t="str">
        <f t="shared" si="334"/>
        <v/>
      </c>
      <c r="MR18" s="2469" t="str">
        <f t="shared" si="335"/>
        <v/>
      </c>
      <c r="MS18" s="2469" t="str">
        <f t="shared" si="336"/>
        <v/>
      </c>
      <c r="MT18" s="246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2</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2498" t="s">
        <v>4306</v>
      </c>
      <c r="OZ18" s="2503">
        <v>18</v>
      </c>
    </row>
    <row r="19" spans="1:416" ht="12" customHeight="1">
      <c r="A19" s="86" t="str">
        <f t="shared" si="0"/>
        <v/>
      </c>
      <c r="B19" s="1055">
        <v>30</v>
      </c>
      <c r="C19" s="132">
        <v>1</v>
      </c>
      <c r="D19" s="1643">
        <v>1</v>
      </c>
      <c r="E19" s="133">
        <v>2</v>
      </c>
      <c r="F19" s="133">
        <v>650</v>
      </c>
      <c r="G19" s="133">
        <f>564+J19</f>
        <v>642</v>
      </c>
      <c r="H19" s="133">
        <f>533+J19</f>
        <v>611</v>
      </c>
      <c r="I19" s="133">
        <v>0</v>
      </c>
      <c r="J19" s="1036">
        <f>IF(C19="",0,HLOOKUP(C19,'Part IV-Utility Allowances'!$I$11:$M$25,15))</f>
        <v>78</v>
      </c>
      <c r="K19" s="630"/>
      <c r="L19" s="460">
        <f t="shared" si="1"/>
        <v>533</v>
      </c>
      <c r="M19" s="460">
        <f t="shared" si="2"/>
        <v>1066</v>
      </c>
      <c r="N19" s="680" t="s">
        <v>2645</v>
      </c>
      <c r="O19" s="1585" t="s">
        <v>4185</v>
      </c>
      <c r="P19" s="680" t="s">
        <v>5232</v>
      </c>
      <c r="Q19" s="134" t="s">
        <v>2642</v>
      </c>
      <c r="R19" s="723"/>
      <c r="S19" s="724"/>
      <c r="T19" s="3575"/>
      <c r="U19" s="3576"/>
      <c r="V19" s="3576"/>
      <c r="W19" s="3577"/>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f t="shared" si="29"/>
        <v>2</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f t="shared" si="179"/>
        <v>1300</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f t="shared" si="219"/>
        <v>2</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f t="shared" si="249"/>
        <v>2</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t="str">
        <f t="shared" si="294"/>
        <v/>
      </c>
      <c r="LD19" s="1785" t="str">
        <f t="shared" si="295"/>
        <v/>
      </c>
      <c r="LE19" s="1785" t="str">
        <f t="shared" si="296"/>
        <v/>
      </c>
      <c r="LF19" s="1785" t="str">
        <f t="shared" si="297"/>
        <v/>
      </c>
      <c r="LG19" s="1785" t="str">
        <f t="shared" si="298"/>
        <v/>
      </c>
      <c r="LH19" s="1785" t="str">
        <f t="shared" si="299"/>
        <v/>
      </c>
      <c r="LI19" s="1785" t="str">
        <f t="shared" si="300"/>
        <v/>
      </c>
      <c r="LJ19" s="1785" t="str">
        <f t="shared" si="301"/>
        <v/>
      </c>
      <c r="LK19" s="1785" t="str">
        <f t="shared" si="302"/>
        <v/>
      </c>
      <c r="LL19" s="1785" t="str">
        <f t="shared" si="303"/>
        <v/>
      </c>
      <c r="LM19" s="1785">
        <f t="shared" si="304"/>
        <v>2</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2469" t="str">
        <f t="shared" si="333"/>
        <v/>
      </c>
      <c r="MQ19" s="2469" t="str">
        <f t="shared" si="334"/>
        <v/>
      </c>
      <c r="MR19" s="2469" t="str">
        <f t="shared" si="335"/>
        <v/>
      </c>
      <c r="MS19" s="2469" t="str">
        <f t="shared" si="336"/>
        <v/>
      </c>
      <c r="MT19" s="246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0</v>
      </c>
      <c r="NQ19" s="1640">
        <f t="shared" si="360"/>
        <v>0</v>
      </c>
      <c r="NR19" s="1640">
        <f t="shared" si="361"/>
        <v>0</v>
      </c>
      <c r="NS19" s="1640">
        <f t="shared" si="362"/>
        <v>0</v>
      </c>
      <c r="NT19" s="1640">
        <f t="shared" si="368"/>
        <v>0</v>
      </c>
      <c r="NU19" s="1640">
        <f t="shared" si="369"/>
        <v>0</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2498" t="s">
        <v>4307</v>
      </c>
      <c r="OZ19" s="2503">
        <v>19</v>
      </c>
    </row>
    <row r="20" spans="1:416" ht="12" customHeight="1">
      <c r="A20" s="86" t="str">
        <f t="shared" si="0"/>
        <v/>
      </c>
      <c r="B20" s="1055">
        <v>50</v>
      </c>
      <c r="C20" s="132">
        <v>1</v>
      </c>
      <c r="D20" s="1643">
        <v>1</v>
      </c>
      <c r="E20" s="133">
        <v>1</v>
      </c>
      <c r="F20" s="133">
        <v>650</v>
      </c>
      <c r="G20" s="133">
        <f>993+J20</f>
        <v>1071</v>
      </c>
      <c r="H20" s="133">
        <f>900+J20</f>
        <v>978</v>
      </c>
      <c r="I20" s="133">
        <v>0</v>
      </c>
      <c r="J20" s="1036">
        <f>IF(C20="",0,HLOOKUP(C20,'Part IV-Utility Allowances'!$I$11:$M$25,15))</f>
        <v>78</v>
      </c>
      <c r="K20" s="630"/>
      <c r="L20" s="460">
        <f t="shared" si="1"/>
        <v>900</v>
      </c>
      <c r="M20" s="460">
        <f t="shared" si="2"/>
        <v>900</v>
      </c>
      <c r="N20" s="680" t="s">
        <v>2645</v>
      </c>
      <c r="O20" s="1585" t="s">
        <v>5231</v>
      </c>
      <c r="P20" s="680" t="s">
        <v>5232</v>
      </c>
      <c r="Q20" s="134" t="s">
        <v>2645</v>
      </c>
      <c r="R20" s="723"/>
      <c r="S20" s="724"/>
      <c r="T20" s="3575"/>
      <c r="U20" s="3576"/>
      <c r="V20" s="3576"/>
      <c r="W20" s="3577"/>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f t="shared" si="19"/>
        <v>1</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650</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f t="shared" si="219"/>
        <v>1</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f t="shared" si="249"/>
        <v>1</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t="str">
        <f t="shared" si="294"/>
        <v/>
      </c>
      <c r="LD20" s="1785" t="str">
        <f t="shared" si="295"/>
        <v/>
      </c>
      <c r="LE20" s="1785" t="str">
        <f t="shared" si="296"/>
        <v/>
      </c>
      <c r="LF20" s="1785" t="str">
        <f t="shared" si="297"/>
        <v/>
      </c>
      <c r="LG20" s="1785" t="str">
        <f t="shared" si="298"/>
        <v/>
      </c>
      <c r="LH20" s="1785">
        <f t="shared" si="299"/>
        <v>1</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2469" t="str">
        <f t="shared" si="333"/>
        <v/>
      </c>
      <c r="MQ20" s="2469" t="str">
        <f t="shared" si="334"/>
        <v/>
      </c>
      <c r="MR20" s="2469" t="str">
        <f t="shared" si="335"/>
        <v/>
      </c>
      <c r="MS20" s="2469" t="str">
        <f t="shared" si="336"/>
        <v/>
      </c>
      <c r="MT20" s="246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1</v>
      </c>
      <c r="NQ20" s="1640">
        <f t="shared" si="360"/>
        <v>0</v>
      </c>
      <c r="NR20" s="1640">
        <f t="shared" si="361"/>
        <v>0</v>
      </c>
      <c r="NS20" s="1640">
        <f t="shared" si="362"/>
        <v>0</v>
      </c>
      <c r="NT20" s="1640">
        <f t="shared" si="368"/>
        <v>0</v>
      </c>
      <c r="NU20" s="1640">
        <f t="shared" si="369"/>
        <v>0</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2498" t="s">
        <v>4308</v>
      </c>
      <c r="OZ20" s="2505">
        <v>20</v>
      </c>
    </row>
    <row r="21" spans="1:416" ht="12" customHeight="1">
      <c r="A21" s="86" t="str">
        <f t="shared" si="0"/>
        <v/>
      </c>
      <c r="B21" s="1055">
        <v>50</v>
      </c>
      <c r="C21" s="132">
        <v>1</v>
      </c>
      <c r="D21" s="1643">
        <v>1</v>
      </c>
      <c r="E21" s="133">
        <v>1</v>
      </c>
      <c r="F21" s="133">
        <v>650</v>
      </c>
      <c r="G21" s="133">
        <f>993+J21</f>
        <v>1071</v>
      </c>
      <c r="H21" s="133">
        <f>900+J21</f>
        <v>978</v>
      </c>
      <c r="I21" s="133">
        <v>0</v>
      </c>
      <c r="J21" s="1036">
        <f>IF(C21="",0,HLOOKUP(C21,'Part IV-Utility Allowances'!$I$11:$M$25,15))</f>
        <v>78</v>
      </c>
      <c r="K21" s="630"/>
      <c r="L21" s="460">
        <f t="shared" si="1"/>
        <v>900</v>
      </c>
      <c r="M21" s="460">
        <f t="shared" si="2"/>
        <v>900</v>
      </c>
      <c r="N21" s="680" t="s">
        <v>2645</v>
      </c>
      <c r="O21" s="1585" t="s">
        <v>4185</v>
      </c>
      <c r="P21" s="680" t="s">
        <v>5232</v>
      </c>
      <c r="Q21" s="134" t="s">
        <v>2642</v>
      </c>
      <c r="R21" s="723"/>
      <c r="S21" s="724"/>
      <c r="T21" s="3575"/>
      <c r="U21" s="3576"/>
      <c r="V21" s="3576"/>
      <c r="W21" s="3577"/>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f t="shared" si="19"/>
        <v>1</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650</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f t="shared" si="219"/>
        <v>1</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f t="shared" si="249"/>
        <v>1</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t="str">
        <f t="shared" si="296"/>
        <v/>
      </c>
      <c r="LF21" s="1785" t="str">
        <f t="shared" si="297"/>
        <v/>
      </c>
      <c r="LG21" s="1785" t="str">
        <f t="shared" si="298"/>
        <v/>
      </c>
      <c r="LH21" s="1785" t="str">
        <f t="shared" si="299"/>
        <v/>
      </c>
      <c r="LI21" s="1785" t="str">
        <f t="shared" si="300"/>
        <v/>
      </c>
      <c r="LJ21" s="1785" t="str">
        <f t="shared" si="301"/>
        <v/>
      </c>
      <c r="LK21" s="1785" t="str">
        <f t="shared" si="302"/>
        <v/>
      </c>
      <c r="LL21" s="1785" t="str">
        <f t="shared" si="303"/>
        <v/>
      </c>
      <c r="LM21" s="1785">
        <f t="shared" si="304"/>
        <v>1</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2469" t="str">
        <f t="shared" si="333"/>
        <v/>
      </c>
      <c r="MQ21" s="2469" t="str">
        <f t="shared" si="334"/>
        <v/>
      </c>
      <c r="MR21" s="2469" t="str">
        <f t="shared" si="335"/>
        <v/>
      </c>
      <c r="MS21" s="2469" t="str">
        <f t="shared" si="336"/>
        <v/>
      </c>
      <c r="MT21" s="246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0</v>
      </c>
      <c r="NQ21" s="1640">
        <f t="shared" si="360"/>
        <v>0</v>
      </c>
      <c r="NR21" s="1640">
        <f t="shared" si="361"/>
        <v>0</v>
      </c>
      <c r="NS21" s="1640">
        <f t="shared" si="362"/>
        <v>0</v>
      </c>
      <c r="NT21" s="1640">
        <f t="shared" si="368"/>
        <v>0</v>
      </c>
      <c r="NU21" s="1640">
        <f t="shared" si="369"/>
        <v>0</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2498" t="s">
        <v>4309</v>
      </c>
      <c r="OZ21" s="2503">
        <v>21</v>
      </c>
    </row>
    <row r="22" spans="1:416" ht="12" customHeight="1">
      <c r="A22" s="86" t="str">
        <f t="shared" si="0"/>
        <v/>
      </c>
      <c r="B22" s="1055">
        <v>60</v>
      </c>
      <c r="C22" s="132">
        <v>1</v>
      </c>
      <c r="D22" s="1643">
        <v>1</v>
      </c>
      <c r="E22" s="133">
        <v>15</v>
      </c>
      <c r="F22" s="133">
        <v>650</v>
      </c>
      <c r="G22" s="133">
        <f>1207+J22</f>
        <v>1285</v>
      </c>
      <c r="H22" s="133">
        <f>1144+J22</f>
        <v>1222</v>
      </c>
      <c r="I22" s="133">
        <v>0</v>
      </c>
      <c r="J22" s="1036">
        <f>IF(C22="",0,HLOOKUP(C22,'Part IV-Utility Allowances'!$I$11:$M$25,15))</f>
        <v>78</v>
      </c>
      <c r="K22" s="630"/>
      <c r="L22" s="460">
        <f t="shared" si="1"/>
        <v>1144</v>
      </c>
      <c r="M22" s="460">
        <f t="shared" si="2"/>
        <v>17160</v>
      </c>
      <c r="N22" s="680" t="s">
        <v>2645</v>
      </c>
      <c r="O22" s="1585" t="s">
        <v>5231</v>
      </c>
      <c r="P22" s="680" t="s">
        <v>5232</v>
      </c>
      <c r="Q22" s="134" t="s">
        <v>2645</v>
      </c>
      <c r="R22" s="723"/>
      <c r="S22" s="724"/>
      <c r="T22" s="3575"/>
      <c r="U22" s="3576"/>
      <c r="V22" s="3576"/>
      <c r="W22" s="3577"/>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f t="shared" si="14"/>
        <v>15</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f t="shared" si="164"/>
        <v>9750</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f t="shared" si="219"/>
        <v>15</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f t="shared" si="249"/>
        <v>15</v>
      </c>
      <c r="JK22" s="1785" t="str">
        <f t="shared" si="250"/>
        <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t="str">
        <f t="shared" si="295"/>
        <v/>
      </c>
      <c r="LE22" s="1785" t="str">
        <f t="shared" si="296"/>
        <v/>
      </c>
      <c r="LF22" s="1785" t="str">
        <f t="shared" si="297"/>
        <v/>
      </c>
      <c r="LG22" s="1785" t="str">
        <f t="shared" si="298"/>
        <v/>
      </c>
      <c r="LH22" s="1785">
        <f t="shared" si="299"/>
        <v>15</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2469" t="str">
        <f t="shared" si="333"/>
        <v/>
      </c>
      <c r="MQ22" s="2469" t="str">
        <f t="shared" si="334"/>
        <v/>
      </c>
      <c r="MR22" s="2469" t="str">
        <f t="shared" si="335"/>
        <v/>
      </c>
      <c r="MS22" s="2469" t="str">
        <f t="shared" si="336"/>
        <v/>
      </c>
      <c r="MT22" s="246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15</v>
      </c>
      <c r="NQ22" s="1640">
        <f t="shared" si="360"/>
        <v>0</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2498" t="s">
        <v>4310</v>
      </c>
      <c r="OZ22" s="2502">
        <v>22</v>
      </c>
    </row>
    <row r="23" spans="1:416" ht="12" customHeight="1">
      <c r="A23" s="86" t="str">
        <f t="shared" si="0"/>
        <v/>
      </c>
      <c r="B23" s="1055">
        <v>60</v>
      </c>
      <c r="C23" s="132">
        <v>1</v>
      </c>
      <c r="D23" s="1643">
        <v>1</v>
      </c>
      <c r="E23" s="133">
        <v>3</v>
      </c>
      <c r="F23" s="133">
        <v>650</v>
      </c>
      <c r="G23" s="133">
        <f>1207+J23</f>
        <v>1285</v>
      </c>
      <c r="H23" s="133">
        <f>1144+J23</f>
        <v>1222</v>
      </c>
      <c r="I23" s="133">
        <v>0</v>
      </c>
      <c r="J23" s="1036">
        <f>IF(C23="",0,HLOOKUP(C23,'Part IV-Utility Allowances'!$I$11:$M$25,15))</f>
        <v>78</v>
      </c>
      <c r="K23" s="630"/>
      <c r="L23" s="460">
        <f t="shared" si="1"/>
        <v>1144</v>
      </c>
      <c r="M23" s="460">
        <f t="shared" si="2"/>
        <v>3432</v>
      </c>
      <c r="N23" s="680" t="s">
        <v>2645</v>
      </c>
      <c r="O23" s="1585" t="s">
        <v>4185</v>
      </c>
      <c r="P23" s="680" t="s">
        <v>5232</v>
      </c>
      <c r="Q23" s="134" t="s">
        <v>2642</v>
      </c>
      <c r="R23" s="723"/>
      <c r="S23" s="724"/>
      <c r="T23" s="3575"/>
      <c r="U23" s="3576"/>
      <c r="V23" s="3576"/>
      <c r="W23" s="3577"/>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f t="shared" si="14"/>
        <v>3</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f t="shared" si="164"/>
        <v>1950</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f t="shared" si="219"/>
        <v>3</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f t="shared" si="249"/>
        <v>3</v>
      </c>
      <c r="JK23" s="1785" t="str">
        <f t="shared" si="250"/>
        <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t="str">
        <f t="shared" si="295"/>
        <v/>
      </c>
      <c r="LE23" s="1785" t="str">
        <f t="shared" si="296"/>
        <v/>
      </c>
      <c r="LF23" s="1785" t="str">
        <f t="shared" si="297"/>
        <v/>
      </c>
      <c r="LG23" s="1785" t="str">
        <f t="shared" si="298"/>
        <v/>
      </c>
      <c r="LH23" s="1785" t="str">
        <f t="shared" si="299"/>
        <v/>
      </c>
      <c r="LI23" s="1785" t="str">
        <f t="shared" si="300"/>
        <v/>
      </c>
      <c r="LJ23" s="1785" t="str">
        <f t="shared" si="301"/>
        <v/>
      </c>
      <c r="LK23" s="1785" t="str">
        <f t="shared" si="302"/>
        <v/>
      </c>
      <c r="LL23" s="1785" t="str">
        <f t="shared" si="303"/>
        <v/>
      </c>
      <c r="LM23" s="1785">
        <f t="shared" si="304"/>
        <v>3</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2469" t="str">
        <f t="shared" si="333"/>
        <v/>
      </c>
      <c r="MQ23" s="2469" t="str">
        <f t="shared" si="334"/>
        <v/>
      </c>
      <c r="MR23" s="2469" t="str">
        <f t="shared" si="335"/>
        <v/>
      </c>
      <c r="MS23" s="2469" t="str">
        <f t="shared" si="336"/>
        <v/>
      </c>
      <c r="MT23" s="246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0</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2498" t="s">
        <v>4311</v>
      </c>
      <c r="OZ23" s="2503">
        <v>23</v>
      </c>
    </row>
    <row r="24" spans="1:416" ht="12" customHeight="1">
      <c r="A24" s="86" t="str">
        <f t="shared" si="0"/>
        <v/>
      </c>
      <c r="B24" s="1055"/>
      <c r="C24" s="132"/>
      <c r="D24" s="1643"/>
      <c r="E24" s="133"/>
      <c r="F24" s="133"/>
      <c r="G24" s="133"/>
      <c r="H24" s="133"/>
      <c r="I24" s="133"/>
      <c r="J24" s="1036">
        <f>IF(C24="",0,HLOOKUP(C24,'Part IV-Utility Allowances'!$I$11:$M$25,15))</f>
        <v>0</v>
      </c>
      <c r="K24" s="630"/>
      <c r="L24" s="460">
        <f t="shared" si="1"/>
        <v>0</v>
      </c>
      <c r="M24" s="460">
        <f t="shared" si="2"/>
        <v>0</v>
      </c>
      <c r="N24" s="680"/>
      <c r="O24" s="1585"/>
      <c r="P24" s="680"/>
      <c r="Q24" s="134"/>
      <c r="R24" s="723"/>
      <c r="S24" s="724"/>
      <c r="T24" s="3575"/>
      <c r="U24" s="3576"/>
      <c r="V24" s="3576"/>
      <c r="W24" s="3577"/>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t="str">
        <f t="shared" si="250"/>
        <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t="str">
        <f t="shared" si="295"/>
        <v/>
      </c>
      <c r="LE24" s="1785" t="str">
        <f t="shared" si="296"/>
        <v/>
      </c>
      <c r="LF24" s="1785" t="str">
        <f t="shared" si="297"/>
        <v/>
      </c>
      <c r="LG24" s="1785" t="str">
        <f t="shared" si="298"/>
        <v/>
      </c>
      <c r="LH24" s="1785" t="str">
        <f t="shared" si="299"/>
        <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2469" t="str">
        <f t="shared" si="333"/>
        <v/>
      </c>
      <c r="MQ24" s="2469" t="str">
        <f t="shared" si="334"/>
        <v/>
      </c>
      <c r="MR24" s="2469" t="str">
        <f t="shared" si="335"/>
        <v/>
      </c>
      <c r="MS24" s="2469" t="str">
        <f t="shared" si="336"/>
        <v/>
      </c>
      <c r="MT24" s="246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0</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2498" t="s">
        <v>4312</v>
      </c>
      <c r="OZ24" s="2503">
        <v>24</v>
      </c>
    </row>
    <row r="25" spans="1:416" ht="12" customHeight="1">
      <c r="A25" s="86" t="str">
        <f t="shared" si="0"/>
        <v/>
      </c>
      <c r="B25" s="1055">
        <v>30</v>
      </c>
      <c r="C25" s="132">
        <v>2</v>
      </c>
      <c r="D25" s="1643">
        <v>1</v>
      </c>
      <c r="E25" s="133">
        <v>2</v>
      </c>
      <c r="F25" s="133">
        <v>860</v>
      </c>
      <c r="G25" s="133">
        <f>671+J25</f>
        <v>771</v>
      </c>
      <c r="H25" s="133">
        <f>655+J25</f>
        <v>755</v>
      </c>
      <c r="I25" s="133">
        <v>0</v>
      </c>
      <c r="J25" s="1036">
        <f>IF(C25="",0,HLOOKUP(C25,'Part IV-Utility Allowances'!$I$11:$M$25,15))</f>
        <v>100</v>
      </c>
      <c r="K25" s="630"/>
      <c r="L25" s="460">
        <f t="shared" si="1"/>
        <v>655</v>
      </c>
      <c r="M25" s="460">
        <f t="shared" si="2"/>
        <v>1310</v>
      </c>
      <c r="N25" s="680" t="s">
        <v>2645</v>
      </c>
      <c r="O25" s="1585" t="s">
        <v>5231</v>
      </c>
      <c r="P25" s="680" t="s">
        <v>5232</v>
      </c>
      <c r="Q25" s="134" t="s">
        <v>2645</v>
      </c>
      <c r="R25" s="723"/>
      <c r="S25" s="724"/>
      <c r="T25" s="3575"/>
      <c r="U25" s="3576"/>
      <c r="V25" s="3576"/>
      <c r="W25" s="3577"/>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f t="shared" si="30"/>
        <v>2</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f t="shared" si="180"/>
        <v>1720</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f t="shared" si="220"/>
        <v>2</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f t="shared" si="250"/>
        <v>2</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t="str">
        <f t="shared" si="296"/>
        <v/>
      </c>
      <c r="LF25" s="1785" t="str">
        <f t="shared" si="297"/>
        <v/>
      </c>
      <c r="LG25" s="1785" t="str">
        <f t="shared" si="298"/>
        <v/>
      </c>
      <c r="LH25" s="1785" t="str">
        <f t="shared" si="299"/>
        <v/>
      </c>
      <c r="LI25" s="1785">
        <f t="shared" si="300"/>
        <v>2</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2469" t="str">
        <f t="shared" si="333"/>
        <v/>
      </c>
      <c r="MQ25" s="2469" t="str">
        <f t="shared" si="334"/>
        <v/>
      </c>
      <c r="MR25" s="2469" t="str">
        <f t="shared" si="335"/>
        <v/>
      </c>
      <c r="MS25" s="2469" t="str">
        <f t="shared" si="336"/>
        <v/>
      </c>
      <c r="MT25" s="246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2</v>
      </c>
      <c r="NR25" s="1640">
        <f t="shared" si="361"/>
        <v>0</v>
      </c>
      <c r="NS25" s="1640">
        <f t="shared" si="362"/>
        <v>0</v>
      </c>
      <c r="NT25" s="1640">
        <f t="shared" si="368"/>
        <v>0</v>
      </c>
      <c r="NU25" s="1640">
        <f t="shared" si="369"/>
        <v>0</v>
      </c>
      <c r="NV25" s="1640">
        <f t="shared" si="370"/>
        <v>0</v>
      </c>
      <c r="NW25" s="1640">
        <f t="shared" si="371"/>
        <v>0</v>
      </c>
      <c r="NX25" s="1640">
        <f t="shared" si="372"/>
        <v>0</v>
      </c>
      <c r="NY25" s="1640">
        <f t="shared" si="363"/>
        <v>0</v>
      </c>
      <c r="NZ25" s="1640">
        <f t="shared" si="364"/>
        <v>0</v>
      </c>
      <c r="OA25" s="1640">
        <f t="shared" si="365"/>
        <v>0</v>
      </c>
      <c r="OB25" s="1640">
        <f t="shared" si="366"/>
        <v>0</v>
      </c>
      <c r="OC25" s="1640">
        <f t="shared" si="367"/>
        <v>0</v>
      </c>
      <c r="OY25" s="2498" t="s">
        <v>4313</v>
      </c>
      <c r="OZ25" s="2502">
        <v>25</v>
      </c>
    </row>
    <row r="26" spans="1:416" ht="12" customHeight="1">
      <c r="A26" s="86" t="str">
        <f t="shared" si="0"/>
        <v/>
      </c>
      <c r="B26" s="1055">
        <v>50</v>
      </c>
      <c r="C26" s="132">
        <v>2</v>
      </c>
      <c r="D26" s="1643">
        <v>1</v>
      </c>
      <c r="E26" s="133">
        <v>3</v>
      </c>
      <c r="F26" s="133">
        <v>860</v>
      </c>
      <c r="G26" s="133">
        <f>1185+J26</f>
        <v>1285</v>
      </c>
      <c r="H26" s="133">
        <f>1123+J26</f>
        <v>1223</v>
      </c>
      <c r="I26" s="133">
        <v>0</v>
      </c>
      <c r="J26" s="1036">
        <f>IF(C26="",0,HLOOKUP(C26,'Part IV-Utility Allowances'!$I$11:$M$25,15))</f>
        <v>100</v>
      </c>
      <c r="K26" s="630"/>
      <c r="L26" s="460">
        <f t="shared" si="1"/>
        <v>1123</v>
      </c>
      <c r="M26" s="460">
        <f t="shared" si="2"/>
        <v>3369</v>
      </c>
      <c r="N26" s="680" t="s">
        <v>2645</v>
      </c>
      <c r="O26" s="1585" t="s">
        <v>5231</v>
      </c>
      <c r="P26" s="680" t="s">
        <v>5232</v>
      </c>
      <c r="Q26" s="134" t="s">
        <v>2645</v>
      </c>
      <c r="R26" s="723"/>
      <c r="S26" s="724"/>
      <c r="T26" s="3575"/>
      <c r="U26" s="3576"/>
      <c r="V26" s="3576"/>
      <c r="W26" s="3577"/>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f t="shared" si="20"/>
        <v>3</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f t="shared" si="170"/>
        <v>2580</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f t="shared" si="220"/>
        <v>3</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f t="shared" si="250"/>
        <v>3</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t="str">
        <f t="shared" si="296"/>
        <v/>
      </c>
      <c r="LF26" s="1785" t="str">
        <f t="shared" si="297"/>
        <v/>
      </c>
      <c r="LG26" s="1785" t="str">
        <f t="shared" si="298"/>
        <v/>
      </c>
      <c r="LH26" s="1785" t="str">
        <f t="shared" si="299"/>
        <v/>
      </c>
      <c r="LI26" s="1785">
        <f t="shared" si="300"/>
        <v>3</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2469" t="str">
        <f t="shared" si="333"/>
        <v/>
      </c>
      <c r="MQ26" s="2469" t="str">
        <f t="shared" si="334"/>
        <v/>
      </c>
      <c r="MR26" s="2469" t="str">
        <f t="shared" si="335"/>
        <v/>
      </c>
      <c r="MS26" s="2469" t="str">
        <f t="shared" si="336"/>
        <v/>
      </c>
      <c r="MT26" s="246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3</v>
      </c>
      <c r="NR26" s="1640">
        <f t="shared" si="361"/>
        <v>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2498" t="s">
        <v>4314</v>
      </c>
      <c r="OZ26" s="2503">
        <v>26</v>
      </c>
    </row>
    <row r="27" spans="1:416" ht="12" customHeight="1">
      <c r="A27" s="86" t="str">
        <f t="shared" si="0"/>
        <v/>
      </c>
      <c r="B27" s="1055">
        <v>60</v>
      </c>
      <c r="C27" s="132">
        <v>2</v>
      </c>
      <c r="D27" s="1643">
        <v>1</v>
      </c>
      <c r="E27" s="133">
        <v>53</v>
      </c>
      <c r="F27" s="133">
        <v>860</v>
      </c>
      <c r="G27" s="133">
        <v>1542</v>
      </c>
      <c r="H27" s="133">
        <f>1237+J27</f>
        <v>1337</v>
      </c>
      <c r="I27" s="133">
        <v>0</v>
      </c>
      <c r="J27" s="1036">
        <f>IF(C27="",0,HLOOKUP(C27,'Part IV-Utility Allowances'!$I$11:$M$25,15))</f>
        <v>100</v>
      </c>
      <c r="K27" s="630"/>
      <c r="L27" s="460">
        <f t="shared" si="1"/>
        <v>1237</v>
      </c>
      <c r="M27" s="460">
        <f t="shared" si="2"/>
        <v>65561</v>
      </c>
      <c r="N27" s="680" t="s">
        <v>2645</v>
      </c>
      <c r="O27" s="1585" t="s">
        <v>5231</v>
      </c>
      <c r="P27" s="680" t="s">
        <v>5232</v>
      </c>
      <c r="Q27" s="134" t="s">
        <v>2645</v>
      </c>
      <c r="R27" s="723"/>
      <c r="S27" s="724"/>
      <c r="T27" s="3575"/>
      <c r="U27" s="3576"/>
      <c r="V27" s="3576"/>
      <c r="W27" s="3577"/>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f t="shared" si="15"/>
        <v>53</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f t="shared" si="165"/>
        <v>45580</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f t="shared" si="220"/>
        <v>53</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f t="shared" si="250"/>
        <v>53</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t="str">
        <f t="shared" si="295"/>
        <v/>
      </c>
      <c r="LE27" s="1785" t="str">
        <f t="shared" si="296"/>
        <v/>
      </c>
      <c r="LF27" s="1785" t="str">
        <f t="shared" si="297"/>
        <v/>
      </c>
      <c r="LG27" s="1785" t="str">
        <f t="shared" si="298"/>
        <v/>
      </c>
      <c r="LH27" s="1785" t="str">
        <f t="shared" si="299"/>
        <v/>
      </c>
      <c r="LI27" s="1785">
        <f t="shared" si="300"/>
        <v>53</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2469" t="str">
        <f t="shared" si="333"/>
        <v/>
      </c>
      <c r="MQ27" s="2469" t="str">
        <f t="shared" si="334"/>
        <v/>
      </c>
      <c r="MR27" s="2469" t="str">
        <f t="shared" si="335"/>
        <v/>
      </c>
      <c r="MS27" s="2469" t="str">
        <f t="shared" si="336"/>
        <v/>
      </c>
      <c r="MT27" s="246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53</v>
      </c>
      <c r="NR27" s="1640">
        <f t="shared" si="361"/>
        <v>0</v>
      </c>
      <c r="NS27" s="1640">
        <f t="shared" si="362"/>
        <v>0</v>
      </c>
      <c r="NT27" s="1640">
        <f t="shared" si="368"/>
        <v>0</v>
      </c>
      <c r="NU27" s="1640">
        <f t="shared" si="369"/>
        <v>0</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2498" t="s">
        <v>4315</v>
      </c>
      <c r="OZ27" s="2503">
        <v>27</v>
      </c>
    </row>
    <row r="28" spans="1:416" ht="12" customHeight="1">
      <c r="A28" s="86" t="str">
        <f t="shared" si="0"/>
        <v/>
      </c>
      <c r="B28" s="1055">
        <v>60</v>
      </c>
      <c r="C28" s="132">
        <v>2</v>
      </c>
      <c r="D28" s="1643">
        <v>1</v>
      </c>
      <c r="E28" s="133">
        <v>2</v>
      </c>
      <c r="F28" s="133">
        <v>860</v>
      </c>
      <c r="G28" s="133">
        <v>1542</v>
      </c>
      <c r="H28" s="133">
        <f>1237+J28</f>
        <v>1337</v>
      </c>
      <c r="I28" s="133">
        <v>0</v>
      </c>
      <c r="J28" s="1036">
        <f>IF(C28="",0,HLOOKUP(C28,'Part IV-Utility Allowances'!$I$11:$M$25,15))</f>
        <v>100</v>
      </c>
      <c r="K28" s="630"/>
      <c r="L28" s="460">
        <f t="shared" si="1"/>
        <v>1237</v>
      </c>
      <c r="M28" s="460">
        <f t="shared" si="2"/>
        <v>2474</v>
      </c>
      <c r="N28" s="680" t="s">
        <v>2645</v>
      </c>
      <c r="O28" s="1585" t="s">
        <v>4185</v>
      </c>
      <c r="P28" s="680" t="s">
        <v>5232</v>
      </c>
      <c r="Q28" s="134" t="s">
        <v>2642</v>
      </c>
      <c r="R28" s="723"/>
      <c r="S28" s="724"/>
      <c r="T28" s="3575"/>
      <c r="U28" s="3576"/>
      <c r="V28" s="3576"/>
      <c r="W28" s="3577"/>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f t="shared" si="15"/>
        <v>2</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f t="shared" si="165"/>
        <v>1720</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f t="shared" si="220"/>
        <v>2</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f t="shared" si="250"/>
        <v>2</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t="str">
        <f t="shared" si="295"/>
        <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f t="shared" si="305"/>
        <v>2</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2469" t="str">
        <f t="shared" si="333"/>
        <v/>
      </c>
      <c r="MQ28" s="2469" t="str">
        <f t="shared" si="334"/>
        <v/>
      </c>
      <c r="MR28" s="2469" t="str">
        <f t="shared" si="335"/>
        <v/>
      </c>
      <c r="MS28" s="2469" t="str">
        <f t="shared" si="336"/>
        <v/>
      </c>
      <c r="MT28" s="246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0</v>
      </c>
      <c r="NW28" s="1640">
        <f t="shared" si="371"/>
        <v>0</v>
      </c>
      <c r="NX28" s="1640">
        <f t="shared" si="372"/>
        <v>0</v>
      </c>
      <c r="NY28" s="1640">
        <f t="shared" si="363"/>
        <v>0</v>
      </c>
      <c r="NZ28" s="1640">
        <f t="shared" si="364"/>
        <v>0</v>
      </c>
      <c r="OA28" s="1640">
        <f t="shared" si="365"/>
        <v>0</v>
      </c>
      <c r="OB28" s="1640">
        <f t="shared" si="366"/>
        <v>0</v>
      </c>
      <c r="OC28" s="1640">
        <f t="shared" si="367"/>
        <v>0</v>
      </c>
      <c r="OY28" s="2498" t="s">
        <v>4316</v>
      </c>
      <c r="OZ28" s="2503">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575"/>
      <c r="U29" s="3576"/>
      <c r="V29" s="3576"/>
      <c r="W29" s="3577"/>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2469" t="str">
        <f t="shared" si="333"/>
        <v/>
      </c>
      <c r="MQ29" s="2469" t="str">
        <f t="shared" si="334"/>
        <v/>
      </c>
      <c r="MR29" s="2469" t="str">
        <f t="shared" si="335"/>
        <v/>
      </c>
      <c r="MS29" s="2469" t="str">
        <f t="shared" si="336"/>
        <v/>
      </c>
      <c r="MT29" s="246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2498" t="s">
        <v>4317</v>
      </c>
      <c r="OZ29" s="2503">
        <v>29</v>
      </c>
    </row>
    <row r="30" spans="1:416" ht="12" customHeight="1">
      <c r="A30" s="86" t="str">
        <f t="shared" si="0"/>
        <v/>
      </c>
      <c r="B30" s="1055">
        <v>30</v>
      </c>
      <c r="C30" s="132">
        <v>2</v>
      </c>
      <c r="D30" s="1643">
        <v>2</v>
      </c>
      <c r="E30" s="133">
        <v>1</v>
      </c>
      <c r="F30" s="133">
        <v>952</v>
      </c>
      <c r="G30" s="133">
        <f>671+J30</f>
        <v>771</v>
      </c>
      <c r="H30" s="133">
        <f>671+J30</f>
        <v>771</v>
      </c>
      <c r="I30" s="133">
        <v>0</v>
      </c>
      <c r="J30" s="1036">
        <f>IF(C30="",0,HLOOKUP(C30,'Part IV-Utility Allowances'!$I$11:$M$25,15))</f>
        <v>100</v>
      </c>
      <c r="K30" s="630"/>
      <c r="L30" s="460">
        <f t="shared" si="1"/>
        <v>671</v>
      </c>
      <c r="M30" s="460">
        <f t="shared" si="2"/>
        <v>671</v>
      </c>
      <c r="N30" s="680" t="s">
        <v>2645</v>
      </c>
      <c r="O30" s="1585" t="s">
        <v>5231</v>
      </c>
      <c r="P30" s="680" t="s">
        <v>5232</v>
      </c>
      <c r="Q30" s="134" t="s">
        <v>2645</v>
      </c>
      <c r="R30" s="723"/>
      <c r="S30" s="724"/>
      <c r="T30" s="3575"/>
      <c r="U30" s="3576"/>
      <c r="V30" s="3576"/>
      <c r="W30" s="3577"/>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f t="shared" si="30"/>
        <v>1</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f t="shared" si="180"/>
        <v>952</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f t="shared" si="220"/>
        <v>1</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f t="shared" si="250"/>
        <v>1</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f t="shared" si="300"/>
        <v>1</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2469" t="str">
        <f t="shared" si="333"/>
        <v/>
      </c>
      <c r="MQ30" s="2469" t="str">
        <f t="shared" si="334"/>
        <v/>
      </c>
      <c r="MR30" s="2469" t="str">
        <f t="shared" si="335"/>
        <v/>
      </c>
      <c r="MS30" s="2469" t="str">
        <f t="shared" si="336"/>
        <v/>
      </c>
      <c r="MT30" s="246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1</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2498" t="s">
        <v>4318</v>
      </c>
      <c r="OZ30" s="2503">
        <v>30</v>
      </c>
    </row>
    <row r="31" spans="1:416" ht="12" customHeight="1">
      <c r="A31" s="86" t="str">
        <f t="shared" si="0"/>
        <v/>
      </c>
      <c r="B31" s="1055">
        <v>30</v>
      </c>
      <c r="C31" s="132">
        <v>2</v>
      </c>
      <c r="D31" s="1643">
        <v>2</v>
      </c>
      <c r="E31" s="133">
        <v>1</v>
      </c>
      <c r="F31" s="133">
        <v>952</v>
      </c>
      <c r="G31" s="133">
        <f>671+J31</f>
        <v>771</v>
      </c>
      <c r="H31" s="133">
        <f>671+J31</f>
        <v>771</v>
      </c>
      <c r="I31" s="133">
        <v>0</v>
      </c>
      <c r="J31" s="1036">
        <f>IF(C31="",0,HLOOKUP(C31,'Part IV-Utility Allowances'!$I$11:$M$25,15))</f>
        <v>100</v>
      </c>
      <c r="K31" s="630"/>
      <c r="L31" s="460">
        <f t="shared" si="1"/>
        <v>671</v>
      </c>
      <c r="M31" s="460">
        <f t="shared" si="2"/>
        <v>671</v>
      </c>
      <c r="N31" s="680" t="s">
        <v>2645</v>
      </c>
      <c r="O31" s="1585" t="s">
        <v>4185</v>
      </c>
      <c r="P31" s="680" t="s">
        <v>5232</v>
      </c>
      <c r="Q31" s="134" t="s">
        <v>2642</v>
      </c>
      <c r="R31" s="723"/>
      <c r="S31" s="724"/>
      <c r="T31" s="3575"/>
      <c r="U31" s="3576"/>
      <c r="V31" s="3576"/>
      <c r="W31" s="3577"/>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f t="shared" si="30"/>
        <v>1</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f t="shared" si="180"/>
        <v>952</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f t="shared" si="220"/>
        <v>1</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f t="shared" si="250"/>
        <v>1</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f t="shared" si="305"/>
        <v>1</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2469" t="str">
        <f t="shared" si="333"/>
        <v/>
      </c>
      <c r="MQ31" s="2469" t="str">
        <f t="shared" si="334"/>
        <v/>
      </c>
      <c r="MR31" s="2469" t="str">
        <f t="shared" si="335"/>
        <v/>
      </c>
      <c r="MS31" s="2469" t="str">
        <f t="shared" si="336"/>
        <v/>
      </c>
      <c r="MT31" s="246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2498" t="s">
        <v>4319</v>
      </c>
      <c r="OZ31" s="2505">
        <v>31</v>
      </c>
    </row>
    <row r="32" spans="1:416" ht="12" customHeight="1">
      <c r="A32" s="86" t="str">
        <f t="shared" si="0"/>
        <v/>
      </c>
      <c r="B32" s="1055">
        <v>50</v>
      </c>
      <c r="C32" s="132">
        <v>2</v>
      </c>
      <c r="D32" s="1643">
        <v>2</v>
      </c>
      <c r="E32" s="133">
        <v>1</v>
      </c>
      <c r="F32" s="133">
        <v>952</v>
      </c>
      <c r="G32" s="133">
        <f>1185+J32</f>
        <v>1285</v>
      </c>
      <c r="H32" s="133">
        <f>1149+J32</f>
        <v>1249</v>
      </c>
      <c r="I32" s="133">
        <v>0</v>
      </c>
      <c r="J32" s="1036">
        <f>IF(C32="",0,HLOOKUP(C32,'Part IV-Utility Allowances'!$I$11:$M$25,15))</f>
        <v>100</v>
      </c>
      <c r="K32" s="630"/>
      <c r="L32" s="460">
        <f t="shared" si="1"/>
        <v>1149</v>
      </c>
      <c r="M32" s="460">
        <f t="shared" si="2"/>
        <v>1149</v>
      </c>
      <c r="N32" s="680" t="s">
        <v>2645</v>
      </c>
      <c r="O32" s="1585" t="s">
        <v>5231</v>
      </c>
      <c r="P32" s="680" t="s">
        <v>5232</v>
      </c>
      <c r="Q32" s="134" t="s">
        <v>2645</v>
      </c>
      <c r="R32" s="723"/>
      <c r="S32" s="724"/>
      <c r="T32" s="3575"/>
      <c r="U32" s="3576"/>
      <c r="V32" s="3576"/>
      <c r="W32" s="3577"/>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f t="shared" si="20"/>
        <v>1</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f t="shared" si="170"/>
        <v>952</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f t="shared" si="220"/>
        <v>1</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f t="shared" si="250"/>
        <v>1</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t="str">
        <f t="shared" si="296"/>
        <v/>
      </c>
      <c r="LF32" s="1785" t="str">
        <f t="shared" si="297"/>
        <v/>
      </c>
      <c r="LG32" s="1785" t="str">
        <f t="shared" si="298"/>
        <v/>
      </c>
      <c r="LH32" s="1785" t="str">
        <f t="shared" si="299"/>
        <v/>
      </c>
      <c r="LI32" s="1785">
        <f t="shared" si="300"/>
        <v>1</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2469" t="str">
        <f t="shared" si="333"/>
        <v/>
      </c>
      <c r="MQ32" s="2469" t="str">
        <f t="shared" si="334"/>
        <v/>
      </c>
      <c r="MR32" s="2469" t="str">
        <f t="shared" si="335"/>
        <v/>
      </c>
      <c r="MS32" s="2469" t="str">
        <f t="shared" si="336"/>
        <v/>
      </c>
      <c r="MT32" s="246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1</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2498" t="s">
        <v>4320</v>
      </c>
      <c r="OZ32" s="2503">
        <v>32</v>
      </c>
    </row>
    <row r="33" spans="1:416" ht="12" customHeight="1">
      <c r="A33" s="86" t="str">
        <f t="shared" si="0"/>
        <v/>
      </c>
      <c r="B33" s="1055">
        <v>50</v>
      </c>
      <c r="C33" s="132">
        <v>2</v>
      </c>
      <c r="D33" s="1643">
        <v>2</v>
      </c>
      <c r="E33" s="133">
        <v>1</v>
      </c>
      <c r="F33" s="133">
        <v>952</v>
      </c>
      <c r="G33" s="133">
        <f>1185+J33</f>
        <v>1285</v>
      </c>
      <c r="H33" s="133">
        <f>1149+J33</f>
        <v>1249</v>
      </c>
      <c r="I33" s="133">
        <v>0</v>
      </c>
      <c r="J33" s="1036">
        <f>IF(C33="",0,HLOOKUP(C33,'Part IV-Utility Allowances'!$I$11:$M$25,15))</f>
        <v>100</v>
      </c>
      <c r="K33" s="630"/>
      <c r="L33" s="460">
        <f t="shared" si="1"/>
        <v>1149</v>
      </c>
      <c r="M33" s="460">
        <f t="shared" si="2"/>
        <v>1149</v>
      </c>
      <c r="N33" s="680" t="s">
        <v>2645</v>
      </c>
      <c r="O33" s="1585" t="s">
        <v>4185</v>
      </c>
      <c r="P33" s="680" t="s">
        <v>5232</v>
      </c>
      <c r="Q33" s="134" t="s">
        <v>2642</v>
      </c>
      <c r="R33" s="723"/>
      <c r="S33" s="724"/>
      <c r="T33" s="3575"/>
      <c r="U33" s="3576"/>
      <c r="V33" s="3576"/>
      <c r="W33" s="3577"/>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f t="shared" si="20"/>
        <v>1</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f t="shared" si="170"/>
        <v>952</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f t="shared" si="220"/>
        <v>1</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f t="shared" si="250"/>
        <v>1</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f t="shared" si="305"/>
        <v>1</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2469" t="str">
        <f t="shared" si="333"/>
        <v/>
      </c>
      <c r="MQ33" s="2469" t="str">
        <f t="shared" si="334"/>
        <v/>
      </c>
      <c r="MR33" s="2469" t="str">
        <f t="shared" si="335"/>
        <v/>
      </c>
      <c r="MS33" s="2469" t="str">
        <f t="shared" si="336"/>
        <v/>
      </c>
      <c r="MT33" s="246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2498" t="s">
        <v>4321</v>
      </c>
      <c r="OZ33" s="2502">
        <v>33</v>
      </c>
    </row>
    <row r="34" spans="1:416" ht="12" customHeight="1">
      <c r="A34" s="86" t="str">
        <f t="shared" si="0"/>
        <v/>
      </c>
      <c r="B34" s="1055">
        <v>60</v>
      </c>
      <c r="C34" s="132">
        <v>2</v>
      </c>
      <c r="D34" s="1643">
        <v>2</v>
      </c>
      <c r="E34" s="133">
        <v>18</v>
      </c>
      <c r="F34" s="133">
        <v>952</v>
      </c>
      <c r="G34" s="133">
        <v>1542</v>
      </c>
      <c r="H34" s="133">
        <f>1226+J34</f>
        <v>1326</v>
      </c>
      <c r="I34" s="133">
        <v>0</v>
      </c>
      <c r="J34" s="1036">
        <f>IF(C34="",0,HLOOKUP(C34,'Part IV-Utility Allowances'!$I$11:$M$25,15))</f>
        <v>100</v>
      </c>
      <c r="K34" s="630"/>
      <c r="L34" s="460">
        <f t="shared" si="1"/>
        <v>1226</v>
      </c>
      <c r="M34" s="460">
        <f t="shared" si="2"/>
        <v>22068</v>
      </c>
      <c r="N34" s="680" t="s">
        <v>2645</v>
      </c>
      <c r="O34" s="1585" t="s">
        <v>5231</v>
      </c>
      <c r="P34" s="680" t="s">
        <v>5232</v>
      </c>
      <c r="Q34" s="134" t="s">
        <v>2645</v>
      </c>
      <c r="R34" s="723"/>
      <c r="S34" s="724"/>
      <c r="T34" s="3575"/>
      <c r="U34" s="3576"/>
      <c r="V34" s="3576"/>
      <c r="W34" s="3577"/>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f t="shared" si="15"/>
        <v>18</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f t="shared" si="165"/>
        <v>17136</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f t="shared" si="220"/>
        <v>18</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f t="shared" si="250"/>
        <v>18</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f t="shared" si="300"/>
        <v>18</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2469" t="str">
        <f t="shared" si="333"/>
        <v/>
      </c>
      <c r="MQ34" s="2469" t="str">
        <f t="shared" si="334"/>
        <v/>
      </c>
      <c r="MR34" s="2469" t="str">
        <f t="shared" si="335"/>
        <v/>
      </c>
      <c r="MS34" s="2469" t="str">
        <f t="shared" si="336"/>
        <v/>
      </c>
      <c r="MT34" s="246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18</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2498" t="s">
        <v>4322</v>
      </c>
      <c r="OZ34" s="2503">
        <v>34</v>
      </c>
    </row>
    <row r="35" spans="1:416" ht="12" customHeight="1">
      <c r="A35" s="86" t="str">
        <f t="shared" si="0"/>
        <v/>
      </c>
      <c r="B35" s="1055">
        <v>60</v>
      </c>
      <c r="C35" s="132">
        <v>2</v>
      </c>
      <c r="D35" s="1643">
        <v>2</v>
      </c>
      <c r="E35" s="133">
        <v>2</v>
      </c>
      <c r="F35" s="133">
        <v>952</v>
      </c>
      <c r="G35" s="133">
        <v>1542</v>
      </c>
      <c r="H35" s="133">
        <f>1226+J35</f>
        <v>1326</v>
      </c>
      <c r="I35" s="133">
        <v>0</v>
      </c>
      <c r="J35" s="1036">
        <f>IF(C35="",0,HLOOKUP(C35,'Part IV-Utility Allowances'!$I$11:$M$25,15))</f>
        <v>100</v>
      </c>
      <c r="K35" s="630"/>
      <c r="L35" s="460">
        <f t="shared" si="1"/>
        <v>1226</v>
      </c>
      <c r="M35" s="460">
        <f t="shared" si="2"/>
        <v>2452</v>
      </c>
      <c r="N35" s="680" t="s">
        <v>2645</v>
      </c>
      <c r="O35" s="1585" t="s">
        <v>4185</v>
      </c>
      <c r="P35" s="680" t="s">
        <v>5232</v>
      </c>
      <c r="Q35" s="134" t="s">
        <v>2642</v>
      </c>
      <c r="R35" s="723"/>
      <c r="S35" s="724"/>
      <c r="T35" s="3575"/>
      <c r="U35" s="3576"/>
      <c r="V35" s="3576"/>
      <c r="W35" s="3577"/>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f t="shared" si="15"/>
        <v>2</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f t="shared" si="165"/>
        <v>1904</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f t="shared" si="220"/>
        <v>2</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f t="shared" si="250"/>
        <v>2</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f t="shared" si="305"/>
        <v>2</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2469" t="str">
        <f t="shared" si="333"/>
        <v/>
      </c>
      <c r="MQ35" s="2469" t="str">
        <f t="shared" si="334"/>
        <v/>
      </c>
      <c r="MR35" s="2469" t="str">
        <f t="shared" si="335"/>
        <v/>
      </c>
      <c r="MS35" s="2469" t="str">
        <f t="shared" si="336"/>
        <v/>
      </c>
      <c r="MT35" s="246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2498" t="s">
        <v>4323</v>
      </c>
      <c r="OZ35" s="2503">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575"/>
      <c r="U36" s="3576"/>
      <c r="V36" s="3576"/>
      <c r="W36" s="3577"/>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2469" t="str">
        <f t="shared" si="333"/>
        <v/>
      </c>
      <c r="MQ36" s="2469" t="str">
        <f t="shared" si="334"/>
        <v/>
      </c>
      <c r="MR36" s="2469" t="str">
        <f t="shared" si="335"/>
        <v/>
      </c>
      <c r="MS36" s="2469" t="str">
        <f t="shared" si="336"/>
        <v/>
      </c>
      <c r="MT36" s="246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2498" t="s">
        <v>4324</v>
      </c>
      <c r="OZ36" s="2502">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575"/>
      <c r="U37" s="3576"/>
      <c r="V37" s="3576"/>
      <c r="W37" s="3577"/>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2469" t="str">
        <f t="shared" si="333"/>
        <v/>
      </c>
      <c r="MQ37" s="2469" t="str">
        <f t="shared" si="334"/>
        <v/>
      </c>
      <c r="MR37" s="2469" t="str">
        <f t="shared" si="335"/>
        <v/>
      </c>
      <c r="MS37" s="2469" t="str">
        <f t="shared" si="336"/>
        <v/>
      </c>
      <c r="MT37" s="246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2498" t="s">
        <v>4325</v>
      </c>
      <c r="OZ37" s="2503">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575"/>
      <c r="U38" s="3576"/>
      <c r="V38" s="3576"/>
      <c r="W38" s="3577"/>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2469" t="str">
        <f t="shared" si="333"/>
        <v/>
      </c>
      <c r="MQ38" s="2469" t="str">
        <f t="shared" si="334"/>
        <v/>
      </c>
      <c r="MR38" s="2469" t="str">
        <f t="shared" si="335"/>
        <v/>
      </c>
      <c r="MS38" s="2469" t="str">
        <f t="shared" si="336"/>
        <v/>
      </c>
      <c r="MT38" s="246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2498" t="s">
        <v>4326</v>
      </c>
      <c r="OZ38" s="2503">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575"/>
      <c r="U39" s="3576"/>
      <c r="V39" s="3576"/>
      <c r="W39" s="3577"/>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2469" t="str">
        <f t="shared" si="333"/>
        <v/>
      </c>
      <c r="MQ39" s="2469" t="str">
        <f t="shared" si="334"/>
        <v/>
      </c>
      <c r="MR39" s="2469" t="str">
        <f t="shared" si="335"/>
        <v/>
      </c>
      <c r="MS39" s="2469" t="str">
        <f t="shared" si="336"/>
        <v/>
      </c>
      <c r="MT39" s="246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2498" t="s">
        <v>4327</v>
      </c>
      <c r="OZ39" s="2503">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575"/>
      <c r="U40" s="3576"/>
      <c r="V40" s="3576"/>
      <c r="W40" s="3577"/>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2469" t="str">
        <f t="shared" si="333"/>
        <v/>
      </c>
      <c r="MQ40" s="2469" t="str">
        <f t="shared" si="334"/>
        <v/>
      </c>
      <c r="MR40" s="2469" t="str">
        <f t="shared" si="335"/>
        <v/>
      </c>
      <c r="MS40" s="2469" t="str">
        <f t="shared" si="336"/>
        <v/>
      </c>
      <c r="MT40" s="246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2498" t="s">
        <v>4328</v>
      </c>
      <c r="OZ40" s="2503">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575"/>
      <c r="U41" s="3576"/>
      <c r="V41" s="3576"/>
      <c r="W41" s="3577"/>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2469" t="str">
        <f t="shared" si="333"/>
        <v/>
      </c>
      <c r="MQ41" s="2469" t="str">
        <f t="shared" si="334"/>
        <v/>
      </c>
      <c r="MR41" s="2469" t="str">
        <f t="shared" si="335"/>
        <v/>
      </c>
      <c r="MS41" s="2469" t="str">
        <f t="shared" si="336"/>
        <v/>
      </c>
      <c r="MT41" s="246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2498" t="s">
        <v>4329</v>
      </c>
      <c r="OZ41" s="2503">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575"/>
      <c r="U42" s="3576"/>
      <c r="V42" s="3576"/>
      <c r="W42" s="3577"/>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2469" t="str">
        <f t="shared" si="333"/>
        <v/>
      </c>
      <c r="MQ42" s="2469" t="str">
        <f t="shared" si="334"/>
        <v/>
      </c>
      <c r="MR42" s="2469" t="str">
        <f t="shared" si="335"/>
        <v/>
      </c>
      <c r="MS42" s="2469" t="str">
        <f t="shared" si="336"/>
        <v/>
      </c>
      <c r="MT42" s="246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2498" t="s">
        <v>4330</v>
      </c>
      <c r="OZ42" s="2505">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575"/>
      <c r="U43" s="3576"/>
      <c r="V43" s="3576"/>
      <c r="W43" s="3577"/>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2469" t="str">
        <f t="shared" si="333"/>
        <v/>
      </c>
      <c r="MQ43" s="2469" t="str">
        <f t="shared" si="334"/>
        <v/>
      </c>
      <c r="MR43" s="2469" t="str">
        <f t="shared" si="335"/>
        <v/>
      </c>
      <c r="MS43" s="2469" t="str">
        <f t="shared" si="336"/>
        <v/>
      </c>
      <c r="MT43" s="246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2498" t="s">
        <v>4331</v>
      </c>
      <c r="OZ43" s="2503">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575"/>
      <c r="U44" s="3576"/>
      <c r="V44" s="3576"/>
      <c r="W44" s="3577"/>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2469" t="str">
        <f t="shared" si="333"/>
        <v/>
      </c>
      <c r="MQ44" s="2469" t="str">
        <f t="shared" si="334"/>
        <v/>
      </c>
      <c r="MR44" s="2469" t="str">
        <f t="shared" si="335"/>
        <v/>
      </c>
      <c r="MS44" s="2469" t="str">
        <f t="shared" si="336"/>
        <v/>
      </c>
      <c r="MT44" s="246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2498" t="s">
        <v>4332</v>
      </c>
      <c r="OZ44" s="2502">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575"/>
      <c r="U45" s="3576"/>
      <c r="V45" s="3576"/>
      <c r="W45" s="3577"/>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2469" t="str">
        <f t="shared" si="333"/>
        <v/>
      </c>
      <c r="MQ45" s="2469" t="str">
        <f t="shared" si="334"/>
        <v/>
      </c>
      <c r="MR45" s="2469" t="str">
        <f t="shared" si="335"/>
        <v/>
      </c>
      <c r="MS45" s="2469" t="str">
        <f t="shared" si="336"/>
        <v/>
      </c>
      <c r="MT45" s="246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2498" t="s">
        <v>4333</v>
      </c>
      <c r="OZ45" s="2503">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575"/>
      <c r="U46" s="3576"/>
      <c r="V46" s="3576"/>
      <c r="W46" s="3577"/>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2469" t="str">
        <f t="shared" si="333"/>
        <v/>
      </c>
      <c r="MQ46" s="2469" t="str">
        <f t="shared" si="334"/>
        <v/>
      </c>
      <c r="MR46" s="2469" t="str">
        <f t="shared" si="335"/>
        <v/>
      </c>
      <c r="MS46" s="2469" t="str">
        <f t="shared" si="336"/>
        <v/>
      </c>
      <c r="MT46" s="246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2498" t="s">
        <v>4334</v>
      </c>
      <c r="OZ46" s="2503">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575"/>
      <c r="U47" s="3576"/>
      <c r="V47" s="3576"/>
      <c r="W47" s="3577"/>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2469" t="str">
        <f t="shared" si="333"/>
        <v/>
      </c>
      <c r="MQ47" s="2469" t="str">
        <f t="shared" si="334"/>
        <v/>
      </c>
      <c r="MR47" s="2469" t="str">
        <f t="shared" si="335"/>
        <v/>
      </c>
      <c r="MS47" s="2469" t="str">
        <f t="shared" si="336"/>
        <v/>
      </c>
      <c r="MT47" s="246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2498" t="s">
        <v>4335</v>
      </c>
      <c r="OZ47" s="2502">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575"/>
      <c r="U48" s="3576"/>
      <c r="V48" s="3576"/>
      <c r="W48" s="3577"/>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2469" t="str">
        <f t="shared" si="333"/>
        <v/>
      </c>
      <c r="MQ48" s="2469" t="str">
        <f t="shared" si="334"/>
        <v/>
      </c>
      <c r="MR48" s="2469" t="str">
        <f t="shared" si="335"/>
        <v/>
      </c>
      <c r="MS48" s="2469" t="str">
        <f t="shared" si="336"/>
        <v/>
      </c>
      <c r="MT48" s="2469"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2498" t="s">
        <v>4335</v>
      </c>
      <c r="OZ48" s="2502">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575"/>
      <c r="U49" s="3576"/>
      <c r="V49" s="3576"/>
      <c r="W49" s="3577"/>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2469" t="str">
        <f t="shared" si="333"/>
        <v/>
      </c>
      <c r="MQ49" s="2469" t="str">
        <f t="shared" si="334"/>
        <v/>
      </c>
      <c r="MR49" s="2469" t="str">
        <f t="shared" si="335"/>
        <v/>
      </c>
      <c r="MS49" s="2469" t="str">
        <f t="shared" si="336"/>
        <v/>
      </c>
      <c r="MT49" s="2469"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2498" t="s">
        <v>4333</v>
      </c>
      <c r="OZ49" s="2503">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575"/>
      <c r="U50" s="3576"/>
      <c r="V50" s="3576"/>
      <c r="W50" s="3577"/>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2469" t="str">
        <f t="shared" si="333"/>
        <v/>
      </c>
      <c r="MQ50" s="2469" t="str">
        <f t="shared" si="334"/>
        <v/>
      </c>
      <c r="MR50" s="2469" t="str">
        <f t="shared" si="335"/>
        <v/>
      </c>
      <c r="MS50" s="2469" t="str">
        <f t="shared" si="336"/>
        <v/>
      </c>
      <c r="MT50" s="2469"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2498" t="s">
        <v>4334</v>
      </c>
      <c r="OZ50" s="2503">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575"/>
      <c r="U51" s="3576"/>
      <c r="V51" s="3576"/>
      <c r="W51" s="3577"/>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2469" t="str">
        <f t="shared" si="333"/>
        <v/>
      </c>
      <c r="MQ51" s="2469" t="str">
        <f t="shared" si="334"/>
        <v/>
      </c>
      <c r="MR51" s="2469" t="str">
        <f t="shared" si="335"/>
        <v/>
      </c>
      <c r="MS51" s="2469" t="str">
        <f t="shared" si="336"/>
        <v/>
      </c>
      <c r="MT51" s="2469"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2498" t="s">
        <v>4335</v>
      </c>
      <c r="OZ51" s="2502">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575"/>
      <c r="U52" s="3576"/>
      <c r="V52" s="3576"/>
      <c r="W52" s="3577"/>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2469" t="str">
        <f t="shared" si="333"/>
        <v/>
      </c>
      <c r="MQ52" s="2469" t="str">
        <f t="shared" si="334"/>
        <v/>
      </c>
      <c r="MR52" s="2469" t="str">
        <f t="shared" si="335"/>
        <v/>
      </c>
      <c r="MS52" s="2469" t="str">
        <f t="shared" si="336"/>
        <v/>
      </c>
      <c r="MT52" s="2469"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2498" t="s">
        <v>4335</v>
      </c>
      <c r="OZ52" s="2502">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575"/>
      <c r="U53" s="3576"/>
      <c r="V53" s="3576"/>
      <c r="W53" s="3577"/>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2469" t="str">
        <f t="shared" si="333"/>
        <v/>
      </c>
      <c r="MQ53" s="2469" t="str">
        <f t="shared" si="334"/>
        <v/>
      </c>
      <c r="MR53" s="2469" t="str">
        <f t="shared" si="335"/>
        <v/>
      </c>
      <c r="MS53" s="2469" t="str">
        <f t="shared" si="336"/>
        <v/>
      </c>
      <c r="MT53" s="2469"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2498" t="s">
        <v>4335</v>
      </c>
      <c r="OZ53" s="2502">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575"/>
      <c r="U54" s="3576"/>
      <c r="V54" s="3576"/>
      <c r="W54" s="3577"/>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2469" t="str">
        <f t="shared" si="333"/>
        <v/>
      </c>
      <c r="MQ54" s="2469" t="str">
        <f t="shared" si="334"/>
        <v/>
      </c>
      <c r="MR54" s="2469" t="str">
        <f t="shared" si="335"/>
        <v/>
      </c>
      <c r="MS54" s="2469" t="str">
        <f t="shared" si="336"/>
        <v/>
      </c>
      <c r="MT54" s="2469"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2498" t="s">
        <v>4335</v>
      </c>
      <c r="OZ54" s="2502">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575"/>
      <c r="U55" s="3576"/>
      <c r="V55" s="3576"/>
      <c r="W55" s="3577"/>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2469" t="str">
        <f t="shared" si="333"/>
        <v/>
      </c>
      <c r="MQ55" s="2469" t="str">
        <f t="shared" si="334"/>
        <v/>
      </c>
      <c r="MR55" s="2469" t="str">
        <f t="shared" si="335"/>
        <v/>
      </c>
      <c r="MS55" s="2469" t="str">
        <f t="shared" si="336"/>
        <v/>
      </c>
      <c r="MT55" s="2469"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2498" t="s">
        <v>4335</v>
      </c>
      <c r="OZ55" s="2502">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575"/>
      <c r="U56" s="3576"/>
      <c r="V56" s="3576"/>
      <c r="W56" s="3577"/>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2469" t="str">
        <f t="shared" si="333"/>
        <v/>
      </c>
      <c r="MQ56" s="2469" t="str">
        <f t="shared" si="334"/>
        <v/>
      </c>
      <c r="MR56" s="2469" t="str">
        <f t="shared" si="335"/>
        <v/>
      </c>
      <c r="MS56" s="2469" t="str">
        <f t="shared" si="336"/>
        <v/>
      </c>
      <c r="MT56" s="2469"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2498" t="s">
        <v>4335</v>
      </c>
      <c r="OZ56" s="2502">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72"/>
      <c r="U57" s="3573"/>
      <c r="V57" s="3573"/>
      <c r="W57" s="3574"/>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2469" t="str">
        <f t="shared" si="333"/>
        <v/>
      </c>
      <c r="MQ57" s="2469" t="str">
        <f t="shared" si="334"/>
        <v/>
      </c>
      <c r="MR57" s="2469" t="str">
        <f t="shared" si="335"/>
        <v/>
      </c>
      <c r="MS57" s="2469" t="str">
        <f t="shared" si="336"/>
        <v/>
      </c>
      <c r="MT57" s="246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2498" t="s">
        <v>4336</v>
      </c>
      <c r="OZ57" s="2503">
        <v>53</v>
      </c>
    </row>
    <row r="58" spans="1:416" s="115" customFormat="1" ht="12.75" customHeight="1">
      <c r="A58" s="1359">
        <f>COUNT(A11,A12,A13,A14,A15,A16,A17,A18,A19,A20,A21,A22,A23,A24,A25,A26,A27,A28,A29,A30,A31,A32,A33,A34,A35,A36,A37,A38,A39,A40,A41,A42,A43,A44,A45,A46,A47,A48,A49,A50,A51,A52,A53,A54,A55,A56,A57)</f>
        <v>0</v>
      </c>
      <c r="B58" s="3588" t="s">
        <v>3648</v>
      </c>
      <c r="C58" s="3589"/>
      <c r="D58" s="107" t="s">
        <v>953</v>
      </c>
      <c r="E58" s="1049">
        <f>SUM(E11:E57)</f>
        <v>116</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97086</v>
      </c>
      <c r="H58" s="3590" t="s">
        <v>3645</v>
      </c>
      <c r="I58" s="1050" t="s">
        <v>3646</v>
      </c>
      <c r="J58" s="1051" t="str">
        <f>IF(P76=0,"",IF(SUM(P67:P71)/P76&gt;=0.4,"Pass","Fail"))</f>
        <v>Pass</v>
      </c>
      <c r="K58" s="447"/>
      <c r="L58" s="684" t="s">
        <v>1223</v>
      </c>
      <c r="M58" s="94">
        <f>SUM(M11:M57)</f>
        <v>135058</v>
      </c>
      <c r="N58" s="72"/>
      <c r="O58" s="72"/>
      <c r="P58" s="72"/>
      <c r="Q58" s="72"/>
      <c r="R58" s="72"/>
      <c r="S58" s="72"/>
      <c r="T58" s="72"/>
      <c r="U58" s="72"/>
      <c r="V58" s="671"/>
      <c r="W58" s="448"/>
      <c r="X58" s="1641">
        <f t="shared" ref="X58:GJ58" si="645">SUM(X11:X57)</f>
        <v>0</v>
      </c>
      <c r="Y58" s="1641">
        <f t="shared" si="645"/>
        <v>0</v>
      </c>
      <c r="Z58" s="1641">
        <f t="shared" si="645"/>
        <v>0</v>
      </c>
      <c r="AA58" s="1641">
        <f t="shared" si="645"/>
        <v>0</v>
      </c>
      <c r="AB58" s="1641">
        <f t="shared" si="645"/>
        <v>0</v>
      </c>
      <c r="AC58" s="1641">
        <f t="shared" si="645"/>
        <v>0</v>
      </c>
      <c r="AD58" s="1641">
        <f t="shared" si="645"/>
        <v>0</v>
      </c>
      <c r="AE58" s="1641">
        <f t="shared" si="645"/>
        <v>0</v>
      </c>
      <c r="AF58" s="1641">
        <f t="shared" si="645"/>
        <v>0</v>
      </c>
      <c r="AG58" s="1641">
        <f t="shared" si="645"/>
        <v>0</v>
      </c>
      <c r="AH58" s="1641">
        <f t="shared" si="645"/>
        <v>0</v>
      </c>
      <c r="AI58" s="1641">
        <f t="shared" si="645"/>
        <v>18</v>
      </c>
      <c r="AJ58" s="1641">
        <f t="shared" si="645"/>
        <v>75</v>
      </c>
      <c r="AK58" s="1641">
        <f t="shared" si="645"/>
        <v>0</v>
      </c>
      <c r="AL58" s="1641">
        <f t="shared" si="645"/>
        <v>0</v>
      </c>
      <c r="AM58" s="1641">
        <f>SUM(AM11:AM57)</f>
        <v>0</v>
      </c>
      <c r="AN58" s="1641">
        <f>SUM(AN11:AN57)</f>
        <v>2</v>
      </c>
      <c r="AO58" s="1641">
        <f>SUM(AO11:AO57)</f>
        <v>5</v>
      </c>
      <c r="AP58" s="1641">
        <f>SUM(AP11:AP57)</f>
        <v>0</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4</v>
      </c>
      <c r="AY58" s="1641">
        <f t="shared" si="645"/>
        <v>4</v>
      </c>
      <c r="AZ58" s="1641">
        <f t="shared" si="645"/>
        <v>0</v>
      </c>
      <c r="BA58" s="1641">
        <f t="shared" si="645"/>
        <v>0</v>
      </c>
      <c r="BB58" s="1641">
        <f>SUM(BB11:BB57)</f>
        <v>0</v>
      </c>
      <c r="BC58" s="1641">
        <f>SUM(BC11:BC57)</f>
        <v>0</v>
      </c>
      <c r="BD58" s="1641">
        <f>SUM(BD11:BD57)</f>
        <v>0</v>
      </c>
      <c r="BE58" s="1641">
        <f>SUM(BE11:BE57)</f>
        <v>0</v>
      </c>
      <c r="BF58" s="1641">
        <f>SUM(BF11:BF57)</f>
        <v>0</v>
      </c>
      <c r="BG58" s="1641">
        <f t="shared" si="645"/>
        <v>0</v>
      </c>
      <c r="BH58" s="1641">
        <f t="shared" si="645"/>
        <v>1</v>
      </c>
      <c r="BI58" s="1641">
        <f t="shared" si="645"/>
        <v>6</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0</v>
      </c>
      <c r="BS58" s="1641">
        <f t="shared" si="645"/>
        <v>0</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0</v>
      </c>
      <c r="CC58" s="1641">
        <f t="shared" si="645"/>
        <v>0</v>
      </c>
      <c r="CD58" s="1641">
        <f t="shared" si="645"/>
        <v>0</v>
      </c>
      <c r="CE58" s="1641">
        <f t="shared" si="645"/>
        <v>0</v>
      </c>
      <c r="CF58" s="1641">
        <f t="shared" si="645"/>
        <v>0</v>
      </c>
      <c r="CG58" s="1641">
        <f t="shared" si="645"/>
        <v>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1</v>
      </c>
      <c r="FP58" s="1641">
        <f t="shared" si="645"/>
        <v>0</v>
      </c>
      <c r="FQ58" s="1641">
        <f t="shared" si="645"/>
        <v>0</v>
      </c>
      <c r="FR58" s="1641">
        <f t="shared" si="645"/>
        <v>0</v>
      </c>
      <c r="FS58" s="1641">
        <f t="shared" si="645"/>
        <v>0</v>
      </c>
      <c r="FT58" s="1641">
        <f t="shared" si="645"/>
        <v>0</v>
      </c>
      <c r="FU58" s="1641">
        <f t="shared" si="645"/>
        <v>0</v>
      </c>
      <c r="FV58" s="1641">
        <f t="shared" si="645"/>
        <v>0</v>
      </c>
      <c r="FW58" s="1641">
        <f t="shared" si="645"/>
        <v>0</v>
      </c>
      <c r="FX58" s="1641">
        <f t="shared" si="645"/>
        <v>0</v>
      </c>
      <c r="FY58" s="1641">
        <f t="shared" si="645"/>
        <v>0</v>
      </c>
      <c r="FZ58" s="1641">
        <f t="shared" si="645"/>
        <v>0</v>
      </c>
      <c r="GA58" s="1641">
        <f t="shared" si="645"/>
        <v>0</v>
      </c>
      <c r="GB58" s="1641">
        <f t="shared" si="645"/>
        <v>0</v>
      </c>
      <c r="GC58" s="1641">
        <f t="shared" si="645"/>
        <v>11700</v>
      </c>
      <c r="GD58" s="1641">
        <f t="shared" si="645"/>
        <v>66340</v>
      </c>
      <c r="GE58" s="1641">
        <f t="shared" si="645"/>
        <v>0</v>
      </c>
      <c r="GF58" s="1641">
        <f t="shared" si="645"/>
        <v>0</v>
      </c>
      <c r="GG58" s="1641">
        <f t="shared" si="645"/>
        <v>0</v>
      </c>
      <c r="GH58" s="1641">
        <f t="shared" si="645"/>
        <v>1300</v>
      </c>
      <c r="GI58" s="1641">
        <f t="shared" si="645"/>
        <v>4484</v>
      </c>
      <c r="GJ58" s="1641">
        <f t="shared" si="645"/>
        <v>0</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2600</v>
      </c>
      <c r="GS58" s="1641">
        <f t="shared" si="648"/>
        <v>3624</v>
      </c>
      <c r="GT58" s="1641">
        <f t="shared" si="648"/>
        <v>0</v>
      </c>
      <c r="GU58" s="1641">
        <f t="shared" si="648"/>
        <v>0</v>
      </c>
      <c r="GV58" s="1641">
        <f>SUM(GV11:GV57)</f>
        <v>0</v>
      </c>
      <c r="GW58" s="1641">
        <f>SUM(GW11:GW57)</f>
        <v>0</v>
      </c>
      <c r="GX58" s="1641">
        <f>SUM(GX11:GX57)</f>
        <v>0</v>
      </c>
      <c r="GY58" s="1641">
        <f>SUM(GY11:GY57)</f>
        <v>0</v>
      </c>
      <c r="GZ58" s="1641">
        <f>SUM(GZ11:GZ57)</f>
        <v>0</v>
      </c>
      <c r="HA58" s="1641">
        <f t="shared" si="648"/>
        <v>0</v>
      </c>
      <c r="HB58" s="1641">
        <f t="shared" si="648"/>
        <v>650</v>
      </c>
      <c r="HC58" s="1641">
        <f t="shared" si="648"/>
        <v>5436</v>
      </c>
      <c r="HD58" s="1641">
        <f t="shared" si="648"/>
        <v>0</v>
      </c>
      <c r="HE58" s="1641">
        <f t="shared" si="648"/>
        <v>0</v>
      </c>
      <c r="HF58" s="1641">
        <f t="shared" si="648"/>
        <v>0</v>
      </c>
      <c r="HG58" s="1641">
        <f t="shared" si="648"/>
        <v>0</v>
      </c>
      <c r="HH58" s="1641">
        <f t="shared" si="648"/>
        <v>0</v>
      </c>
      <c r="HI58" s="1641">
        <f t="shared" si="648"/>
        <v>0</v>
      </c>
      <c r="HJ58" s="1641">
        <f t="shared" si="648"/>
        <v>0</v>
      </c>
      <c r="HK58" s="1641">
        <f t="shared" si="648"/>
        <v>0</v>
      </c>
      <c r="HL58" s="1641">
        <f t="shared" si="648"/>
        <v>0</v>
      </c>
      <c r="HM58" s="1641">
        <f t="shared" si="648"/>
        <v>952</v>
      </c>
      <c r="HN58" s="1641">
        <f t="shared" si="648"/>
        <v>0</v>
      </c>
      <c r="HO58" s="1641">
        <f t="shared" si="648"/>
        <v>0</v>
      </c>
      <c r="HP58" s="1641">
        <f t="shared" si="648"/>
        <v>0</v>
      </c>
      <c r="HQ58" s="1641">
        <f t="shared" si="648"/>
        <v>0</v>
      </c>
      <c r="HR58" s="1641">
        <f t="shared" si="648"/>
        <v>0</v>
      </c>
      <c r="HS58" s="1641">
        <f t="shared" si="648"/>
        <v>0</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24</v>
      </c>
      <c r="IG58" s="1641">
        <f t="shared" si="648"/>
        <v>84</v>
      </c>
      <c r="IH58" s="1641">
        <f t="shared" si="648"/>
        <v>0</v>
      </c>
      <c r="II58" s="1641">
        <f t="shared" si="648"/>
        <v>0</v>
      </c>
      <c r="IJ58" s="1641">
        <f t="shared" si="648"/>
        <v>0</v>
      </c>
      <c r="IK58" s="1641">
        <f t="shared" si="648"/>
        <v>1</v>
      </c>
      <c r="IL58" s="1641">
        <f t="shared" si="648"/>
        <v>6</v>
      </c>
      <c r="IM58" s="1641">
        <f t="shared" si="648"/>
        <v>0</v>
      </c>
      <c r="IN58" s="1641">
        <f t="shared" si="648"/>
        <v>0</v>
      </c>
      <c r="IO58" s="1641">
        <f t="shared" si="648"/>
        <v>0</v>
      </c>
      <c r="IP58" s="1641">
        <f t="shared" si="648"/>
        <v>0</v>
      </c>
      <c r="IQ58" s="1641">
        <f t="shared" si="648"/>
        <v>1</v>
      </c>
      <c r="IR58" s="1641">
        <f t="shared" si="648"/>
        <v>0</v>
      </c>
      <c r="IS58" s="1641">
        <f t="shared" si="648"/>
        <v>0</v>
      </c>
      <c r="IT58" s="1641">
        <f t="shared" si="648"/>
        <v>0</v>
      </c>
      <c r="IU58" s="1641">
        <f t="shared" si="648"/>
        <v>0</v>
      </c>
      <c r="IV58" s="1641">
        <f t="shared" si="648"/>
        <v>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25</v>
      </c>
      <c r="JK58" s="1641">
        <f t="shared" si="649"/>
        <v>91</v>
      </c>
      <c r="JL58" s="1641">
        <f t="shared" si="649"/>
        <v>0</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0</v>
      </c>
      <c r="LD58" s="1641">
        <f t="shared" si="649"/>
        <v>0</v>
      </c>
      <c r="LE58" s="1641">
        <f t="shared" si="649"/>
        <v>0</v>
      </c>
      <c r="LF58" s="1641">
        <f t="shared" si="649"/>
        <v>0</v>
      </c>
      <c r="LG58" s="1641">
        <f>SUM(LG11:LG57)</f>
        <v>0</v>
      </c>
      <c r="LH58" s="1641">
        <f>SUM(LH11:LH57)</f>
        <v>19</v>
      </c>
      <c r="LI58" s="1641">
        <f>SUM(LI11:LI57)</f>
        <v>85</v>
      </c>
      <c r="LJ58" s="1641">
        <f>SUM(LJ11:LJ57)</f>
        <v>0</v>
      </c>
      <c r="LK58" s="1641">
        <f>SUM(LK11:LK57)</f>
        <v>0</v>
      </c>
      <c r="LL58" s="1641">
        <f t="shared" si="649"/>
        <v>0</v>
      </c>
      <c r="LM58" s="1641">
        <f t="shared" si="649"/>
        <v>6</v>
      </c>
      <c r="LN58" s="1641">
        <f t="shared" si="649"/>
        <v>6</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19</v>
      </c>
      <c r="NQ58" s="1641">
        <f t="shared" si="651"/>
        <v>85</v>
      </c>
      <c r="NR58" s="1641">
        <f t="shared" si="651"/>
        <v>0</v>
      </c>
      <c r="NS58" s="1641">
        <f t="shared" si="651"/>
        <v>0</v>
      </c>
      <c r="NT58" s="1641">
        <f t="shared" si="651"/>
        <v>0</v>
      </c>
      <c r="NU58" s="1641">
        <f t="shared" si="651"/>
        <v>0</v>
      </c>
      <c r="NV58" s="1641">
        <f t="shared" si="651"/>
        <v>0</v>
      </c>
      <c r="NW58" s="1641">
        <f t="shared" si="651"/>
        <v>0</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2498" t="s">
        <v>4337</v>
      </c>
      <c r="OZ58" s="2503">
        <v>54</v>
      </c>
    </row>
    <row r="59" spans="1:416" s="115" customFormat="1" ht="13.9" customHeight="1">
      <c r="B59" s="3592">
        <f>IF(SUM(E18:E57)=0,"",(B18*E18+B19*E19+B20*E20+B21*E21+B22*E22+B23*E23+B24*E24+B25*E25+B26*E26+B27*E27+B28*E28+B29*E29+B30*E30+B31*E31+B32*E32+B33*E33+B34*E34+B35*E35+B36*E36+B37*E37+B38*E38+B39*E39+B40*E40+B41*E41+B42*E42+B43*E43+B44*E44+B45*E45+B46*E46+B47*E47+B48*E48+B49*E49+B50*E50+B51*E51+B52*E52+B53*E53+B54*E54+B55*E55+B56*E56+B57*E57)/SUM(E18:E57))</f>
        <v>57.129629629629626</v>
      </c>
      <c r="C59" s="3593"/>
      <c r="D59" s="119" t="s">
        <v>3555</v>
      </c>
      <c r="E59" s="1046">
        <f>SUM(E18:E57)</f>
        <v>108</v>
      </c>
      <c r="F59" s="1048">
        <f>(E18*F18+E19*F19+E20*F20+E21*F21+E22*F22+E23*F23+E24*F24+E25*F25+E26*F26+E27*F27+E28*F28+E29*F29+E30*F30+E31*F31+E32*F32+E33*F33+E34*F34+E35*F35+E36*F36+E37*F37+E38*F38+E39*F39+E40*F40+E41*F41+E42*F42+E43*F43+E44*F44+E45*F45+E46*F46+E47*F47+E48*F48+E49*F49+E50*F50+E51*F51+E52*F52+E53*F53+E54*F54+E55*F55+E56*F56+E57*F57)</f>
        <v>90048</v>
      </c>
      <c r="H59" s="3591"/>
      <c r="I59" s="1052" t="s">
        <v>3647</v>
      </c>
      <c r="J59" s="1053" t="str">
        <f>IF(P76=0,"",IF(SUM(P68:P71)/P76&gt;=0.2,"Pass","Fail"))</f>
        <v>Fail</v>
      </c>
      <c r="K59" s="447"/>
      <c r="L59" s="107" t="s">
        <v>756</v>
      </c>
      <c r="M59" s="94">
        <f>M58*12</f>
        <v>1620696</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2498" t="s">
        <v>4338</v>
      </c>
      <c r="OZ59" s="2503">
        <v>55</v>
      </c>
    </row>
    <row r="60" spans="1:416" ht="7.5" customHeight="1">
      <c r="A60" s="3594" t="s">
        <v>5003</v>
      </c>
      <c r="B60" s="3594"/>
      <c r="C60" s="3594"/>
      <c r="D60" s="3594"/>
      <c r="E60" s="3594"/>
      <c r="F60" s="3594"/>
      <c r="G60" s="3594"/>
      <c r="H60" s="3594"/>
      <c r="I60" s="3594"/>
      <c r="J60" s="3594"/>
      <c r="K60" s="3594"/>
      <c r="L60" s="3594"/>
      <c r="M60" s="3594"/>
      <c r="N60" s="3594"/>
      <c r="O60" s="3594"/>
      <c r="P60" s="3594"/>
      <c r="Q60" s="3594"/>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503">
        <v>56</v>
      </c>
    </row>
    <row r="61" spans="1:416" ht="7.5" customHeight="1">
      <c r="A61" s="3594"/>
      <c r="B61" s="3594"/>
      <c r="C61" s="3594"/>
      <c r="D61" s="3594"/>
      <c r="E61" s="3594"/>
      <c r="F61" s="3594"/>
      <c r="G61" s="3594"/>
      <c r="H61" s="3594"/>
      <c r="I61" s="3594"/>
      <c r="J61" s="3594"/>
      <c r="K61" s="3594"/>
      <c r="L61" s="3594"/>
      <c r="M61" s="3594"/>
      <c r="N61" s="3594"/>
      <c r="O61" s="3594"/>
      <c r="P61" s="3594"/>
      <c r="Q61" s="3594"/>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2502">
        <v>57</v>
      </c>
    </row>
    <row r="62" spans="1:416" ht="14.65" customHeight="1">
      <c r="A62" s="10" t="s">
        <v>688</v>
      </c>
      <c r="B62" s="10" t="s">
        <v>498</v>
      </c>
      <c r="K62" s="1781" t="s">
        <v>4532</v>
      </c>
      <c r="O62" s="3595" t="s">
        <v>5233</v>
      </c>
      <c r="P62" s="3596"/>
      <c r="S62" s="3236" t="str">
        <f>B62</f>
        <v>UNIT SUMMARY</v>
      </c>
      <c r="T62" s="3236"/>
      <c r="U62" s="3236"/>
      <c r="V62" s="3236"/>
      <c r="AY62" s="358"/>
      <c r="BD62" s="358"/>
      <c r="MX62" s="360"/>
      <c r="NM62" s="356"/>
      <c r="OZ62" s="2503">
        <v>58</v>
      </c>
    </row>
    <row r="63" spans="1:416" ht="14.25" customHeight="1">
      <c r="A63" s="10"/>
      <c r="B63" s="10"/>
      <c r="K63" s="144" t="s">
        <v>4533</v>
      </c>
      <c r="O63" s="3660" t="s">
        <v>5205</v>
      </c>
      <c r="P63" s="3661"/>
      <c r="S63" s="95"/>
      <c r="T63" s="95"/>
      <c r="U63" s="367"/>
      <c r="AY63" s="358"/>
      <c r="BD63" s="358"/>
      <c r="MX63" s="360"/>
      <c r="NM63" s="356"/>
      <c r="OZ63" s="2503">
        <v>59</v>
      </c>
    </row>
    <row r="64" spans="1:416" ht="14.65" customHeight="1">
      <c r="A64" s="10"/>
      <c r="B64" s="10" t="s">
        <v>4387</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2502">
        <v>60</v>
      </c>
    </row>
    <row r="65" spans="1:520" ht="15" customHeight="1">
      <c r="A65" s="3662" t="s">
        <v>3943</v>
      </c>
      <c r="B65" s="3662"/>
      <c r="C65" s="72" t="s">
        <v>1068</v>
      </c>
      <c r="D65" s="1"/>
      <c r="E65" s="1"/>
      <c r="F65" s="1"/>
      <c r="G65" s="62"/>
      <c r="H65" s="81" t="s">
        <v>3556</v>
      </c>
      <c r="I65" s="29"/>
      <c r="J65" s="62"/>
      <c r="K65" s="1060">
        <f>X58</f>
        <v>0</v>
      </c>
      <c r="L65" s="1061">
        <f>Y58</f>
        <v>0</v>
      </c>
      <c r="M65" s="1061">
        <f>Z58</f>
        <v>0</v>
      </c>
      <c r="N65" s="1061">
        <f>AA58</f>
        <v>0</v>
      </c>
      <c r="O65" s="1062">
        <f>AB58</f>
        <v>0</v>
      </c>
      <c r="P65" s="733">
        <f t="shared" ref="P65:P76" si="652">SUM(K65:O65)</f>
        <v>0</v>
      </c>
      <c r="Q65" s="3663" t="s">
        <v>3101</v>
      </c>
      <c r="R65" s="872"/>
      <c r="S65" s="3579"/>
      <c r="T65" s="3580"/>
      <c r="U65" s="3580"/>
      <c r="V65" s="3580"/>
      <c r="W65" s="3581"/>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503">
        <v>61</v>
      </c>
    </row>
    <row r="66" spans="1:520" ht="15" customHeight="1">
      <c r="A66" s="3662"/>
      <c r="B66" s="3662"/>
      <c r="C66" s="72"/>
      <c r="D66" s="1"/>
      <c r="E66" s="1"/>
      <c r="F66" s="1"/>
      <c r="G66" s="62"/>
      <c r="H66" s="81" t="s">
        <v>3557</v>
      </c>
      <c r="I66" s="29"/>
      <c r="J66" s="62"/>
      <c r="K66" s="1063">
        <f>AC58</f>
        <v>0</v>
      </c>
      <c r="L66" s="1064">
        <f>AD58</f>
        <v>0</v>
      </c>
      <c r="M66" s="1064">
        <f>AE58</f>
        <v>0</v>
      </c>
      <c r="N66" s="1064">
        <f>AF58</f>
        <v>0</v>
      </c>
      <c r="O66" s="1065">
        <f>AG58</f>
        <v>0</v>
      </c>
      <c r="P66" s="729">
        <f t="shared" si="652"/>
        <v>0</v>
      </c>
      <c r="Q66" s="3663"/>
      <c r="R66" s="872"/>
      <c r="S66" s="3575"/>
      <c r="T66" s="3576"/>
      <c r="U66" s="3576"/>
      <c r="V66" s="3576"/>
      <c r="W66" s="3577"/>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503">
        <v>62</v>
      </c>
    </row>
    <row r="67" spans="1:520" ht="15" customHeight="1">
      <c r="A67" s="3662"/>
      <c r="B67" s="3662"/>
      <c r="C67" s="72"/>
      <c r="D67" s="1"/>
      <c r="E67" s="1"/>
      <c r="F67" s="1"/>
      <c r="G67" s="62"/>
      <c r="H67" s="81" t="s">
        <v>1080</v>
      </c>
      <c r="I67" s="29"/>
      <c r="J67" s="62"/>
      <c r="K67" s="1063">
        <f>AH58</f>
        <v>0</v>
      </c>
      <c r="L67" s="1064">
        <f>AI58</f>
        <v>18</v>
      </c>
      <c r="M67" s="1064">
        <f>AJ58</f>
        <v>75</v>
      </c>
      <c r="N67" s="1064">
        <f>AK58</f>
        <v>0</v>
      </c>
      <c r="O67" s="1065">
        <f>AL58</f>
        <v>0</v>
      </c>
      <c r="P67" s="729">
        <f t="shared" si="652"/>
        <v>93</v>
      </c>
      <c r="Q67" s="3663"/>
      <c r="R67" s="872"/>
      <c r="S67" s="3575"/>
      <c r="T67" s="3576"/>
      <c r="U67" s="3576"/>
      <c r="V67" s="3576"/>
      <c r="W67" s="3577"/>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503">
        <v>63</v>
      </c>
    </row>
    <row r="68" spans="1:520" ht="15" customHeight="1">
      <c r="A68" s="3662"/>
      <c r="B68" s="3662"/>
      <c r="C68" s="72"/>
      <c r="D68" s="1"/>
      <c r="E68" s="1"/>
      <c r="F68" s="1"/>
      <c r="G68" s="62"/>
      <c r="H68" s="81" t="s">
        <v>112</v>
      </c>
      <c r="I68" s="29"/>
      <c r="J68" s="895"/>
      <c r="K68" s="1084">
        <f>AM58</f>
        <v>0</v>
      </c>
      <c r="L68" s="1085">
        <f>AN58</f>
        <v>2</v>
      </c>
      <c r="M68" s="1085">
        <f>AO58</f>
        <v>5</v>
      </c>
      <c r="N68" s="1085">
        <f>AP58</f>
        <v>0</v>
      </c>
      <c r="O68" s="1086">
        <f>AQ58</f>
        <v>0</v>
      </c>
      <c r="P68" s="465">
        <f t="shared" si="652"/>
        <v>7</v>
      </c>
      <c r="Q68" s="3663"/>
      <c r="R68" s="872"/>
      <c r="S68" s="3575"/>
      <c r="T68" s="3576"/>
      <c r="U68" s="3576"/>
      <c r="V68" s="3576"/>
      <c r="W68" s="3577"/>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503">
        <v>64</v>
      </c>
    </row>
    <row r="69" spans="1:520" ht="15" customHeight="1">
      <c r="A69" s="3662"/>
      <c r="B69" s="3662"/>
      <c r="C69" s="72"/>
      <c r="D69" s="1"/>
      <c r="E69" s="1"/>
      <c r="F69" s="1"/>
      <c r="G69" s="62"/>
      <c r="H69" s="81" t="s">
        <v>3558</v>
      </c>
      <c r="I69" s="29"/>
      <c r="J69" s="895"/>
      <c r="K69" s="1063">
        <f>AR58</f>
        <v>0</v>
      </c>
      <c r="L69" s="1064">
        <f>AS58</f>
        <v>0</v>
      </c>
      <c r="M69" s="1064">
        <f>AT58</f>
        <v>0</v>
      </c>
      <c r="N69" s="1064">
        <f>AU58</f>
        <v>0</v>
      </c>
      <c r="O69" s="1065">
        <f>AV58</f>
        <v>0</v>
      </c>
      <c r="P69" s="729">
        <f t="shared" si="652"/>
        <v>0</v>
      </c>
      <c r="Q69" s="3663"/>
      <c r="R69" s="872"/>
      <c r="S69" s="3575"/>
      <c r="T69" s="3576"/>
      <c r="U69" s="3576"/>
      <c r="V69" s="3576"/>
      <c r="W69" s="3577"/>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503">
        <v>65</v>
      </c>
    </row>
    <row r="70" spans="1:520" ht="15" customHeight="1">
      <c r="A70" s="3662"/>
      <c r="B70" s="3662"/>
      <c r="C70" s="72"/>
      <c r="D70" s="1"/>
      <c r="E70" s="1"/>
      <c r="F70" s="1"/>
      <c r="G70" s="62"/>
      <c r="H70" s="81" t="s">
        <v>3559</v>
      </c>
      <c r="I70" s="29"/>
      <c r="J70" s="62"/>
      <c r="K70" s="1063">
        <f>AW58</f>
        <v>0</v>
      </c>
      <c r="L70" s="1064">
        <f>AX58</f>
        <v>4</v>
      </c>
      <c r="M70" s="1064">
        <f>AY58</f>
        <v>4</v>
      </c>
      <c r="N70" s="1064">
        <f>AZ58</f>
        <v>0</v>
      </c>
      <c r="O70" s="1065">
        <f>BA58</f>
        <v>0</v>
      </c>
      <c r="P70" s="729">
        <f t="shared" si="652"/>
        <v>8</v>
      </c>
      <c r="Q70" s="3663"/>
      <c r="R70" s="872"/>
      <c r="S70" s="3575"/>
      <c r="T70" s="3576"/>
      <c r="U70" s="3576"/>
      <c r="V70" s="3576"/>
      <c r="W70" s="3577"/>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503">
        <v>66</v>
      </c>
    </row>
    <row r="71" spans="1:520" ht="15" customHeight="1">
      <c r="A71" s="3662"/>
      <c r="B71" s="3662"/>
      <c r="C71" s="4"/>
      <c r="D71" s="1"/>
      <c r="E71" s="1"/>
      <c r="F71" s="1"/>
      <c r="G71" s="62"/>
      <c r="H71" s="81" t="s">
        <v>3560</v>
      </c>
      <c r="I71" s="29"/>
      <c r="J71" s="62"/>
      <c r="K71" s="1066">
        <f>BB58</f>
        <v>0</v>
      </c>
      <c r="L71" s="1067">
        <f>BC58</f>
        <v>0</v>
      </c>
      <c r="M71" s="1067">
        <f>BD58</f>
        <v>0</v>
      </c>
      <c r="N71" s="1067">
        <f>BE58</f>
        <v>0</v>
      </c>
      <c r="O71" s="1068">
        <f>BF58</f>
        <v>0</v>
      </c>
      <c r="P71" s="465">
        <f t="shared" si="652"/>
        <v>0</v>
      </c>
      <c r="Q71" s="3663"/>
      <c r="R71" s="872"/>
      <c r="S71" s="3575"/>
      <c r="T71" s="3576"/>
      <c r="U71" s="3576"/>
      <c r="V71" s="3576"/>
      <c r="W71" s="3577"/>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2502">
        <v>67</v>
      </c>
    </row>
    <row r="72" spans="1:520" ht="15" customHeight="1">
      <c r="A72" s="3662"/>
      <c r="B72" s="3662"/>
      <c r="C72" s="81" t="s">
        <v>3642</v>
      </c>
      <c r="D72" s="1"/>
      <c r="E72" s="1"/>
      <c r="F72" s="1"/>
      <c r="G72" s="62"/>
      <c r="H72" s="68"/>
      <c r="I72" s="44"/>
      <c r="J72" s="62"/>
      <c r="K72" s="1028">
        <f>SUM(K65:K71)</f>
        <v>0</v>
      </c>
      <c r="L72" s="1028">
        <f>SUM(L65:L71)</f>
        <v>24</v>
      </c>
      <c r="M72" s="1028">
        <f>SUM(M65:M71)</f>
        <v>84</v>
      </c>
      <c r="N72" s="1028">
        <f>SUM(N65:N71)</f>
        <v>0</v>
      </c>
      <c r="O72" s="1028">
        <f>SUM(O65:O71)</f>
        <v>0</v>
      </c>
      <c r="P72" s="1028">
        <f t="shared" si="652"/>
        <v>108</v>
      </c>
      <c r="Q72" s="3664"/>
      <c r="S72" s="3575"/>
      <c r="T72" s="3576"/>
      <c r="U72" s="3576"/>
      <c r="V72" s="3576"/>
      <c r="W72" s="3577"/>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503">
        <v>68</v>
      </c>
    </row>
    <row r="73" spans="1:520" ht="15" customHeight="1">
      <c r="A73" s="3662"/>
      <c r="B73" s="3662"/>
      <c r="D73" s="1"/>
      <c r="E73" s="1"/>
      <c r="F73" s="1"/>
      <c r="G73" s="62"/>
      <c r="H73" s="81" t="s">
        <v>290</v>
      </c>
      <c r="I73" s="29"/>
      <c r="J73" s="62"/>
      <c r="K73" s="730">
        <f>BG58</f>
        <v>0</v>
      </c>
      <c r="L73" s="730">
        <f>BH58</f>
        <v>1</v>
      </c>
      <c r="M73" s="730">
        <f>BI58</f>
        <v>6</v>
      </c>
      <c r="N73" s="730">
        <f>BJ58</f>
        <v>0</v>
      </c>
      <c r="O73" s="730">
        <f>BK58</f>
        <v>0</v>
      </c>
      <c r="P73" s="730">
        <f t="shared" si="652"/>
        <v>7</v>
      </c>
      <c r="S73" s="3575"/>
      <c r="T73" s="3576"/>
      <c r="U73" s="3576"/>
      <c r="V73" s="3576"/>
      <c r="W73" s="3577"/>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503">
        <v>69</v>
      </c>
    </row>
    <row r="74" spans="1:520" ht="15" customHeight="1">
      <c r="A74" s="3662"/>
      <c r="B74" s="3662"/>
      <c r="C74" s="1033" t="s">
        <v>1069</v>
      </c>
      <c r="D74" s="1033"/>
      <c r="E74" s="1033"/>
      <c r="F74" s="1033"/>
      <c r="G74" s="1034"/>
      <c r="H74" s="1366"/>
      <c r="I74" s="42"/>
      <c r="J74" s="1034"/>
      <c r="K74" s="1035">
        <f>SUM(K72:K73)</f>
        <v>0</v>
      </c>
      <c r="L74" s="1035">
        <f>SUM(L72:L73)</f>
        <v>25</v>
      </c>
      <c r="M74" s="1035">
        <f>SUM(M72:M73)</f>
        <v>90</v>
      </c>
      <c r="N74" s="1035">
        <f>SUM(N72:N73)</f>
        <v>0</v>
      </c>
      <c r="O74" s="1035">
        <f>SUM(O72:O73)</f>
        <v>0</v>
      </c>
      <c r="P74" s="1035">
        <f t="shared" si="652"/>
        <v>115</v>
      </c>
      <c r="S74" s="3575"/>
      <c r="T74" s="3576"/>
      <c r="U74" s="3576"/>
      <c r="V74" s="3576"/>
      <c r="W74" s="3577"/>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503">
        <v>70</v>
      </c>
    </row>
    <row r="75" spans="1:520" ht="15" customHeight="1">
      <c r="A75" s="3662"/>
      <c r="B75" s="3662"/>
      <c r="D75" s="1"/>
      <c r="E75" s="1"/>
      <c r="F75" s="1"/>
      <c r="G75" s="62"/>
      <c r="H75" s="81" t="s">
        <v>2303</v>
      </c>
      <c r="I75" s="29"/>
      <c r="J75" s="62"/>
      <c r="K75" s="730">
        <f>FM58</f>
        <v>0</v>
      </c>
      <c r="L75" s="730">
        <f>FN58</f>
        <v>0</v>
      </c>
      <c r="M75" s="730">
        <f>FO58</f>
        <v>1</v>
      </c>
      <c r="N75" s="730">
        <f>FP58</f>
        <v>0</v>
      </c>
      <c r="O75" s="730">
        <f>FQ58</f>
        <v>0</v>
      </c>
      <c r="P75" s="730">
        <f t="shared" si="652"/>
        <v>1</v>
      </c>
      <c r="Q75" s="147" t="s">
        <v>3102</v>
      </c>
      <c r="S75" s="3575"/>
      <c r="T75" s="3576"/>
      <c r="U75" s="3576"/>
      <c r="V75" s="3576"/>
      <c r="W75" s="3577"/>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503">
        <v>71</v>
      </c>
    </row>
    <row r="76" spans="1:520" ht="15" customHeight="1">
      <c r="A76" s="3662"/>
      <c r="B76" s="3662"/>
      <c r="C76" s="4" t="s">
        <v>1662</v>
      </c>
      <c r="D76" s="1"/>
      <c r="E76" s="1"/>
      <c r="F76" s="1"/>
      <c r="G76" s="62"/>
      <c r="H76" s="81"/>
      <c r="I76" s="29"/>
      <c r="J76" s="62"/>
      <c r="K76" s="1027">
        <f>SUM(K74:K75)</f>
        <v>0</v>
      </c>
      <c r="L76" s="1027">
        <f>SUM(L74:L75)</f>
        <v>25</v>
      </c>
      <c r="M76" s="1027">
        <f>SUM(M74:M75)</f>
        <v>91</v>
      </c>
      <c r="N76" s="1027">
        <f>SUM(N74:N75)</f>
        <v>0</v>
      </c>
      <c r="O76" s="1027">
        <f>SUM(O74:O75)</f>
        <v>0</v>
      </c>
      <c r="P76" s="1027">
        <f t="shared" si="652"/>
        <v>116</v>
      </c>
      <c r="S76" s="3572"/>
      <c r="T76" s="3573"/>
      <c r="U76" s="3573"/>
      <c r="V76" s="3573"/>
      <c r="W76" s="3574"/>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503">
        <v>72</v>
      </c>
    </row>
    <row r="77" spans="1:520" ht="16.149999999999999" customHeight="1">
      <c r="A77" s="3662"/>
      <c r="B77" s="3662"/>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505">
        <v>73</v>
      </c>
    </row>
    <row r="78" spans="1:520" ht="12" customHeight="1">
      <c r="A78" s="3662"/>
      <c r="B78" s="3662"/>
      <c r="C78" s="3665" t="s">
        <v>3651</v>
      </c>
      <c r="D78" s="3665"/>
      <c r="E78" s="3665"/>
      <c r="F78" s="3665"/>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503">
        <v>74</v>
      </c>
    </row>
    <row r="79" spans="1:520" customFormat="1" ht="13.15" customHeight="1">
      <c r="A79" s="3662"/>
      <c r="B79" s="3662"/>
      <c r="C79" s="3665"/>
      <c r="D79" s="3665"/>
      <c r="E79" s="3665"/>
      <c r="F79" s="3665"/>
      <c r="G79" s="6"/>
      <c r="H79" s="81" t="s">
        <v>3556</v>
      </c>
      <c r="I79" s="29"/>
      <c r="J79" s="1335"/>
      <c r="K79" s="1360" t="str">
        <f t="shared" ref="K79:P79" si="653">IF(OR(K65=0,K76=0),"",K65/K76)</f>
        <v/>
      </c>
      <c r="L79" s="1361" t="str">
        <f t="shared" si="653"/>
        <v/>
      </c>
      <c r="M79" s="1361" t="str">
        <f t="shared" si="653"/>
        <v/>
      </c>
      <c r="N79" s="1361" t="str">
        <f t="shared" si="653"/>
        <v/>
      </c>
      <c r="O79" s="1361" t="str">
        <f t="shared" si="653"/>
        <v/>
      </c>
      <c r="P79" s="1362" t="str">
        <f t="shared" si="653"/>
        <v/>
      </c>
      <c r="Q79" s="33" t="s">
        <v>3937</v>
      </c>
      <c r="S79" s="3579"/>
      <c r="T79" s="3580"/>
      <c r="U79" s="3580"/>
      <c r="V79" s="3580"/>
      <c r="W79" s="3581"/>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2498"/>
      <c r="OZ79" s="2502">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ht="12.5">
      <c r="A80" s="3662"/>
      <c r="B80" s="3662"/>
      <c r="C80" s="653"/>
      <c r="D80" s="6"/>
      <c r="E80" s="6"/>
      <c r="F80" s="6"/>
      <c r="G80" s="6"/>
      <c r="H80" s="81" t="s">
        <v>4380</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575"/>
      <c r="T80" s="3576"/>
      <c r="U80" s="3576"/>
      <c r="V80" s="3576"/>
      <c r="W80" s="3577"/>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2498"/>
      <c r="OZ80" s="2503">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ht="12.5">
      <c r="A81" s="3662"/>
      <c r="B81" s="3662"/>
      <c r="C81" s="653"/>
      <c r="D81" s="6"/>
      <c r="E81" s="6"/>
      <c r="F81" s="6"/>
      <c r="G81" s="1410"/>
      <c r="H81" s="1368" t="s">
        <v>4381</v>
      </c>
      <c r="I81" s="1336"/>
      <c r="J81" s="1"/>
      <c r="K81" s="1417" t="str">
        <f t="shared" ref="K81:P81" si="654">IF(OR(K80="",K65=0),"", K65-K80)</f>
        <v/>
      </c>
      <c r="L81" s="1418" t="str">
        <f t="shared" si="654"/>
        <v/>
      </c>
      <c r="M81" s="1418" t="str">
        <f t="shared" si="654"/>
        <v/>
      </c>
      <c r="N81" s="1418" t="str">
        <f t="shared" si="654"/>
        <v/>
      </c>
      <c r="O81" s="1418" t="str">
        <f t="shared" si="654"/>
        <v/>
      </c>
      <c r="P81" s="1419" t="str">
        <f t="shared" si="654"/>
        <v/>
      </c>
      <c r="S81" s="3575"/>
      <c r="T81" s="3576"/>
      <c r="U81" s="3576"/>
      <c r="V81" s="3576"/>
      <c r="W81" s="3577"/>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2498"/>
      <c r="OZ81" s="2503">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62"/>
      <c r="B82" s="3662"/>
      <c r="C82" s="653"/>
      <c r="D82" s="3666" t="s">
        <v>3936</v>
      </c>
      <c r="E82" s="3666"/>
      <c r="F82" s="3666"/>
      <c r="G82" s="6"/>
      <c r="H82" s="81" t="s">
        <v>3557</v>
      </c>
      <c r="I82" s="29"/>
      <c r="J82" s="1"/>
      <c r="K82" s="1363" t="str">
        <f t="shared" ref="K82:P82" si="655">IF(OR(K66=0,K76=0),"",K66/K76)</f>
        <v/>
      </c>
      <c r="L82" s="1364" t="str">
        <f t="shared" si="655"/>
        <v/>
      </c>
      <c r="M82" s="1364" t="str">
        <f t="shared" si="655"/>
        <v/>
      </c>
      <c r="N82" s="1364" t="str">
        <f t="shared" si="655"/>
        <v/>
      </c>
      <c r="O82" s="1364" t="str">
        <f t="shared" si="655"/>
        <v/>
      </c>
      <c r="P82" s="1365" t="str">
        <f t="shared" si="655"/>
        <v/>
      </c>
      <c r="S82" s="3575"/>
      <c r="T82" s="3576"/>
      <c r="U82" s="3576"/>
      <c r="V82" s="3576"/>
      <c r="W82" s="3577"/>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2498"/>
      <c r="OZ82" s="2502">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ht="12.5">
      <c r="C83" s="653"/>
      <c r="D83" s="3666"/>
      <c r="E83" s="3666"/>
      <c r="F83" s="3666"/>
      <c r="G83" s="6"/>
      <c r="H83" s="81" t="s">
        <v>4380</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575"/>
      <c r="T83" s="3576"/>
      <c r="U83" s="3576"/>
      <c r="V83" s="3576"/>
      <c r="W83" s="3577"/>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2498"/>
      <c r="OZ83" s="2503">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ht="12.5">
      <c r="C84" s="653"/>
      <c r="D84" s="3666"/>
      <c r="E84" s="3666"/>
      <c r="F84" s="3666"/>
      <c r="G84" s="1410"/>
      <c r="H84" s="1368" t="s">
        <v>4381</v>
      </c>
      <c r="I84" s="1336"/>
      <c r="J84" s="1"/>
      <c r="K84" s="1417" t="str">
        <f t="shared" ref="K84:P84" si="656">IF(OR(K83="",K66=0),"", K66-K83)</f>
        <v/>
      </c>
      <c r="L84" s="1417" t="str">
        <f t="shared" si="656"/>
        <v/>
      </c>
      <c r="M84" s="1417" t="str">
        <f t="shared" si="656"/>
        <v/>
      </c>
      <c r="N84" s="1417" t="str">
        <f t="shared" si="656"/>
        <v/>
      </c>
      <c r="O84" s="1417" t="str">
        <f t="shared" si="656"/>
        <v/>
      </c>
      <c r="P84" s="1417" t="str">
        <f t="shared" si="656"/>
        <v/>
      </c>
      <c r="S84" s="3575"/>
      <c r="T84" s="3576"/>
      <c r="U84" s="3576"/>
      <c r="V84" s="3576"/>
      <c r="W84" s="3577"/>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2498"/>
      <c r="OZ84" s="2503">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3935</v>
      </c>
      <c r="D85" s="3666"/>
      <c r="E85" s="3666"/>
      <c r="F85" s="3666"/>
      <c r="G85" s="6"/>
      <c r="H85" s="81" t="s">
        <v>1080</v>
      </c>
      <c r="I85" s="29"/>
      <c r="J85" s="1"/>
      <c r="K85" s="1363" t="str">
        <f t="shared" ref="K85:P85" si="657">IF(OR(K67=0,K76=0),"",K67/K76)</f>
        <v/>
      </c>
      <c r="L85" s="1364">
        <f t="shared" si="657"/>
        <v>0.72</v>
      </c>
      <c r="M85" s="1364">
        <f t="shared" si="657"/>
        <v>0.82417582417582413</v>
      </c>
      <c r="N85" s="1364" t="str">
        <f t="shared" si="657"/>
        <v/>
      </c>
      <c r="O85" s="1364" t="str">
        <f t="shared" si="657"/>
        <v/>
      </c>
      <c r="P85" s="1365">
        <f t="shared" si="657"/>
        <v>0.80172413793103448</v>
      </c>
      <c r="S85" s="3575"/>
      <c r="T85" s="3576"/>
      <c r="U85" s="3576"/>
      <c r="V85" s="3576"/>
      <c r="W85" s="3577"/>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2498"/>
      <c r="OZ85" s="2503">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66"/>
      <c r="E86" s="3666"/>
      <c r="F86" s="3666"/>
      <c r="G86" s="6"/>
      <c r="H86" s="81" t="s">
        <v>4380</v>
      </c>
      <c r="I86" s="29"/>
      <c r="J86" s="1"/>
      <c r="K86" s="1415" t="str">
        <f>IF(OR(K67=0,P85="",K76=0),"",P85*K76)</f>
        <v/>
      </c>
      <c r="L86" s="1415">
        <f>IF(OR(L67=0,P85="",L76=0),"",P85*L76)</f>
        <v>20.043103448275861</v>
      </c>
      <c r="M86" s="1415">
        <f>IF(OR(M67=0,P85="",M76=0),"",P85*M76)</f>
        <v>72.956896551724142</v>
      </c>
      <c r="N86" s="1415" t="str">
        <f>IF(OR(N67=0,P85="",N76=0),"",P85*N76)</f>
        <v/>
      </c>
      <c r="O86" s="1415" t="str">
        <f>IF(OR(O67=0,P85="",O76=0),"",P85*O76)</f>
        <v/>
      </c>
      <c r="P86" s="1416">
        <f>IF(OR(P85="",P76=0),"",P85*P76)</f>
        <v>93</v>
      </c>
      <c r="S86" s="3572"/>
      <c r="T86" s="3573"/>
      <c r="U86" s="3573"/>
      <c r="V86" s="3573"/>
      <c r="W86" s="3574"/>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2498"/>
      <c r="OZ86" s="2503">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66"/>
      <c r="E87" s="3666"/>
      <c r="F87" s="3666"/>
      <c r="G87" s="1410"/>
      <c r="H87" s="1368" t="s">
        <v>4381</v>
      </c>
      <c r="I87" s="1336"/>
      <c r="J87" s="1"/>
      <c r="K87" s="1417" t="str">
        <f t="shared" ref="K87:P87" si="658">IF(OR(K86="",K67=0),"", K67-K86)</f>
        <v/>
      </c>
      <c r="L87" s="1417">
        <f t="shared" si="658"/>
        <v>-2.0431034482758612</v>
      </c>
      <c r="M87" s="1417">
        <f t="shared" si="658"/>
        <v>2.0431034482758577</v>
      </c>
      <c r="N87" s="1417" t="str">
        <f t="shared" si="658"/>
        <v/>
      </c>
      <c r="O87" s="1417" t="str">
        <f t="shared" si="658"/>
        <v/>
      </c>
      <c r="P87" s="1417">
        <f t="shared" si="658"/>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2498"/>
      <c r="OZ87" s="2503">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3935</v>
      </c>
      <c r="D88" s="1334"/>
      <c r="E88" s="1334"/>
      <c r="F88" s="6"/>
      <c r="G88" s="6"/>
      <c r="H88" s="81" t="s">
        <v>112</v>
      </c>
      <c r="I88" s="29"/>
      <c r="J88" s="1"/>
      <c r="K88" s="1363" t="str">
        <f t="shared" ref="K88:P88" si="659">IF(OR(K68=0,K76=0),"",K68/K76)</f>
        <v/>
      </c>
      <c r="L88" s="1364">
        <f t="shared" si="659"/>
        <v>0.08</v>
      </c>
      <c r="M88" s="1364">
        <f t="shared" si="659"/>
        <v>5.4945054945054944E-2</v>
      </c>
      <c r="N88" s="1364" t="str">
        <f t="shared" si="659"/>
        <v/>
      </c>
      <c r="O88" s="1364" t="str">
        <f t="shared" si="659"/>
        <v/>
      </c>
      <c r="P88" s="1365">
        <f t="shared" si="659"/>
        <v>6.0344827586206899E-2</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2498"/>
      <c r="OZ88" s="2505">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4380</v>
      </c>
      <c r="I89" s="29"/>
      <c r="J89" s="1"/>
      <c r="K89" s="1415" t="str">
        <f>IF(OR(K68=0,P88="",K76=0),"",P88*K76)</f>
        <v/>
      </c>
      <c r="L89" s="1415">
        <f>IF(OR(L68=0,P88="",L76=0),"",P88*L76)</f>
        <v>1.5086206896551724</v>
      </c>
      <c r="M89" s="1415">
        <f>IF(OR(M68=0,P88="",M76=0),"",P88*M76)</f>
        <v>5.4913793103448274</v>
      </c>
      <c r="N89" s="1415" t="str">
        <f>IF(OR(N68=0,P88="",N76=0),"",P88*N76)</f>
        <v/>
      </c>
      <c r="O89" s="1415" t="str">
        <f>IF(OR(O68=0,P88="",O76=0),"",P88*O76)</f>
        <v/>
      </c>
      <c r="P89" s="1416">
        <f>IF(OR(P88="",P76=0),"",P88*P76)</f>
        <v>7</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2498"/>
      <c r="OZ89" s="2503">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4381</v>
      </c>
      <c r="I90" s="1336"/>
      <c r="J90" s="1"/>
      <c r="K90" s="1417" t="str">
        <f t="shared" ref="K90:P90" si="660">IF(OR(K89="",K68=0),"", K68-K89)</f>
        <v/>
      </c>
      <c r="L90" s="1417">
        <f t="shared" si="660"/>
        <v>0.49137931034482762</v>
      </c>
      <c r="M90" s="1417">
        <f t="shared" si="660"/>
        <v>-0.4913793103448274</v>
      </c>
      <c r="N90" s="1417" t="str">
        <f t="shared" si="660"/>
        <v/>
      </c>
      <c r="O90" s="1417" t="str">
        <f t="shared" si="660"/>
        <v/>
      </c>
      <c r="P90" s="1417">
        <f t="shared" si="660"/>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2498"/>
      <c r="OZ90" s="2502">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3935</v>
      </c>
      <c r="D91" s="1334"/>
      <c r="E91" s="1334"/>
      <c r="F91" s="6"/>
      <c r="G91" s="6"/>
      <c r="H91" s="81" t="s">
        <v>3558</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2498"/>
      <c r="OZ91" s="2503">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4380</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2498"/>
      <c r="OZ92" s="2503">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4381</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2498"/>
      <c r="OZ93" s="2502">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3935</v>
      </c>
      <c r="D94" s="6"/>
      <c r="E94" s="6"/>
      <c r="F94" s="6"/>
      <c r="G94" s="6"/>
      <c r="H94" s="81" t="s">
        <v>3559</v>
      </c>
      <c r="I94" s="29"/>
      <c r="J94" s="1"/>
      <c r="K94" s="1363" t="str">
        <f t="shared" ref="K94:P94" si="663">IF(OR(K70=0,K76=0),"",K70/K76)</f>
        <v/>
      </c>
      <c r="L94" s="1364">
        <f t="shared" si="663"/>
        <v>0.16</v>
      </c>
      <c r="M94" s="1364">
        <f t="shared" si="663"/>
        <v>4.3956043956043959E-2</v>
      </c>
      <c r="N94" s="1364" t="str">
        <f t="shared" si="663"/>
        <v/>
      </c>
      <c r="O94" s="1364" t="str">
        <f t="shared" si="663"/>
        <v/>
      </c>
      <c r="P94" s="1365">
        <f t="shared" si="663"/>
        <v>6.8965517241379309E-2</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2498"/>
      <c r="OZ94" s="2503">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4380</v>
      </c>
      <c r="I95" s="29"/>
      <c r="J95" s="1"/>
      <c r="K95" s="1415" t="str">
        <f>IF(OR(K70=0,P94="",K76=0),"",P94*K76)</f>
        <v/>
      </c>
      <c r="L95" s="1415">
        <f>IF(OR(L70=0,P94="",L76=0),"",P94*L76)</f>
        <v>1.7241379310344827</v>
      </c>
      <c r="M95" s="1415">
        <f>IF(OR(M70=0,P94="",M76=0),"",P94*M76)</f>
        <v>6.2758620689655169</v>
      </c>
      <c r="N95" s="1415" t="str">
        <f>IF(OR(N70=0,P94="",N76=0),"",P94*N76)</f>
        <v/>
      </c>
      <c r="O95" s="1415" t="str">
        <f>IF(OR(O70=0,P94="",O76=0),"",P94*O76)</f>
        <v/>
      </c>
      <c r="P95" s="1416">
        <f>IF(OR(P94="",P76=0),"",P94*P76)</f>
        <v>8</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2498"/>
      <c r="OZ95" s="2503">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4381</v>
      </c>
      <c r="I96" s="1336"/>
      <c r="J96" s="1"/>
      <c r="K96" s="1417" t="str">
        <f t="shared" ref="K96:P96" si="664">IF(OR(K95="",K70=0),"", K70-K95)</f>
        <v/>
      </c>
      <c r="L96" s="1417">
        <f t="shared" si="664"/>
        <v>2.2758620689655173</v>
      </c>
      <c r="M96" s="1417">
        <f t="shared" si="664"/>
        <v>-2.2758620689655169</v>
      </c>
      <c r="N96" s="1417" t="str">
        <f t="shared" si="664"/>
        <v/>
      </c>
      <c r="O96" s="1417" t="str">
        <f t="shared" si="664"/>
        <v/>
      </c>
      <c r="P96" s="1417">
        <f t="shared" si="664"/>
        <v>0</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2498"/>
      <c r="OZ96" s="2503">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3935</v>
      </c>
      <c r="D97" s="6"/>
      <c r="E97" s="6"/>
      <c r="F97" s="6"/>
      <c r="G97" s="6"/>
      <c r="H97" s="81" t="s">
        <v>3560</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2498"/>
      <c r="OZ97" s="2503">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4380</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2498"/>
      <c r="OZ98" s="2503">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4381</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2498"/>
      <c r="OZ99" s="2505">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503">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2502">
        <v>97</v>
      </c>
    </row>
    <row r="102" spans="1:520" ht="15" customHeight="1">
      <c r="A102" s="1059"/>
      <c r="B102" s="1059"/>
      <c r="C102" s="72" t="s">
        <v>874</v>
      </c>
      <c r="D102" s="1"/>
      <c r="E102" s="81"/>
      <c r="F102" s="1"/>
      <c r="G102" s="62"/>
      <c r="H102" s="81" t="s">
        <v>3556</v>
      </c>
      <c r="I102" s="29"/>
      <c r="J102" s="62"/>
      <c r="K102" s="1069">
        <f>CP58</f>
        <v>0</v>
      </c>
      <c r="L102" s="1070">
        <f>CQ58</f>
        <v>0</v>
      </c>
      <c r="M102" s="1070">
        <f>CR58</f>
        <v>0</v>
      </c>
      <c r="N102" s="1070">
        <f>CS58</f>
        <v>0</v>
      </c>
      <c r="O102" s="1071">
        <f>CT58</f>
        <v>0</v>
      </c>
      <c r="P102" s="731">
        <f t="shared" ref="P102:P109" si="667">SUM(K102:O102)</f>
        <v>0</v>
      </c>
      <c r="S102" s="3579"/>
      <c r="T102" s="3580"/>
      <c r="U102" s="3580"/>
      <c r="V102" s="3580"/>
      <c r="W102" s="3581"/>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503">
        <v>98</v>
      </c>
    </row>
    <row r="103" spans="1:520" ht="15" customHeight="1">
      <c r="A103" s="1059"/>
      <c r="B103" s="1059"/>
      <c r="C103" s="29" t="s">
        <v>2304</v>
      </c>
      <c r="D103" s="1"/>
      <c r="E103" s="81"/>
      <c r="F103" s="1"/>
      <c r="G103" s="62"/>
      <c r="H103" s="81" t="s">
        <v>3557</v>
      </c>
      <c r="I103" s="29"/>
      <c r="J103" s="62"/>
      <c r="K103" s="1072">
        <f>CK58</f>
        <v>0</v>
      </c>
      <c r="L103" s="1073">
        <f>CL58</f>
        <v>0</v>
      </c>
      <c r="M103" s="1073">
        <f>CM58</f>
        <v>0</v>
      </c>
      <c r="N103" s="1073">
        <f>CN58</f>
        <v>0</v>
      </c>
      <c r="O103" s="1074">
        <f>CO58</f>
        <v>0</v>
      </c>
      <c r="P103" s="1026">
        <f t="shared" si="667"/>
        <v>0</v>
      </c>
      <c r="S103" s="3575"/>
      <c r="T103" s="3576"/>
      <c r="U103" s="3576"/>
      <c r="V103" s="3576"/>
      <c r="W103" s="3577"/>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503">
        <v>99</v>
      </c>
    </row>
    <row r="104" spans="1:520" ht="14.5" customHeight="1">
      <c r="A104" s="1059"/>
      <c r="B104" s="1059"/>
      <c r="C104" s="72"/>
      <c r="D104" s="1"/>
      <c r="E104" s="81"/>
      <c r="F104" s="1"/>
      <c r="G104" s="62"/>
      <c r="H104" s="81" t="s">
        <v>1080</v>
      </c>
      <c r="I104" s="29"/>
      <c r="J104" s="62"/>
      <c r="K104" s="1072">
        <f>CF58</f>
        <v>0</v>
      </c>
      <c r="L104" s="1073">
        <f>CG58</f>
        <v>0</v>
      </c>
      <c r="M104" s="1073">
        <f>CH58</f>
        <v>0</v>
      </c>
      <c r="N104" s="1073">
        <f>CI58</f>
        <v>0</v>
      </c>
      <c r="O104" s="1074">
        <f>CJ58</f>
        <v>0</v>
      </c>
      <c r="P104" s="1026">
        <f t="shared" si="667"/>
        <v>0</v>
      </c>
      <c r="S104" s="3575"/>
      <c r="T104" s="3576"/>
      <c r="U104" s="3576"/>
      <c r="V104" s="3576"/>
      <c r="W104" s="3577"/>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2502">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7"/>
        <v>0</v>
      </c>
      <c r="S105" s="3575"/>
      <c r="T105" s="3576"/>
      <c r="U105" s="3576"/>
      <c r="V105" s="3576"/>
      <c r="W105" s="3577"/>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503">
        <v>101</v>
      </c>
    </row>
    <row r="106" spans="1:520" ht="15" customHeight="1">
      <c r="A106" s="1059"/>
      <c r="B106" s="1059"/>
      <c r="C106" s="72"/>
      <c r="D106" s="1"/>
      <c r="E106" s="81"/>
      <c r="F106" s="1"/>
      <c r="G106" s="62"/>
      <c r="H106" s="81" t="s">
        <v>3558</v>
      </c>
      <c r="I106" s="29"/>
      <c r="J106" s="895"/>
      <c r="K106" s="1072">
        <f>BV58</f>
        <v>0</v>
      </c>
      <c r="L106" s="1073">
        <f>BW58</f>
        <v>0</v>
      </c>
      <c r="M106" s="1073">
        <f>BX58</f>
        <v>0</v>
      </c>
      <c r="N106" s="1073">
        <f>BY58</f>
        <v>0</v>
      </c>
      <c r="O106" s="1074">
        <f>BZ58</f>
        <v>0</v>
      </c>
      <c r="P106" s="1026">
        <f t="shared" si="667"/>
        <v>0</v>
      </c>
      <c r="S106" s="3575"/>
      <c r="T106" s="3576"/>
      <c r="U106" s="3576"/>
      <c r="V106" s="3576"/>
      <c r="W106" s="3577"/>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503">
        <v>102</v>
      </c>
    </row>
    <row r="107" spans="1:520" ht="15" customHeight="1">
      <c r="A107" s="1058"/>
      <c r="B107" s="1058"/>
      <c r="C107" s="72"/>
      <c r="D107" s="1"/>
      <c r="E107" s="81"/>
      <c r="F107" s="1"/>
      <c r="G107" s="62"/>
      <c r="H107" s="81" t="s">
        <v>3559</v>
      </c>
      <c r="I107" s="29"/>
      <c r="J107" s="62"/>
      <c r="K107" s="1072">
        <f>BQ58</f>
        <v>0</v>
      </c>
      <c r="L107" s="1073">
        <f>BR58</f>
        <v>0</v>
      </c>
      <c r="M107" s="1073">
        <f>BS58</f>
        <v>0</v>
      </c>
      <c r="N107" s="1073">
        <f>BT58</f>
        <v>0</v>
      </c>
      <c r="O107" s="1074">
        <f>BU58</f>
        <v>0</v>
      </c>
      <c r="P107" s="1026">
        <f t="shared" si="667"/>
        <v>0</v>
      </c>
      <c r="S107" s="3575"/>
      <c r="T107" s="3576"/>
      <c r="U107" s="3576"/>
      <c r="V107" s="3576"/>
      <c r="W107" s="3577"/>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503">
        <v>103</v>
      </c>
    </row>
    <row r="108" spans="1:520" ht="15" customHeight="1">
      <c r="A108" s="1058"/>
      <c r="B108" s="1058"/>
      <c r="D108" s="1"/>
      <c r="E108" s="81"/>
      <c r="F108" s="1"/>
      <c r="G108" s="62"/>
      <c r="H108" s="81" t="s">
        <v>3560</v>
      </c>
      <c r="I108" s="29"/>
      <c r="J108" s="62"/>
      <c r="K108" s="1075">
        <f>BL58</f>
        <v>0</v>
      </c>
      <c r="L108" s="1076">
        <f>BM58</f>
        <v>0</v>
      </c>
      <c r="M108" s="1076">
        <f>BN58</f>
        <v>0</v>
      </c>
      <c r="N108" s="1076">
        <f>BO58</f>
        <v>0</v>
      </c>
      <c r="O108" s="1077">
        <f>BP58</f>
        <v>0</v>
      </c>
      <c r="P108" s="732">
        <f t="shared" si="667"/>
        <v>0</v>
      </c>
      <c r="S108" s="3575"/>
      <c r="T108" s="3576"/>
      <c r="U108" s="3576"/>
      <c r="V108" s="3576"/>
      <c r="W108" s="3577"/>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503">
        <v>104</v>
      </c>
    </row>
    <row r="109" spans="1:520" ht="15" customHeight="1">
      <c r="A109" s="1058"/>
      <c r="B109" s="1058"/>
      <c r="C109" s="4"/>
      <c r="D109" s="1"/>
      <c r="E109" s="81"/>
      <c r="F109" s="1"/>
      <c r="G109" s="62"/>
      <c r="H109" s="141" t="s">
        <v>503</v>
      </c>
      <c r="I109" s="66"/>
      <c r="J109" s="62"/>
      <c r="K109" s="1027">
        <f>SUM(K102:K108)</f>
        <v>0</v>
      </c>
      <c r="L109" s="1027">
        <f>SUM(L102:L108)</f>
        <v>0</v>
      </c>
      <c r="M109" s="1027">
        <f>SUM(M102:M108)</f>
        <v>0</v>
      </c>
      <c r="N109" s="1027">
        <f>SUM(N102:N108)</f>
        <v>0</v>
      </c>
      <c r="O109" s="1027">
        <f>SUM(O102:O108)</f>
        <v>0</v>
      </c>
      <c r="P109" s="1027">
        <f t="shared" si="667"/>
        <v>0</v>
      </c>
      <c r="S109" s="3572"/>
      <c r="T109" s="3573"/>
      <c r="U109" s="3573"/>
      <c r="V109" s="3573"/>
      <c r="W109" s="3574"/>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2502">
        <v>105</v>
      </c>
    </row>
    <row r="110" spans="1:520" ht="5.15"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503">
        <v>106</v>
      </c>
    </row>
    <row r="111" spans="1:520" ht="14.65" customHeight="1" thickBot="1">
      <c r="A111" s="10" t="s">
        <v>688</v>
      </c>
      <c r="B111" s="10" t="s">
        <v>3751</v>
      </c>
      <c r="H111" s="68"/>
      <c r="L111" s="3597" t="str">
        <f>O62</f>
        <v>40% of Units at 60% of AMI</v>
      </c>
      <c r="M111" s="3598"/>
      <c r="N111" s="3598"/>
      <c r="O111" s="3599"/>
      <c r="P111" s="62"/>
      <c r="S111" s="4" t="str">
        <f>B111</f>
        <v>UNIT SUMMARY (Continued)</v>
      </c>
      <c r="T111" s="4"/>
      <c r="U111" s="4"/>
      <c r="V111" s="4"/>
      <c r="AY111" s="358"/>
      <c r="BD111" s="358"/>
      <c r="MX111" s="360"/>
      <c r="NM111" s="356"/>
      <c r="OZ111" s="2503">
        <v>107</v>
      </c>
    </row>
    <row r="112" spans="1:520" ht="9" customHeight="1">
      <c r="A112" s="10"/>
      <c r="B112" s="10"/>
      <c r="H112" s="68"/>
      <c r="P112" s="62"/>
      <c r="S112" s="223" t="str">
        <f>C113</f>
        <v>PHA Operating Subsidy-Assisted</v>
      </c>
      <c r="T112" s="95"/>
      <c r="U112" s="367"/>
      <c r="AY112" s="358"/>
      <c r="BD112" s="358"/>
      <c r="MX112" s="360"/>
      <c r="NM112" s="356"/>
      <c r="OZ112" s="2503">
        <v>108</v>
      </c>
    </row>
    <row r="113" spans="1:416" ht="13.5" customHeight="1">
      <c r="A113" s="1058"/>
      <c r="B113" s="1058"/>
      <c r="C113" s="333" t="s">
        <v>831</v>
      </c>
      <c r="D113" s="333"/>
      <c r="E113" s="333"/>
      <c r="F113" s="1"/>
      <c r="G113" s="62"/>
      <c r="H113" s="81" t="s">
        <v>3556</v>
      </c>
      <c r="I113" s="29"/>
      <c r="J113" s="62"/>
      <c r="K113" s="1069">
        <f>DY58</f>
        <v>0</v>
      </c>
      <c r="L113" s="1070">
        <f>DZ58</f>
        <v>0</v>
      </c>
      <c r="M113" s="1070">
        <f>EA58</f>
        <v>0</v>
      </c>
      <c r="N113" s="1070">
        <f>EB58</f>
        <v>0</v>
      </c>
      <c r="O113" s="1071">
        <f>EC58</f>
        <v>0</v>
      </c>
      <c r="P113" s="733">
        <f t="shared" ref="P113:P120" si="668">SUM(K113:O113)</f>
        <v>0</v>
      </c>
      <c r="S113" s="3579"/>
      <c r="T113" s="3580"/>
      <c r="U113" s="3580"/>
      <c r="V113" s="3580"/>
      <c r="W113" s="3581"/>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503">
        <v>109</v>
      </c>
    </row>
    <row r="114" spans="1:416" ht="13.5" customHeight="1">
      <c r="A114" s="1058"/>
      <c r="B114" s="1058"/>
      <c r="C114" s="29" t="s">
        <v>2304</v>
      </c>
      <c r="D114" s="333"/>
      <c r="E114" s="333"/>
      <c r="F114" s="1"/>
      <c r="G114" s="62"/>
      <c r="H114" s="81" t="s">
        <v>3557</v>
      </c>
      <c r="I114" s="29"/>
      <c r="J114" s="62"/>
      <c r="K114" s="1072">
        <f>DT58</f>
        <v>0</v>
      </c>
      <c r="L114" s="1073">
        <f>DU58</f>
        <v>0</v>
      </c>
      <c r="M114" s="1073">
        <f>DV58</f>
        <v>0</v>
      </c>
      <c r="N114" s="1073">
        <f>DW58</f>
        <v>0</v>
      </c>
      <c r="O114" s="1074">
        <f>DX58</f>
        <v>0</v>
      </c>
      <c r="P114" s="729">
        <f t="shared" si="668"/>
        <v>0</v>
      </c>
      <c r="S114" s="3575"/>
      <c r="T114" s="3576"/>
      <c r="U114" s="3576"/>
      <c r="V114" s="3576"/>
      <c r="W114" s="3577"/>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503">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575"/>
      <c r="T115" s="3576"/>
      <c r="U115" s="3576"/>
      <c r="V115" s="3576"/>
      <c r="W115" s="3577"/>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505">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575"/>
      <c r="T116" s="3576"/>
      <c r="U116" s="3576"/>
      <c r="V116" s="3576"/>
      <c r="W116" s="3577"/>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503">
        <v>112</v>
      </c>
    </row>
    <row r="117" spans="1:416" ht="13.5" customHeight="1">
      <c r="A117" s="1058"/>
      <c r="B117" s="1058"/>
      <c r="C117" s="333"/>
      <c r="D117" s="333"/>
      <c r="E117" s="333"/>
      <c r="F117" s="1"/>
      <c r="G117" s="62"/>
      <c r="H117" s="81" t="s">
        <v>3558</v>
      </c>
      <c r="I117" s="29"/>
      <c r="J117" s="895"/>
      <c r="K117" s="1072">
        <f>DE58</f>
        <v>0</v>
      </c>
      <c r="L117" s="1073">
        <f>DF58</f>
        <v>0</v>
      </c>
      <c r="M117" s="1073">
        <f>DG58</f>
        <v>0</v>
      </c>
      <c r="N117" s="1073">
        <f>DH58</f>
        <v>0</v>
      </c>
      <c r="O117" s="1074">
        <f>DI58</f>
        <v>0</v>
      </c>
      <c r="P117" s="729">
        <f t="shared" si="668"/>
        <v>0</v>
      </c>
      <c r="S117" s="3575"/>
      <c r="T117" s="3576"/>
      <c r="U117" s="3576"/>
      <c r="V117" s="3576"/>
      <c r="W117" s="3577"/>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2502">
        <v>113</v>
      </c>
    </row>
    <row r="118" spans="1:416" ht="13.5" customHeight="1">
      <c r="A118" s="1058"/>
      <c r="B118" s="1058"/>
      <c r="C118" s="333"/>
      <c r="D118" s="333"/>
      <c r="E118" s="333"/>
      <c r="F118" s="1"/>
      <c r="G118" s="62"/>
      <c r="H118" s="81" t="s">
        <v>3559</v>
      </c>
      <c r="I118" s="29"/>
      <c r="J118" s="62"/>
      <c r="K118" s="1072">
        <f>CZ58</f>
        <v>0</v>
      </c>
      <c r="L118" s="1073">
        <f>DA58</f>
        <v>0</v>
      </c>
      <c r="M118" s="1073">
        <f>DB58</f>
        <v>0</v>
      </c>
      <c r="N118" s="1073">
        <f>DC58</f>
        <v>0</v>
      </c>
      <c r="O118" s="1074">
        <f>DD58</f>
        <v>0</v>
      </c>
      <c r="P118" s="729">
        <f t="shared" si="668"/>
        <v>0</v>
      </c>
      <c r="S118" s="3575"/>
      <c r="T118" s="3576"/>
      <c r="U118" s="3576"/>
      <c r="V118" s="3576"/>
      <c r="W118" s="3577"/>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503">
        <v>114</v>
      </c>
    </row>
    <row r="119" spans="1:416" ht="13.5" customHeight="1">
      <c r="A119" s="1058"/>
      <c r="B119" s="1058"/>
      <c r="C119" s="333"/>
      <c r="D119" s="333"/>
      <c r="E119" s="333"/>
      <c r="F119" s="1"/>
      <c r="G119" s="62"/>
      <c r="H119" s="81" t="s">
        <v>3560</v>
      </c>
      <c r="I119" s="29"/>
      <c r="J119" s="62"/>
      <c r="K119" s="1075">
        <f>CU58</f>
        <v>0</v>
      </c>
      <c r="L119" s="1076">
        <f>CV58</f>
        <v>0</v>
      </c>
      <c r="M119" s="1076">
        <f>CW58</f>
        <v>0</v>
      </c>
      <c r="N119" s="1076">
        <f>CX58</f>
        <v>0</v>
      </c>
      <c r="O119" s="1077">
        <f>CY58</f>
        <v>0</v>
      </c>
      <c r="P119" s="730">
        <f t="shared" si="668"/>
        <v>0</v>
      </c>
      <c r="S119" s="3575"/>
      <c r="T119" s="3576"/>
      <c r="U119" s="3576"/>
      <c r="V119" s="3576"/>
      <c r="W119" s="3577"/>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503">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572"/>
      <c r="T120" s="3573"/>
      <c r="U120" s="3573"/>
      <c r="V120" s="3573"/>
      <c r="W120" s="3574"/>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2502">
        <v>116</v>
      </c>
    </row>
    <row r="121" spans="1:416" ht="9" customHeight="1">
      <c r="A121" s="10"/>
      <c r="B121" s="10"/>
      <c r="H121" s="68"/>
      <c r="P121" s="62"/>
      <c r="S121" s="223" t="str">
        <f>C122</f>
        <v>PBV</v>
      </c>
      <c r="T121" s="95"/>
      <c r="U121" s="367"/>
      <c r="AY121" s="358"/>
      <c r="BD121" s="358"/>
      <c r="MX121" s="360"/>
      <c r="NM121" s="356"/>
      <c r="OZ121" s="2503">
        <v>117</v>
      </c>
    </row>
    <row r="122" spans="1:416" ht="13.5" customHeight="1">
      <c r="A122" s="1058"/>
      <c r="B122" s="1058"/>
      <c r="C122" s="333" t="s">
        <v>5039</v>
      </c>
      <c r="D122" s="333"/>
      <c r="E122" s="333"/>
      <c r="F122" s="1"/>
      <c r="G122" s="62"/>
      <c r="H122" s="81" t="s">
        <v>3556</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579"/>
      <c r="T122" s="3580"/>
      <c r="U122" s="3580"/>
      <c r="V122" s="3580"/>
      <c r="W122" s="3581"/>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503">
        <v>118</v>
      </c>
    </row>
    <row r="123" spans="1:416" ht="13.5" customHeight="1">
      <c r="A123" s="1058"/>
      <c r="B123" s="1058"/>
      <c r="C123" s="29" t="s">
        <v>2304</v>
      </c>
      <c r="D123" s="333"/>
      <c r="E123" s="333"/>
      <c r="F123" s="1"/>
      <c r="G123" s="62"/>
      <c r="H123" s="81" t="s">
        <v>3557</v>
      </c>
      <c r="I123" s="29"/>
      <c r="J123" s="62"/>
      <c r="K123" s="1072">
        <f>EI58</f>
        <v>0</v>
      </c>
      <c r="L123" s="1073">
        <f t="shared" ref="L123:O123" si="671">EJ58</f>
        <v>0</v>
      </c>
      <c r="M123" s="1073">
        <f t="shared" si="671"/>
        <v>0</v>
      </c>
      <c r="N123" s="1073">
        <f t="shared" si="671"/>
        <v>0</v>
      </c>
      <c r="O123" s="1074">
        <f t="shared" si="671"/>
        <v>0</v>
      </c>
      <c r="P123" s="729">
        <f t="shared" si="670"/>
        <v>0</v>
      </c>
      <c r="S123" s="3575"/>
      <c r="T123" s="3576"/>
      <c r="U123" s="3576"/>
      <c r="V123" s="3576"/>
      <c r="W123" s="3577"/>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503">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575"/>
      <c r="T124" s="3576"/>
      <c r="U124" s="3576"/>
      <c r="V124" s="3576"/>
      <c r="W124" s="3577"/>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503">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575"/>
      <c r="T125" s="3576"/>
      <c r="U125" s="3576"/>
      <c r="V125" s="3576"/>
      <c r="W125" s="3577"/>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503">
        <v>121</v>
      </c>
    </row>
    <row r="126" spans="1:416" ht="13.5" customHeight="1">
      <c r="A126" s="1058"/>
      <c r="B126" s="1058"/>
      <c r="C126" s="333"/>
      <c r="D126" s="333"/>
      <c r="E126" s="333"/>
      <c r="F126" s="1"/>
      <c r="G126" s="62"/>
      <c r="H126" s="81" t="s">
        <v>3558</v>
      </c>
      <c r="I126" s="29"/>
      <c r="J126" s="895"/>
      <c r="K126" s="1072">
        <f>EX58</f>
        <v>0</v>
      </c>
      <c r="L126" s="1073">
        <f t="shared" ref="L126:O126" si="674">EY58</f>
        <v>0</v>
      </c>
      <c r="M126" s="1073">
        <f t="shared" si="674"/>
        <v>0</v>
      </c>
      <c r="N126" s="1073">
        <f t="shared" si="674"/>
        <v>0</v>
      </c>
      <c r="O126" s="1074">
        <f t="shared" si="674"/>
        <v>0</v>
      </c>
      <c r="P126" s="729">
        <f t="shared" si="670"/>
        <v>0</v>
      </c>
      <c r="S126" s="3575"/>
      <c r="T126" s="3576"/>
      <c r="U126" s="3576"/>
      <c r="V126" s="3576"/>
      <c r="W126" s="3577"/>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505">
        <v>122</v>
      </c>
    </row>
    <row r="127" spans="1:416" ht="13.5" customHeight="1">
      <c r="A127" s="1058"/>
      <c r="B127" s="1058"/>
      <c r="C127" s="333"/>
      <c r="D127" s="333"/>
      <c r="E127" s="333"/>
      <c r="F127" s="1"/>
      <c r="G127" s="62"/>
      <c r="H127" s="81" t="s">
        <v>3559</v>
      </c>
      <c r="I127" s="29"/>
      <c r="J127" s="62"/>
      <c r="K127" s="1072">
        <f>FC58</f>
        <v>0</v>
      </c>
      <c r="L127" s="1073">
        <f t="shared" ref="L127:O127" si="675">FD58</f>
        <v>0</v>
      </c>
      <c r="M127" s="1073">
        <f t="shared" si="675"/>
        <v>0</v>
      </c>
      <c r="N127" s="1073">
        <f t="shared" si="675"/>
        <v>0</v>
      </c>
      <c r="O127" s="1074">
        <f t="shared" si="675"/>
        <v>0</v>
      </c>
      <c r="P127" s="729">
        <f t="shared" si="670"/>
        <v>0</v>
      </c>
      <c r="S127" s="3575"/>
      <c r="T127" s="3576"/>
      <c r="U127" s="3576"/>
      <c r="V127" s="3576"/>
      <c r="W127" s="3577"/>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503">
        <v>123</v>
      </c>
    </row>
    <row r="128" spans="1:416" ht="13.5" customHeight="1">
      <c r="A128" s="1058"/>
      <c r="B128" s="1058"/>
      <c r="C128" s="333"/>
      <c r="D128" s="333"/>
      <c r="E128" s="333"/>
      <c r="F128" s="1"/>
      <c r="G128" s="62"/>
      <c r="H128" s="81" t="s">
        <v>3560</v>
      </c>
      <c r="I128" s="29"/>
      <c r="J128" s="62"/>
      <c r="K128" s="1075">
        <f>FH58</f>
        <v>0</v>
      </c>
      <c r="L128" s="1076">
        <f t="shared" ref="L128:O128" si="676">FI58</f>
        <v>0</v>
      </c>
      <c r="M128" s="1076">
        <f t="shared" si="676"/>
        <v>0</v>
      </c>
      <c r="N128" s="1076">
        <f t="shared" si="676"/>
        <v>0</v>
      </c>
      <c r="O128" s="1077">
        <f t="shared" si="676"/>
        <v>0</v>
      </c>
      <c r="P128" s="730">
        <f t="shared" si="670"/>
        <v>0</v>
      </c>
      <c r="S128" s="3575"/>
      <c r="T128" s="3576"/>
      <c r="U128" s="3576"/>
      <c r="V128" s="3576"/>
      <c r="W128" s="3577"/>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2502">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572"/>
      <c r="T129" s="3573"/>
      <c r="U129" s="3573"/>
      <c r="V129" s="3573"/>
      <c r="W129" s="3574"/>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503">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503">
        <v>126</v>
      </c>
    </row>
    <row r="131" spans="1:416" ht="13" customHeight="1">
      <c r="A131" s="1058"/>
      <c r="B131" s="1058"/>
      <c r="C131" s="3583" t="s">
        <v>35</v>
      </c>
      <c r="D131" s="3583"/>
      <c r="E131" s="81" t="s">
        <v>4800</v>
      </c>
      <c r="F131" s="1"/>
      <c r="G131" s="62"/>
      <c r="H131" s="81" t="s">
        <v>1341</v>
      </c>
      <c r="I131" s="29"/>
      <c r="J131" s="62"/>
      <c r="K131" s="1060">
        <f>HP58</f>
        <v>0</v>
      </c>
      <c r="L131" s="1061">
        <f>HQ58</f>
        <v>0</v>
      </c>
      <c r="M131" s="1061">
        <f>HR58</f>
        <v>0</v>
      </c>
      <c r="N131" s="1061">
        <f>HS58</f>
        <v>0</v>
      </c>
      <c r="O131" s="1062">
        <f>HT58</f>
        <v>0</v>
      </c>
      <c r="P131" s="733">
        <f t="shared" ref="P131:P141" si="677">SUM(K131:O131)</f>
        <v>0</v>
      </c>
      <c r="S131" s="3579"/>
      <c r="T131" s="3580"/>
      <c r="U131" s="3580"/>
      <c r="V131" s="3580"/>
      <c r="W131" s="3581"/>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2502">
        <v>127</v>
      </c>
    </row>
    <row r="132" spans="1:416" ht="13" customHeight="1">
      <c r="A132" s="1058"/>
      <c r="B132" s="1058"/>
      <c r="C132" s="3583"/>
      <c r="D132" s="3583"/>
      <c r="E132" s="81"/>
      <c r="F132" s="1"/>
      <c r="G132" s="62"/>
      <c r="H132" s="81" t="s">
        <v>290</v>
      </c>
      <c r="I132" s="29"/>
      <c r="J132" s="62"/>
      <c r="K132" s="1066">
        <f>HU58</f>
        <v>0</v>
      </c>
      <c r="L132" s="1067">
        <f>HV58</f>
        <v>0</v>
      </c>
      <c r="M132" s="1067">
        <f>HW58</f>
        <v>0</v>
      </c>
      <c r="N132" s="1067">
        <f>HX58</f>
        <v>0</v>
      </c>
      <c r="O132" s="1068">
        <f>HY58</f>
        <v>0</v>
      </c>
      <c r="P132" s="730">
        <f t="shared" si="677"/>
        <v>0</v>
      </c>
      <c r="S132" s="3575"/>
      <c r="T132" s="3576"/>
      <c r="U132" s="3576"/>
      <c r="V132" s="3576"/>
      <c r="W132" s="3577"/>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503">
        <v>128</v>
      </c>
    </row>
    <row r="133" spans="1:416" ht="14.25" customHeight="1">
      <c r="A133" s="1058"/>
      <c r="B133" s="1058"/>
      <c r="C133" s="3583"/>
      <c r="D133" s="3583"/>
      <c r="E133" s="81"/>
      <c r="F133" s="1"/>
      <c r="G133" s="62"/>
      <c r="H133" s="141" t="s">
        <v>29</v>
      </c>
      <c r="I133" s="644" t="s">
        <v>4805</v>
      </c>
      <c r="J133" s="2066">
        <f>IF(P76=0,0,P133/P76)</f>
        <v>0</v>
      </c>
      <c r="K133" s="1029">
        <f>SUM(K131:K132)+HZ58</f>
        <v>0</v>
      </c>
      <c r="L133" s="1029">
        <f>SUM(L131:L132)+IA58</f>
        <v>0</v>
      </c>
      <c r="M133" s="1029">
        <f>SUM(M131:M132)+IB58</f>
        <v>0</v>
      </c>
      <c r="N133" s="1029">
        <f>SUM(N131:N132)+IC58</f>
        <v>0</v>
      </c>
      <c r="O133" s="1029">
        <f>SUM(O131:O132)+ID58</f>
        <v>0</v>
      </c>
      <c r="P133" s="1029">
        <f t="shared" si="677"/>
        <v>0</v>
      </c>
      <c r="S133" s="3575"/>
      <c r="T133" s="3576"/>
      <c r="U133" s="3576"/>
      <c r="V133" s="3576"/>
      <c r="W133" s="3577"/>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503">
        <v>129</v>
      </c>
    </row>
    <row r="134" spans="1:416" ht="13" customHeight="1">
      <c r="A134" s="1058"/>
      <c r="B134" s="1058"/>
      <c r="C134" s="3583"/>
      <c r="D134" s="3583"/>
      <c r="E134" s="81" t="s">
        <v>1978</v>
      </c>
      <c r="F134" s="1"/>
      <c r="G134" s="62"/>
      <c r="H134" s="81" t="s">
        <v>1341</v>
      </c>
      <c r="I134" s="29"/>
      <c r="J134" s="62"/>
      <c r="K134" s="1060">
        <f>IE58</f>
        <v>0</v>
      </c>
      <c r="L134" s="1061">
        <f>IF58</f>
        <v>24</v>
      </c>
      <c r="M134" s="1061">
        <f>IG58</f>
        <v>84</v>
      </c>
      <c r="N134" s="1061">
        <f>IH58</f>
        <v>0</v>
      </c>
      <c r="O134" s="1062">
        <f>II58</f>
        <v>0</v>
      </c>
      <c r="P134" s="733">
        <f t="shared" si="677"/>
        <v>108</v>
      </c>
      <c r="S134" s="3575"/>
      <c r="T134" s="3576"/>
      <c r="U134" s="3576"/>
      <c r="V134" s="3576"/>
      <c r="W134" s="3577"/>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503">
        <v>130</v>
      </c>
    </row>
    <row r="135" spans="1:416" ht="13" customHeight="1">
      <c r="A135" s="1058"/>
      <c r="B135" s="1058"/>
      <c r="C135" s="3583"/>
      <c r="D135" s="3583"/>
      <c r="E135" s="81"/>
      <c r="F135" s="1"/>
      <c r="G135" s="62"/>
      <c r="H135" s="81" t="s">
        <v>290</v>
      </c>
      <c r="I135" s="29"/>
      <c r="J135" s="62"/>
      <c r="K135" s="1066">
        <f>IJ58</f>
        <v>0</v>
      </c>
      <c r="L135" s="1067">
        <f>IK58</f>
        <v>1</v>
      </c>
      <c r="M135" s="1067">
        <f>IL58</f>
        <v>6</v>
      </c>
      <c r="N135" s="1067">
        <f>IM58</f>
        <v>0</v>
      </c>
      <c r="O135" s="1068">
        <f>IN58</f>
        <v>0</v>
      </c>
      <c r="P135" s="730">
        <f t="shared" si="677"/>
        <v>7</v>
      </c>
      <c r="S135" s="3575"/>
      <c r="T135" s="3576"/>
      <c r="U135" s="3576"/>
      <c r="V135" s="3576"/>
      <c r="W135" s="3577"/>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503">
        <v>131</v>
      </c>
    </row>
    <row r="136" spans="1:416" ht="14.25" customHeight="1">
      <c r="A136" s="1058"/>
      <c r="B136" s="1058"/>
      <c r="C136" s="3583"/>
      <c r="D136" s="3583"/>
      <c r="E136" s="81"/>
      <c r="F136" s="1"/>
      <c r="G136" s="62"/>
      <c r="H136" s="141" t="s">
        <v>29</v>
      </c>
      <c r="I136" s="644" t="s">
        <v>4805</v>
      </c>
      <c r="J136" s="2066">
        <f>IF(P76=0,0,P136/P76)</f>
        <v>1</v>
      </c>
      <c r="K136" s="1029">
        <f>SUM(K134:K135)+IO58</f>
        <v>0</v>
      </c>
      <c r="L136" s="1029">
        <f>SUM(L134:L135)+IP58</f>
        <v>25</v>
      </c>
      <c r="M136" s="1029">
        <f>SUM(M134:M135)+IQ58</f>
        <v>91</v>
      </c>
      <c r="N136" s="1029">
        <f>SUM(N134:N135)+IR58</f>
        <v>0</v>
      </c>
      <c r="O136" s="1029">
        <f>SUM(O134:O135)+IS58</f>
        <v>0</v>
      </c>
      <c r="P136" s="1029">
        <f t="shared" si="677"/>
        <v>116</v>
      </c>
      <c r="S136" s="3575"/>
      <c r="T136" s="3576"/>
      <c r="U136" s="3576"/>
      <c r="V136" s="3576"/>
      <c r="W136" s="3577"/>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2502">
        <v>132</v>
      </c>
    </row>
    <row r="137" spans="1:416" ht="13" customHeight="1">
      <c r="A137" s="1058"/>
      <c r="B137" s="1058"/>
      <c r="C137" s="682"/>
      <c r="D137" s="1"/>
      <c r="E137" s="3658" t="s">
        <v>1335</v>
      </c>
      <c r="F137" s="3658"/>
      <c r="G137" s="62"/>
      <c r="H137" s="81" t="s">
        <v>1341</v>
      </c>
      <c r="I137" s="29"/>
      <c r="J137" s="62"/>
      <c r="K137" s="1060">
        <f>IT58</f>
        <v>0</v>
      </c>
      <c r="L137" s="1061">
        <f>IU58</f>
        <v>0</v>
      </c>
      <c r="M137" s="1061">
        <f>IV58</f>
        <v>0</v>
      </c>
      <c r="N137" s="1061">
        <f>IW58</f>
        <v>0</v>
      </c>
      <c r="O137" s="1062">
        <f>IX58</f>
        <v>0</v>
      </c>
      <c r="P137" s="733">
        <f t="shared" si="677"/>
        <v>0</v>
      </c>
      <c r="S137" s="3575"/>
      <c r="T137" s="3576"/>
      <c r="U137" s="3576"/>
      <c r="V137" s="3576"/>
      <c r="W137" s="3577"/>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503">
        <v>133</v>
      </c>
    </row>
    <row r="138" spans="1:416" ht="13" customHeight="1">
      <c r="A138" s="1058"/>
      <c r="B138" s="1058"/>
      <c r="C138" s="682"/>
      <c r="D138" s="1"/>
      <c r="E138" s="3658"/>
      <c r="F138" s="3658"/>
      <c r="G138" s="62"/>
      <c r="H138" s="81" t="s">
        <v>290</v>
      </c>
      <c r="I138" s="29"/>
      <c r="J138" s="62"/>
      <c r="K138" s="1066">
        <f>IY58</f>
        <v>0</v>
      </c>
      <c r="L138" s="1067">
        <f>IZ58</f>
        <v>0</v>
      </c>
      <c r="M138" s="1067">
        <f>JA58</f>
        <v>0</v>
      </c>
      <c r="N138" s="1067">
        <f>JB58</f>
        <v>0</v>
      </c>
      <c r="O138" s="1068">
        <f>JC58</f>
        <v>0</v>
      </c>
      <c r="P138" s="730">
        <f t="shared" si="677"/>
        <v>0</v>
      </c>
      <c r="S138" s="3575"/>
      <c r="T138" s="3576"/>
      <c r="U138" s="3576"/>
      <c r="V138" s="3576"/>
      <c r="W138" s="3577"/>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503">
        <v>134</v>
      </c>
    </row>
    <row r="139" spans="1:416" ht="14.25" customHeight="1">
      <c r="A139" s="1058"/>
      <c r="B139" s="1058"/>
      <c r="C139" s="682"/>
      <c r="D139" s="1"/>
      <c r="E139" s="81"/>
      <c r="F139" s="1"/>
      <c r="G139" s="62"/>
      <c r="H139" s="141" t="s">
        <v>29</v>
      </c>
      <c r="I139" s="644" t="s">
        <v>4805</v>
      </c>
      <c r="J139" s="2066">
        <f>IF(P76=0,0,P139/P76)</f>
        <v>0</v>
      </c>
      <c r="K139" s="1029">
        <f>SUM(K137:K138)+JD58</f>
        <v>0</v>
      </c>
      <c r="L139" s="1029">
        <f>SUM(L137:L138)+JE58</f>
        <v>0</v>
      </c>
      <c r="M139" s="1029">
        <f>SUM(M137:M138)+JF58</f>
        <v>0</v>
      </c>
      <c r="N139" s="1029">
        <f>SUM(N137:N138)+JG58</f>
        <v>0</v>
      </c>
      <c r="O139" s="1029">
        <f>SUM(O137:O138)+JH58</f>
        <v>0</v>
      </c>
      <c r="P139" s="1029">
        <f t="shared" si="677"/>
        <v>0</v>
      </c>
      <c r="S139" s="3575"/>
      <c r="T139" s="3576"/>
      <c r="U139" s="3576"/>
      <c r="V139" s="3576"/>
      <c r="W139" s="3577"/>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503">
        <v>135</v>
      </c>
    </row>
    <row r="140" spans="1:416" ht="14.25" customHeight="1">
      <c r="A140" s="1058"/>
      <c r="B140" s="1058"/>
      <c r="C140" s="682"/>
      <c r="D140" s="1"/>
      <c r="E140" s="81" t="s">
        <v>4801</v>
      </c>
      <c r="F140" s="1"/>
      <c r="G140" s="147"/>
      <c r="H140" s="87"/>
      <c r="I140" s="62"/>
      <c r="J140" s="62"/>
      <c r="K140" s="466"/>
      <c r="L140" s="466"/>
      <c r="M140" s="466"/>
      <c r="N140" s="466"/>
      <c r="O140" s="466"/>
      <c r="P140" s="462">
        <f t="shared" si="677"/>
        <v>0</v>
      </c>
      <c r="S140" s="3575"/>
      <c r="T140" s="3576"/>
      <c r="U140" s="3576"/>
      <c r="V140" s="3576"/>
      <c r="W140" s="3577"/>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503">
        <v>136</v>
      </c>
    </row>
    <row r="141" spans="1:416" ht="14.25" customHeight="1">
      <c r="A141" s="3659" t="str">
        <f>IF(AND('Part III-A-Uses of Funds'!$T$180="Yes",'Part VIII Scoring Criteria'!$O$340&gt;0,P141&lt;1),"SHOW HISTORIC UNITS HERE &gt;&gt;&gt;&gt;","")</f>
        <v/>
      </c>
      <c r="B141" s="3659"/>
      <c r="C141" s="3659"/>
      <c r="D141" s="3659"/>
      <c r="E141" s="382" t="s">
        <v>2938</v>
      </c>
      <c r="F141" s="1"/>
      <c r="G141" s="147"/>
      <c r="H141" s="87"/>
      <c r="I141" s="62"/>
      <c r="J141" s="62"/>
      <c r="K141" s="467"/>
      <c r="L141" s="467"/>
      <c r="M141" s="467"/>
      <c r="N141" s="467"/>
      <c r="O141" s="467"/>
      <c r="P141" s="463">
        <f t="shared" si="677"/>
        <v>0</v>
      </c>
      <c r="S141" s="3575"/>
      <c r="T141" s="3576"/>
      <c r="U141" s="3576"/>
      <c r="V141" s="3576"/>
      <c r="W141" s="3577"/>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503">
        <v>137</v>
      </c>
    </row>
    <row r="142" spans="1:416" ht="9" customHeight="1">
      <c r="A142" s="816"/>
      <c r="B142" s="816"/>
      <c r="C142" s="816"/>
      <c r="D142" s="816"/>
      <c r="E142" s="382"/>
      <c r="F142" s="1"/>
      <c r="G142" s="147"/>
      <c r="H142" s="87"/>
      <c r="I142" s="62"/>
      <c r="J142" s="62"/>
      <c r="K142" s="29"/>
      <c r="L142" s="29"/>
      <c r="M142" s="29"/>
      <c r="N142" s="29"/>
      <c r="O142" s="29"/>
      <c r="P142" s="29"/>
      <c r="S142" s="3575"/>
      <c r="T142" s="3576"/>
      <c r="U142" s="3576"/>
      <c r="V142" s="3576"/>
      <c r="W142" s="3577"/>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505">
        <v>138</v>
      </c>
    </row>
    <row r="143" spans="1:416" ht="13.5" customHeight="1">
      <c r="A143" s="816"/>
      <c r="B143" s="816"/>
      <c r="C143" s="816"/>
      <c r="D143" s="816"/>
      <c r="E143" s="81" t="s">
        <v>2926</v>
      </c>
      <c r="F143" s="1"/>
      <c r="G143" s="147"/>
      <c r="H143" s="87"/>
      <c r="I143" s="62"/>
      <c r="J143" s="62"/>
      <c r="K143" s="1078">
        <f>K152+K156+K160+K162+K164+K166</f>
        <v>0</v>
      </c>
      <c r="L143" s="1079">
        <f>L152+L156+L160+L162+L164+L166</f>
        <v>6</v>
      </c>
      <c r="M143" s="1079">
        <f>M152+M156+M160+M162+M164+M166</f>
        <v>6</v>
      </c>
      <c r="N143" s="1079">
        <f>N152+N156+N160+N162+N164+N166</f>
        <v>0</v>
      </c>
      <c r="O143" s="1080">
        <f>O152+O156+O160+O162+O164+O166</f>
        <v>0</v>
      </c>
      <c r="P143" s="472">
        <f>SUM(K143:O143)</f>
        <v>12</v>
      </c>
      <c r="S143" s="3572"/>
      <c r="T143" s="3573"/>
      <c r="U143" s="3573"/>
      <c r="V143" s="3573"/>
      <c r="W143" s="3574"/>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503">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2502">
        <v>140</v>
      </c>
    </row>
    <row r="145" spans="1:528" ht="13.5" customHeight="1">
      <c r="C145" s="3583" t="s">
        <v>4799</v>
      </c>
      <c r="D145" s="3583"/>
      <c r="E145" s="81" t="s">
        <v>4747</v>
      </c>
      <c r="F145" s="1"/>
      <c r="G145" s="147"/>
      <c r="H145" s="87"/>
      <c r="I145" s="62"/>
      <c r="J145" s="62"/>
      <c r="K145" s="2395"/>
      <c r="L145" s="72" t="s">
        <v>4802</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503">
        <v>141</v>
      </c>
    </row>
    <row r="146" spans="1:528" ht="13.5" customHeight="1">
      <c r="C146" s="3583"/>
      <c r="D146" s="3583"/>
      <c r="E146" s="81"/>
      <c r="K146" s="2396"/>
      <c r="L146" s="3583" t="s">
        <v>4803</v>
      </c>
      <c r="M146" s="3583"/>
      <c r="N146" s="3583"/>
      <c r="O146" s="3583"/>
      <c r="P146" s="3583"/>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503">
        <v>142</v>
      </c>
    </row>
    <row r="147" spans="1:528" ht="14.25" customHeight="1">
      <c r="C147" s="3583"/>
      <c r="D147" s="3583"/>
      <c r="E147" s="81"/>
      <c r="K147" s="464"/>
      <c r="L147" s="3583"/>
      <c r="M147" s="3583"/>
      <c r="N147" s="3583"/>
      <c r="O147" s="3583"/>
      <c r="P147" s="3583"/>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2502">
        <v>143</v>
      </c>
    </row>
    <row r="148" spans="1:528" ht="3" customHeight="1" thickBot="1">
      <c r="C148" s="2390"/>
      <c r="D148" s="2390"/>
      <c r="E148" s="81"/>
      <c r="K148" s="464"/>
      <c r="L148" s="2390"/>
      <c r="M148" s="2390"/>
      <c r="N148" s="2390"/>
      <c r="O148" s="2390"/>
      <c r="P148" s="2390"/>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503">
        <v>144</v>
      </c>
    </row>
    <row r="149" spans="1:528" ht="14.25" customHeight="1" thickBot="1">
      <c r="A149" s="10" t="s">
        <v>688</v>
      </c>
      <c r="B149" s="10" t="s">
        <v>3751</v>
      </c>
      <c r="H149" s="68"/>
      <c r="L149" s="3597" t="str">
        <f>$O$62</f>
        <v>40% of Units at 60% of AMI</v>
      </c>
      <c r="M149" s="3598"/>
      <c r="N149" s="3598"/>
      <c r="O149" s="3599"/>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503">
        <v>145</v>
      </c>
    </row>
    <row r="150" spans="1:528" ht="14.25" customHeight="1">
      <c r="C150" s="3582" t="s">
        <v>4385</v>
      </c>
      <c r="D150" s="3582"/>
      <c r="E150" s="891" t="s">
        <v>36</v>
      </c>
      <c r="F150" s="750"/>
      <c r="G150" s="892"/>
      <c r="H150" s="1369"/>
      <c r="I150" s="893"/>
      <c r="J150" s="894"/>
      <c r="K150" s="1081">
        <f t="shared" ref="K150:P150" si="678">SUM(K151:K158)</f>
        <v>0</v>
      </c>
      <c r="L150" s="1082">
        <f t="shared" si="678"/>
        <v>25</v>
      </c>
      <c r="M150" s="1082">
        <f t="shared" si="678"/>
        <v>91</v>
      </c>
      <c r="N150" s="1082">
        <f t="shared" si="678"/>
        <v>0</v>
      </c>
      <c r="O150" s="1083">
        <f t="shared" si="678"/>
        <v>0</v>
      </c>
      <c r="P150" s="1032">
        <f t="shared" si="678"/>
        <v>116</v>
      </c>
      <c r="S150" s="3579"/>
      <c r="T150" s="3580"/>
      <c r="U150" s="3580"/>
      <c r="V150" s="3580"/>
      <c r="W150" s="3581"/>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503">
        <v>146</v>
      </c>
    </row>
    <row r="151" spans="1:528" ht="14.25" customHeight="1">
      <c r="C151" s="3583"/>
      <c r="D151" s="3583"/>
      <c r="E151" s="81"/>
      <c r="F151" s="1"/>
      <c r="G151" s="62"/>
      <c r="H151" s="1333" t="s">
        <v>4185</v>
      </c>
      <c r="I151" s="33"/>
      <c r="J151" s="895"/>
      <c r="K151" s="1063">
        <f>LB58</f>
        <v>0</v>
      </c>
      <c r="L151" s="1064">
        <f>LC58</f>
        <v>0</v>
      </c>
      <c r="M151" s="1064">
        <f>LD58</f>
        <v>0</v>
      </c>
      <c r="N151" s="1064">
        <f>LE58</f>
        <v>0</v>
      </c>
      <c r="O151" s="1065">
        <f>LF58</f>
        <v>0</v>
      </c>
      <c r="P151" s="729">
        <f t="shared" ref="P151:P166" si="679">SUM(K151:O151)</f>
        <v>0</v>
      </c>
      <c r="S151" s="3575"/>
      <c r="T151" s="3576"/>
      <c r="U151" s="3576"/>
      <c r="V151" s="3576"/>
      <c r="W151" s="3577"/>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503">
        <v>147</v>
      </c>
    </row>
    <row r="152" spans="1:528" ht="14.25" customHeight="1">
      <c r="C152" s="3583"/>
      <c r="D152" s="3583"/>
      <c r="E152" s="81"/>
      <c r="F152" s="1"/>
      <c r="G152" s="62"/>
      <c r="H152" s="1370" t="s">
        <v>2926</v>
      </c>
      <c r="I152" s="73"/>
      <c r="J152" s="895"/>
      <c r="K152" s="1593">
        <f>LL58</f>
        <v>0</v>
      </c>
      <c r="L152" s="1594">
        <f>LM58</f>
        <v>6</v>
      </c>
      <c r="M152" s="1594">
        <f>LN58</f>
        <v>6</v>
      </c>
      <c r="N152" s="1594">
        <f>LO58</f>
        <v>0</v>
      </c>
      <c r="O152" s="1595">
        <f>LP58</f>
        <v>0</v>
      </c>
      <c r="P152" s="1605">
        <f t="shared" si="679"/>
        <v>12</v>
      </c>
      <c r="S152" s="3575"/>
      <c r="T152" s="3576"/>
      <c r="U152" s="3576"/>
      <c r="V152" s="3576"/>
      <c r="W152" s="3577"/>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503">
        <v>148</v>
      </c>
    </row>
    <row r="153" spans="1:528" ht="14.25" customHeight="1">
      <c r="C153" s="3583"/>
      <c r="D153" s="3583"/>
      <c r="E153" s="81"/>
      <c r="F153" s="1"/>
      <c r="G153" s="62"/>
      <c r="H153" s="1333" t="s">
        <v>4372</v>
      </c>
      <c r="I153" s="33"/>
      <c r="J153" s="895"/>
      <c r="K153" s="1063">
        <f>LG58</f>
        <v>0</v>
      </c>
      <c r="L153" s="1064">
        <f>LH58</f>
        <v>19</v>
      </c>
      <c r="M153" s="1064">
        <f>LI58</f>
        <v>85</v>
      </c>
      <c r="N153" s="1064">
        <f>LJ58</f>
        <v>0</v>
      </c>
      <c r="O153" s="1065">
        <f>LK58</f>
        <v>0</v>
      </c>
      <c r="P153" s="729">
        <f t="shared" si="679"/>
        <v>104</v>
      </c>
      <c r="S153" s="3575"/>
      <c r="T153" s="3576"/>
      <c r="U153" s="3576"/>
      <c r="V153" s="3576"/>
      <c r="W153" s="3577"/>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505">
        <v>149</v>
      </c>
    </row>
    <row r="154" spans="1:528" ht="14.25" customHeight="1">
      <c r="C154" s="3583"/>
      <c r="D154" s="3583"/>
      <c r="E154" s="81"/>
      <c r="F154" s="1"/>
      <c r="G154" s="62"/>
      <c r="H154" s="1370" t="s">
        <v>2926</v>
      </c>
      <c r="I154" s="73"/>
      <c r="J154" s="895"/>
      <c r="K154" s="1593">
        <f>LQ58</f>
        <v>0</v>
      </c>
      <c r="L154" s="1594">
        <f>LR58</f>
        <v>0</v>
      </c>
      <c r="M154" s="1594">
        <f>LS58</f>
        <v>0</v>
      </c>
      <c r="N154" s="1594">
        <f>LT58</f>
        <v>0</v>
      </c>
      <c r="O154" s="1595">
        <f>LU58</f>
        <v>0</v>
      </c>
      <c r="P154" s="1605">
        <f t="shared" si="679"/>
        <v>0</v>
      </c>
      <c r="S154" s="3575"/>
      <c r="T154" s="3576"/>
      <c r="U154" s="3576"/>
      <c r="V154" s="3576"/>
      <c r="W154" s="3577"/>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503">
        <v>150</v>
      </c>
    </row>
    <row r="155" spans="1:528" ht="14.25" customHeight="1">
      <c r="C155" s="3583"/>
      <c r="D155" s="3583"/>
      <c r="E155" s="81"/>
      <c r="F155" s="1"/>
      <c r="G155" s="62"/>
      <c r="H155" s="1333" t="s">
        <v>4187</v>
      </c>
      <c r="I155" s="33"/>
      <c r="J155" s="62"/>
      <c r="K155" s="1087">
        <f>LV58</f>
        <v>0</v>
      </c>
      <c r="L155" s="1088">
        <f>LW58</f>
        <v>0</v>
      </c>
      <c r="M155" s="1088">
        <f>LX58</f>
        <v>0</v>
      </c>
      <c r="N155" s="1088">
        <f>LY58</f>
        <v>0</v>
      </c>
      <c r="O155" s="1089">
        <f>LZ58</f>
        <v>0</v>
      </c>
      <c r="P155" s="468">
        <f t="shared" si="679"/>
        <v>0</v>
      </c>
      <c r="S155" s="3575"/>
      <c r="T155" s="3576"/>
      <c r="U155" s="3576"/>
      <c r="V155" s="3576"/>
      <c r="W155" s="3577"/>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2502">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583"/>
      <c r="D156" s="3583"/>
      <c r="E156" s="81"/>
      <c r="F156" s="1"/>
      <c r="G156" s="62"/>
      <c r="H156" s="1370" t="s">
        <v>2926</v>
      </c>
      <c r="I156" s="73"/>
      <c r="J156" s="62"/>
      <c r="K156" s="1601">
        <f>MF58</f>
        <v>0</v>
      </c>
      <c r="L156" s="1602">
        <f>MG58</f>
        <v>0</v>
      </c>
      <c r="M156" s="1602">
        <f>MH58</f>
        <v>0</v>
      </c>
      <c r="N156" s="1602">
        <f>MI58</f>
        <v>0</v>
      </c>
      <c r="O156" s="1603">
        <f>MJ58</f>
        <v>0</v>
      </c>
      <c r="P156" s="1604">
        <f t="shared" si="679"/>
        <v>0</v>
      </c>
      <c r="S156" s="3575"/>
      <c r="T156" s="3576"/>
      <c r="U156" s="3576"/>
      <c r="V156" s="3576"/>
      <c r="W156" s="3577"/>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503">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583"/>
      <c r="D157" s="3583"/>
      <c r="E157" s="81"/>
      <c r="F157" s="1"/>
      <c r="G157" s="62"/>
      <c r="H157" s="1333" t="s">
        <v>4379</v>
      </c>
      <c r="I157" s="33"/>
      <c r="J157" s="62"/>
      <c r="K157" s="1087">
        <f>MA58</f>
        <v>0</v>
      </c>
      <c r="L157" s="1088">
        <f>MB58</f>
        <v>0</v>
      </c>
      <c r="M157" s="1088">
        <f>MC58</f>
        <v>0</v>
      </c>
      <c r="N157" s="1088">
        <f>MD58</f>
        <v>0</v>
      </c>
      <c r="O157" s="1089">
        <f>ME58</f>
        <v>0</v>
      </c>
      <c r="P157" s="468">
        <f t="shared" si="679"/>
        <v>0</v>
      </c>
      <c r="S157" s="3575"/>
      <c r="T157" s="3576"/>
      <c r="U157" s="3576"/>
      <c r="V157" s="3576"/>
      <c r="W157" s="3577"/>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503">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583"/>
      <c r="D158" s="3583"/>
      <c r="E158" s="81"/>
      <c r="F158" s="1"/>
      <c r="G158" s="62"/>
      <c r="H158" s="1370" t="s">
        <v>2926</v>
      </c>
      <c r="I158" s="73"/>
      <c r="J158" s="62"/>
      <c r="K158" s="1601">
        <f>MK58</f>
        <v>0</v>
      </c>
      <c r="L158" s="1602">
        <f>ML58</f>
        <v>0</v>
      </c>
      <c r="M158" s="1602">
        <f>MM58</f>
        <v>0</v>
      </c>
      <c r="N158" s="1602">
        <f>MN58</f>
        <v>0</v>
      </c>
      <c r="O158" s="1603">
        <f>MO58</f>
        <v>0</v>
      </c>
      <c r="P158" s="1604">
        <f t="shared" si="679"/>
        <v>0</v>
      </c>
      <c r="S158" s="3575"/>
      <c r="T158" s="3576"/>
      <c r="U158" s="3576"/>
      <c r="V158" s="3576"/>
      <c r="W158" s="3577"/>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2502">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2390"/>
      <c r="D159" s="2390"/>
      <c r="E159" s="81" t="s">
        <v>4374</v>
      </c>
      <c r="F159" s="1"/>
      <c r="G159" s="62"/>
      <c r="H159" s="1333"/>
      <c r="I159" s="33"/>
      <c r="J159" s="62"/>
      <c r="K159" s="1060">
        <f>JN58</f>
        <v>0</v>
      </c>
      <c r="L159" s="1061">
        <f>JO58</f>
        <v>0</v>
      </c>
      <c r="M159" s="1061">
        <f>JP58</f>
        <v>0</v>
      </c>
      <c r="N159" s="1061">
        <f>JQ58</f>
        <v>0</v>
      </c>
      <c r="O159" s="1062">
        <f>JR58</f>
        <v>0</v>
      </c>
      <c r="P159" s="1589">
        <f t="shared" si="679"/>
        <v>0</v>
      </c>
      <c r="S159" s="3575"/>
      <c r="T159" s="3576"/>
      <c r="U159" s="3576"/>
      <c r="V159" s="3576"/>
      <c r="W159" s="3577"/>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503">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2390"/>
      <c r="D160" s="2390"/>
      <c r="E160" s="81"/>
      <c r="F160" s="1"/>
      <c r="G160" s="62"/>
      <c r="H160" s="1370" t="s">
        <v>2926</v>
      </c>
      <c r="I160" s="73"/>
      <c r="J160" s="62"/>
      <c r="K160" s="1593">
        <f>JS58</f>
        <v>0</v>
      </c>
      <c r="L160" s="1594">
        <f>JT58</f>
        <v>0</v>
      </c>
      <c r="M160" s="1594">
        <f>JU58</f>
        <v>0</v>
      </c>
      <c r="N160" s="1594">
        <f>JV58</f>
        <v>0</v>
      </c>
      <c r="O160" s="1595">
        <f>JW58</f>
        <v>0</v>
      </c>
      <c r="P160" s="1596">
        <f t="shared" si="679"/>
        <v>0</v>
      </c>
      <c r="S160" s="3575"/>
      <c r="T160" s="3576"/>
      <c r="U160" s="3576"/>
      <c r="V160" s="3576"/>
      <c r="W160" s="3577"/>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503">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2390"/>
      <c r="D161" s="2390"/>
      <c r="E161" s="81" t="s">
        <v>4375</v>
      </c>
      <c r="F161" s="1"/>
      <c r="G161" s="62"/>
      <c r="H161" s="1333"/>
      <c r="I161" s="33"/>
      <c r="J161" s="62"/>
      <c r="K161" s="1087">
        <f>KR58</f>
        <v>0</v>
      </c>
      <c r="L161" s="1088">
        <f>KS58</f>
        <v>0</v>
      </c>
      <c r="M161" s="1088">
        <f>KT58</f>
        <v>0</v>
      </c>
      <c r="N161" s="1088">
        <f>KU58</f>
        <v>0</v>
      </c>
      <c r="O161" s="1089">
        <f>KV58</f>
        <v>0</v>
      </c>
      <c r="P161" s="1590">
        <f t="shared" si="679"/>
        <v>0</v>
      </c>
      <c r="S161" s="3575"/>
      <c r="T161" s="3576"/>
      <c r="U161" s="3576"/>
      <c r="V161" s="3576"/>
      <c r="W161" s="3577"/>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503">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2390"/>
      <c r="D162" s="2390"/>
      <c r="E162" s="81"/>
      <c r="F162" s="1"/>
      <c r="G162" s="62"/>
      <c r="H162" s="1370" t="s">
        <v>2926</v>
      </c>
      <c r="I162" s="73"/>
      <c r="J162" s="62"/>
      <c r="K162" s="1593">
        <f>KW58</f>
        <v>0</v>
      </c>
      <c r="L162" s="1594">
        <f>KX58</f>
        <v>0</v>
      </c>
      <c r="M162" s="1594">
        <f>KY58</f>
        <v>0</v>
      </c>
      <c r="N162" s="1594">
        <f>KZ58</f>
        <v>0</v>
      </c>
      <c r="O162" s="1595">
        <f>LA58</f>
        <v>0</v>
      </c>
      <c r="P162" s="1596">
        <f t="shared" si="679"/>
        <v>0</v>
      </c>
      <c r="S162" s="3575"/>
      <c r="T162" s="3576"/>
      <c r="U162" s="3576"/>
      <c r="V162" s="3576"/>
      <c r="W162" s="3577"/>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503">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2390"/>
      <c r="D163" s="2390"/>
      <c r="E163" s="81" t="s">
        <v>4181</v>
      </c>
      <c r="F163" s="1"/>
      <c r="G163" s="62"/>
      <c r="H163" s="1333"/>
      <c r="I163" s="33"/>
      <c r="J163" s="62"/>
      <c r="K163" s="1087">
        <f>KH58</f>
        <v>0</v>
      </c>
      <c r="L163" s="1088">
        <f>KI58</f>
        <v>0</v>
      </c>
      <c r="M163" s="1088">
        <f>KJ58</f>
        <v>0</v>
      </c>
      <c r="N163" s="1088">
        <f>KK58</f>
        <v>0</v>
      </c>
      <c r="O163" s="1089">
        <f>KL58</f>
        <v>0</v>
      </c>
      <c r="P163" s="1590">
        <f t="shared" si="679"/>
        <v>0</v>
      </c>
      <c r="S163" s="3575"/>
      <c r="T163" s="3576"/>
      <c r="U163" s="3576"/>
      <c r="V163" s="3576"/>
      <c r="W163" s="3577"/>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503">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2390"/>
      <c r="D164" s="2390"/>
      <c r="E164" s="81"/>
      <c r="F164" s="1"/>
      <c r="G164" s="62"/>
      <c r="H164" s="1370" t="s">
        <v>2926</v>
      </c>
      <c r="I164" s="73"/>
      <c r="J164" s="62"/>
      <c r="K164" s="1601">
        <f>KM58</f>
        <v>0</v>
      </c>
      <c r="L164" s="1602">
        <f>KN58</f>
        <v>0</v>
      </c>
      <c r="M164" s="1602">
        <f>KO58</f>
        <v>0</v>
      </c>
      <c r="N164" s="1602">
        <f>KP58</f>
        <v>0</v>
      </c>
      <c r="O164" s="1603">
        <f>KQ58</f>
        <v>0</v>
      </c>
      <c r="P164" s="1596">
        <f t="shared" si="679"/>
        <v>0</v>
      </c>
      <c r="S164" s="3575"/>
      <c r="T164" s="3576"/>
      <c r="U164" s="3576"/>
      <c r="V164" s="3576"/>
      <c r="W164" s="3577"/>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2502">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2390"/>
      <c r="D165" s="2390"/>
      <c r="E165" s="68" t="s">
        <v>524</v>
      </c>
      <c r="F165" s="1"/>
      <c r="G165" s="62"/>
      <c r="H165" s="1333"/>
      <c r="I165" s="33"/>
      <c r="J165" s="62"/>
      <c r="K165" s="1087">
        <f>JX58</f>
        <v>0</v>
      </c>
      <c r="L165" s="1088">
        <f>JY58</f>
        <v>0</v>
      </c>
      <c r="M165" s="1088">
        <f>JZ58</f>
        <v>0</v>
      </c>
      <c r="N165" s="1088">
        <f>KA58</f>
        <v>0</v>
      </c>
      <c r="O165" s="1089">
        <f>KB58</f>
        <v>0</v>
      </c>
      <c r="P165" s="1590">
        <f t="shared" si="679"/>
        <v>0</v>
      </c>
      <c r="S165" s="3575"/>
      <c r="T165" s="3576"/>
      <c r="U165" s="3576"/>
      <c r="V165" s="3576"/>
      <c r="W165" s="3577"/>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503">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2926</v>
      </c>
      <c r="I166" s="73"/>
      <c r="J166" s="62"/>
      <c r="K166" s="1597">
        <f>KC58</f>
        <v>0</v>
      </c>
      <c r="L166" s="1598">
        <f>KD58</f>
        <v>0</v>
      </c>
      <c r="M166" s="1598">
        <f>KE58</f>
        <v>0</v>
      </c>
      <c r="N166" s="1598">
        <f>KF58</f>
        <v>0</v>
      </c>
      <c r="O166" s="1599">
        <f>KG58</f>
        <v>0</v>
      </c>
      <c r="P166" s="1600">
        <f t="shared" si="679"/>
        <v>0</v>
      </c>
      <c r="S166" s="3572"/>
      <c r="T166" s="3573"/>
      <c r="U166" s="3573"/>
      <c r="V166" s="3573"/>
      <c r="W166" s="3574"/>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503">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36"/>
      <c r="T167" s="3236"/>
      <c r="U167" s="3236"/>
      <c r="V167" s="3236"/>
      <c r="AY167" s="358"/>
      <c r="BD167" s="358"/>
      <c r="MX167" s="360"/>
      <c r="NM167" s="356"/>
      <c r="NN167" s="356"/>
      <c r="OZ167" s="2503">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503">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582" t="s">
        <v>4386</v>
      </c>
      <c r="D169" s="3582"/>
      <c r="E169" s="891" t="s">
        <v>2921</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579"/>
      <c r="T169" s="3580"/>
      <c r="U169" s="3580"/>
      <c r="V169" s="3580"/>
      <c r="W169" s="3581"/>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503">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583"/>
      <c r="D170" s="3583"/>
      <c r="E170" s="81"/>
      <c r="F170" s="147"/>
      <c r="G170" s="62"/>
      <c r="H170" s="1370" t="s">
        <v>2926</v>
      </c>
      <c r="I170" s="73"/>
      <c r="J170" s="895"/>
      <c r="K170" s="1593">
        <f t="shared" si="680"/>
        <v>0</v>
      </c>
      <c r="L170" s="1594">
        <f t="shared" si="680"/>
        <v>0</v>
      </c>
      <c r="M170" s="1594">
        <f t="shared" si="680"/>
        <v>0</v>
      </c>
      <c r="N170" s="1594">
        <f t="shared" si="680"/>
        <v>0</v>
      </c>
      <c r="O170" s="1595">
        <f t="shared" si="680"/>
        <v>0</v>
      </c>
      <c r="P170" s="1596">
        <f t="shared" si="681"/>
        <v>0</v>
      </c>
      <c r="S170" s="3575"/>
      <c r="T170" s="3576"/>
      <c r="U170" s="3576"/>
      <c r="V170" s="3576"/>
      <c r="W170" s="3577"/>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505">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583"/>
      <c r="D171" s="3583"/>
      <c r="E171" s="81" t="s">
        <v>2922</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575"/>
      <c r="T171" s="3576"/>
      <c r="U171" s="3576"/>
      <c r="V171" s="3576"/>
      <c r="W171" s="3577"/>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503">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583"/>
      <c r="D172" s="3583"/>
      <c r="E172" s="81"/>
      <c r="F172" s="147"/>
      <c r="G172" s="62"/>
      <c r="H172" s="1370" t="s">
        <v>2926</v>
      </c>
      <c r="I172" s="73"/>
      <c r="J172" s="895"/>
      <c r="K172" s="1593">
        <f t="shared" si="682"/>
        <v>0</v>
      </c>
      <c r="L172" s="1594">
        <f t="shared" si="682"/>
        <v>0</v>
      </c>
      <c r="M172" s="1594">
        <f t="shared" si="682"/>
        <v>0</v>
      </c>
      <c r="N172" s="1594">
        <f t="shared" si="682"/>
        <v>0</v>
      </c>
      <c r="O172" s="1595">
        <f t="shared" si="682"/>
        <v>0</v>
      </c>
      <c r="P172" s="1596">
        <f t="shared" si="681"/>
        <v>0</v>
      </c>
      <c r="S172" s="3575"/>
      <c r="T172" s="3576"/>
      <c r="U172" s="3576"/>
      <c r="V172" s="3576"/>
      <c r="W172" s="3577"/>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2502">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583"/>
      <c r="D173" s="3583"/>
      <c r="E173" s="81" t="s">
        <v>2923</v>
      </c>
      <c r="F173" s="147"/>
      <c r="G173" s="62"/>
      <c r="H173" s="1333"/>
      <c r="I173" s="33"/>
      <c r="J173" s="895"/>
      <c r="K173" s="1096">
        <f t="shared" ref="K173:O176" si="683">K151+K155</f>
        <v>0</v>
      </c>
      <c r="L173" s="1097">
        <f t="shared" si="683"/>
        <v>0</v>
      </c>
      <c r="M173" s="1097">
        <f t="shared" si="683"/>
        <v>0</v>
      </c>
      <c r="N173" s="1097">
        <f t="shared" si="683"/>
        <v>0</v>
      </c>
      <c r="O173" s="1098">
        <f t="shared" si="683"/>
        <v>0</v>
      </c>
      <c r="P173" s="1590">
        <f t="shared" si="681"/>
        <v>0</v>
      </c>
      <c r="S173" s="3575"/>
      <c r="T173" s="3576"/>
      <c r="U173" s="3576"/>
      <c r="V173" s="3576"/>
      <c r="W173" s="3577"/>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503">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583"/>
      <c r="D174" s="3583"/>
      <c r="E174" s="81"/>
      <c r="F174" s="147"/>
      <c r="G174" s="62"/>
      <c r="H174" s="1370" t="s">
        <v>2926</v>
      </c>
      <c r="I174" s="73"/>
      <c r="J174" s="895"/>
      <c r="K174" s="1593">
        <f t="shared" si="683"/>
        <v>0</v>
      </c>
      <c r="L174" s="1594">
        <f t="shared" si="683"/>
        <v>6</v>
      </c>
      <c r="M174" s="1594">
        <f t="shared" si="683"/>
        <v>6</v>
      </c>
      <c r="N174" s="1594">
        <f t="shared" si="683"/>
        <v>0</v>
      </c>
      <c r="O174" s="1595">
        <f t="shared" si="683"/>
        <v>0</v>
      </c>
      <c r="P174" s="1596">
        <f t="shared" si="681"/>
        <v>12</v>
      </c>
      <c r="S174" s="3575"/>
      <c r="T174" s="3576"/>
      <c r="U174" s="3576"/>
      <c r="V174" s="3576"/>
      <c r="W174" s="3577"/>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503">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583"/>
      <c r="D175" s="3583"/>
      <c r="E175" s="81" t="s">
        <v>2924</v>
      </c>
      <c r="F175" s="147"/>
      <c r="G175" s="62"/>
      <c r="H175" s="1333"/>
      <c r="I175" s="33"/>
      <c r="J175" s="895"/>
      <c r="K175" s="1096">
        <f t="shared" si="683"/>
        <v>0</v>
      </c>
      <c r="L175" s="1097">
        <f t="shared" si="683"/>
        <v>19</v>
      </c>
      <c r="M175" s="1097">
        <f t="shared" si="683"/>
        <v>85</v>
      </c>
      <c r="N175" s="1097">
        <f t="shared" si="683"/>
        <v>0</v>
      </c>
      <c r="O175" s="1098">
        <f t="shared" si="683"/>
        <v>0</v>
      </c>
      <c r="P175" s="1590">
        <f t="shared" si="681"/>
        <v>104</v>
      </c>
      <c r="S175" s="3575"/>
      <c r="T175" s="3576"/>
      <c r="U175" s="3576"/>
      <c r="V175" s="3576"/>
      <c r="W175" s="3577"/>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2502">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2926</v>
      </c>
      <c r="I176" s="73"/>
      <c r="J176" s="62"/>
      <c r="K176" s="1597">
        <f t="shared" si="683"/>
        <v>0</v>
      </c>
      <c r="L176" s="1598">
        <f t="shared" si="683"/>
        <v>0</v>
      </c>
      <c r="M176" s="1598">
        <f t="shared" si="683"/>
        <v>0</v>
      </c>
      <c r="N176" s="1598">
        <f t="shared" si="683"/>
        <v>0</v>
      </c>
      <c r="O176" s="1599">
        <f t="shared" si="683"/>
        <v>0</v>
      </c>
      <c r="P176" s="1600">
        <f t="shared" si="681"/>
        <v>0</v>
      </c>
      <c r="Q176" s="3668" t="s">
        <v>3767</v>
      </c>
      <c r="S176" s="3572"/>
      <c r="T176" s="3573"/>
      <c r="U176" s="3573"/>
      <c r="V176" s="3573"/>
      <c r="W176" s="3574"/>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503">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68"/>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503">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4388</v>
      </c>
      <c r="C178" s="1"/>
      <c r="D178" s="1"/>
      <c r="E178" s="1"/>
      <c r="F178" s="1"/>
      <c r="G178" s="62"/>
      <c r="H178" s="33"/>
      <c r="I178" s="33"/>
      <c r="J178" s="62"/>
      <c r="K178" s="470"/>
      <c r="L178" s="470"/>
      <c r="M178" s="470"/>
      <c r="N178" s="470"/>
      <c r="O178" s="470"/>
      <c r="P178" s="470"/>
      <c r="Q178" s="3668"/>
      <c r="S178" s="3199" t="str">
        <f>B178</f>
        <v>UNIT SQUARE FOOTAGE</v>
      </c>
      <c r="T178" s="3199"/>
      <c r="U178" s="3199"/>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503">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3556</v>
      </c>
      <c r="I179" s="44"/>
      <c r="J179" s="62"/>
      <c r="K179" s="1069">
        <f>FR58</f>
        <v>0</v>
      </c>
      <c r="L179" s="1070">
        <f>FS58</f>
        <v>0</v>
      </c>
      <c r="M179" s="1070">
        <f>FT58</f>
        <v>0</v>
      </c>
      <c r="N179" s="1070">
        <f>FU58</f>
        <v>0</v>
      </c>
      <c r="O179" s="1071">
        <f>FV58</f>
        <v>0</v>
      </c>
      <c r="P179" s="1023">
        <f t="shared" ref="P179:P185" si="684">SUM(K179:O179)</f>
        <v>0</v>
      </c>
      <c r="Q179" s="1219" t="str">
        <f t="shared" ref="Q179:Q185" si="685">IF(OR(P65=0,P65=""),"",P179/P65)</f>
        <v/>
      </c>
      <c r="S179" s="3579"/>
      <c r="T179" s="3580"/>
      <c r="U179" s="3580"/>
      <c r="V179" s="3580"/>
      <c r="W179" s="3581"/>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503">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3557</v>
      </c>
      <c r="I180" s="33"/>
      <c r="J180" s="62"/>
      <c r="K180" s="1099">
        <f>FW58</f>
        <v>0</v>
      </c>
      <c r="L180" s="1100">
        <f>FX58</f>
        <v>0</v>
      </c>
      <c r="M180" s="1100">
        <f>FY58</f>
        <v>0</v>
      </c>
      <c r="N180" s="1100">
        <f>FZ58</f>
        <v>0</v>
      </c>
      <c r="O180" s="1101">
        <f>GA58</f>
        <v>0</v>
      </c>
      <c r="P180" s="1024">
        <f t="shared" si="684"/>
        <v>0</v>
      </c>
      <c r="Q180" s="1219" t="str">
        <f t="shared" si="685"/>
        <v/>
      </c>
      <c r="S180" s="3575"/>
      <c r="T180" s="3576"/>
      <c r="U180" s="3576"/>
      <c r="V180" s="3576"/>
      <c r="W180" s="3577"/>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503">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11700</v>
      </c>
      <c r="M181" s="1100">
        <f>GD58</f>
        <v>66340</v>
      </c>
      <c r="N181" s="1100">
        <f>GE58</f>
        <v>0</v>
      </c>
      <c r="O181" s="1101">
        <f>GF58</f>
        <v>0</v>
      </c>
      <c r="P181" s="1024">
        <f t="shared" si="684"/>
        <v>78040</v>
      </c>
      <c r="Q181" s="1219">
        <f t="shared" si="685"/>
        <v>839.13978494623655</v>
      </c>
      <c r="S181" s="3575"/>
      <c r="T181" s="3576"/>
      <c r="U181" s="3576"/>
      <c r="V181" s="3576"/>
      <c r="W181" s="3577"/>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505">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1300</v>
      </c>
      <c r="M182" s="1158">
        <f>GI58</f>
        <v>4484</v>
      </c>
      <c r="N182" s="1158">
        <f>GJ58</f>
        <v>0</v>
      </c>
      <c r="O182" s="1159">
        <f>GK58</f>
        <v>0</v>
      </c>
      <c r="P182" s="1160">
        <f t="shared" si="684"/>
        <v>5784</v>
      </c>
      <c r="Q182" s="1219">
        <f t="shared" si="685"/>
        <v>826.28571428571433</v>
      </c>
      <c r="S182" s="3575"/>
      <c r="T182" s="3576"/>
      <c r="U182" s="3576"/>
      <c r="V182" s="3576"/>
      <c r="W182" s="3577"/>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503">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3558</v>
      </c>
      <c r="I183" s="33"/>
      <c r="J183" s="895"/>
      <c r="K183" s="1099">
        <f>GL58</f>
        <v>0</v>
      </c>
      <c r="L183" s="1100">
        <f>GM58</f>
        <v>0</v>
      </c>
      <c r="M183" s="1100">
        <f>GN58</f>
        <v>0</v>
      </c>
      <c r="N183" s="1100">
        <f>GO58</f>
        <v>0</v>
      </c>
      <c r="O183" s="1101">
        <f>GP58</f>
        <v>0</v>
      </c>
      <c r="P183" s="1024">
        <f t="shared" si="684"/>
        <v>0</v>
      </c>
      <c r="Q183" s="1219" t="str">
        <f t="shared" si="685"/>
        <v/>
      </c>
      <c r="S183" s="3575"/>
      <c r="T183" s="3576"/>
      <c r="U183" s="3576"/>
      <c r="V183" s="3576"/>
      <c r="W183" s="3577"/>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2502">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3559</v>
      </c>
      <c r="I184" s="33"/>
      <c r="J184" s="62"/>
      <c r="K184" s="1099">
        <f>GQ58</f>
        <v>0</v>
      </c>
      <c r="L184" s="1100">
        <f>GR58</f>
        <v>2600</v>
      </c>
      <c r="M184" s="1100">
        <f>GS58</f>
        <v>3624</v>
      </c>
      <c r="N184" s="1100">
        <f>GT58</f>
        <v>0</v>
      </c>
      <c r="O184" s="1101">
        <f>GU58</f>
        <v>0</v>
      </c>
      <c r="P184" s="1024">
        <f t="shared" si="684"/>
        <v>6224</v>
      </c>
      <c r="Q184" s="1219">
        <f t="shared" si="685"/>
        <v>778</v>
      </c>
      <c r="S184" s="3575"/>
      <c r="T184" s="3576"/>
      <c r="U184" s="3576"/>
      <c r="V184" s="3576"/>
      <c r="W184" s="3577"/>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503">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3560</v>
      </c>
      <c r="I185" s="44"/>
      <c r="J185" s="62"/>
      <c r="K185" s="1075">
        <f>GV58</f>
        <v>0</v>
      </c>
      <c r="L185" s="1076">
        <f>GW58</f>
        <v>0</v>
      </c>
      <c r="M185" s="1076">
        <f>GX58</f>
        <v>0</v>
      </c>
      <c r="N185" s="1076">
        <f>GY58</f>
        <v>0</v>
      </c>
      <c r="O185" s="1077">
        <f>GZ58</f>
        <v>0</v>
      </c>
      <c r="P185" s="1025">
        <f t="shared" si="684"/>
        <v>0</v>
      </c>
      <c r="Q185" s="1219" t="str">
        <f t="shared" si="685"/>
        <v/>
      </c>
      <c r="S185" s="3575"/>
      <c r="T185" s="3576"/>
      <c r="U185" s="3576"/>
      <c r="V185" s="3576"/>
      <c r="W185" s="3577"/>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503">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3641</v>
      </c>
      <c r="I186" s="73"/>
      <c r="J186" s="1034"/>
      <c r="K186" s="1592">
        <f>SUM(K179:K185)</f>
        <v>0</v>
      </c>
      <c r="L186" s="1592">
        <f>SUM(L179:L185)</f>
        <v>15600</v>
      </c>
      <c r="M186" s="1592">
        <f>SUM(M179:M185)</f>
        <v>74448</v>
      </c>
      <c r="N186" s="1592">
        <f>SUM(N179:N185)</f>
        <v>0</v>
      </c>
      <c r="O186" s="1592">
        <f>SUM(O179:O185)</f>
        <v>0</v>
      </c>
      <c r="P186" s="1592">
        <f>SUM(K186:O186)</f>
        <v>90048</v>
      </c>
      <c r="S186" s="3575"/>
      <c r="T186" s="3576"/>
      <c r="U186" s="3576"/>
      <c r="V186" s="3576"/>
      <c r="W186" s="3577"/>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2502">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650</v>
      </c>
      <c r="M187" s="1103">
        <f>HC58</f>
        <v>5436</v>
      </c>
      <c r="N187" s="1103">
        <f>HD58</f>
        <v>0</v>
      </c>
      <c r="O187" s="1104">
        <f>HE58</f>
        <v>0</v>
      </c>
      <c r="P187" s="1031">
        <f>SUM(K187:O187)</f>
        <v>6086</v>
      </c>
      <c r="Q187" s="1168">
        <f>IF(OR(P73=0,P73=""),"",P187/P73)</f>
        <v>869.42857142857144</v>
      </c>
      <c r="S187" s="3575"/>
      <c r="T187" s="3576"/>
      <c r="U187" s="3576"/>
      <c r="V187" s="3576"/>
      <c r="W187" s="3577"/>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503">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16250</v>
      </c>
      <c r="M188" s="1591">
        <f>SUM(M186:M187)</f>
        <v>79884</v>
      </c>
      <c r="N188" s="1591">
        <f>SUM(N186:N187)</f>
        <v>0</v>
      </c>
      <c r="O188" s="1591">
        <f>SUM(O186:O187)</f>
        <v>0</v>
      </c>
      <c r="P188" s="1591">
        <f>SUM(K188:O188)</f>
        <v>96134</v>
      </c>
      <c r="S188" s="3575"/>
      <c r="T188" s="3576"/>
      <c r="U188" s="3576"/>
      <c r="V188" s="3576"/>
      <c r="W188" s="3577"/>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503">
        <v>184</v>
      </c>
    </row>
    <row r="189" spans="1:528" ht="14.25" customHeight="1">
      <c r="C189" s="1" t="s">
        <v>2303</v>
      </c>
      <c r="D189" s="1"/>
      <c r="E189" s="1"/>
      <c r="F189" s="1"/>
      <c r="G189" s="1"/>
      <c r="H189" s="62"/>
      <c r="I189" s="62"/>
      <c r="J189" s="62"/>
      <c r="K189" s="1102">
        <f>HK58</f>
        <v>0</v>
      </c>
      <c r="L189" s="1103">
        <f>HL58</f>
        <v>0</v>
      </c>
      <c r="M189" s="1103">
        <f>HM58</f>
        <v>952</v>
      </c>
      <c r="N189" s="1103">
        <f>HN58</f>
        <v>0</v>
      </c>
      <c r="O189" s="1104">
        <f>HO58</f>
        <v>0</v>
      </c>
      <c r="P189" s="1031">
        <f>SUM(K189:O189)</f>
        <v>952</v>
      </c>
      <c r="Q189" s="1168">
        <f>IF(OR(P75=0,P75=""),"",P189/P75)</f>
        <v>952</v>
      </c>
      <c r="S189" s="3575"/>
      <c r="T189" s="3576"/>
      <c r="U189" s="3576"/>
      <c r="V189" s="3576"/>
      <c r="W189" s="3577"/>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503">
        <v>185</v>
      </c>
    </row>
    <row r="190" spans="1:528" ht="14.25" customHeight="1">
      <c r="C190" s="4" t="s">
        <v>953</v>
      </c>
      <c r="D190" s="1"/>
      <c r="E190" s="1"/>
      <c r="F190" s="1"/>
      <c r="G190" s="1"/>
      <c r="H190" s="62"/>
      <c r="I190" s="62"/>
      <c r="J190" s="62"/>
      <c r="K190" s="1030">
        <f>SUM(K188:K189)</f>
        <v>0</v>
      </c>
      <c r="L190" s="1030">
        <f>SUM(L188:L189)</f>
        <v>16250</v>
      </c>
      <c r="M190" s="1030">
        <f>SUM(M188:M189)</f>
        <v>80836</v>
      </c>
      <c r="N190" s="1030">
        <f>SUM(N188:N189)</f>
        <v>0</v>
      </c>
      <c r="O190" s="1030">
        <f>SUM(O188:O189)</f>
        <v>0</v>
      </c>
      <c r="P190" s="1030">
        <f>SUM(K190:O190)</f>
        <v>97086</v>
      </c>
      <c r="S190" s="3572"/>
      <c r="T190" s="3573"/>
      <c r="U190" s="3573"/>
      <c r="V190" s="3573"/>
      <c r="W190" s="3574"/>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2502">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2498"/>
      <c r="OZ191" s="2503">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3764</v>
      </c>
      <c r="E192" s="1"/>
      <c r="F192" s="1"/>
      <c r="G192" s="1"/>
      <c r="H192" s="1"/>
      <c r="I192" s="1"/>
      <c r="J192" s="1"/>
      <c r="K192" s="1218" t="str">
        <f>IF(OR(K76="",K76=0),"",K190/K76)</f>
        <v/>
      </c>
      <c r="L192" s="1218">
        <f>IF(OR(L76="",L76=0),"",L190/L76)</f>
        <v>650</v>
      </c>
      <c r="M192" s="1218">
        <f>IF(OR(M76="",M76=0),"",M190/M76)</f>
        <v>888.30769230769226</v>
      </c>
      <c r="N192" s="1218" t="str">
        <f>IF(OR(N76="",N76=0),"",N190/N76)</f>
        <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2498"/>
      <c r="OZ192" s="2503">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2498"/>
      <c r="OZ193" s="2503">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5" customHeight="1">
      <c r="A194" s="10" t="s">
        <v>690</v>
      </c>
      <c r="B194" s="10" t="s">
        <v>4536</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2498"/>
      <c r="OZ194" s="2503">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5101</v>
      </c>
      <c r="I195" s="72" t="s">
        <v>5090</v>
      </c>
      <c r="K195" s="3267"/>
      <c r="L195" s="3268"/>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506"/>
      <c r="OZ195" s="2503">
        <v>191</v>
      </c>
    </row>
    <row r="196" spans="1:528" s="144" customFormat="1" ht="13.5" customHeight="1">
      <c r="A196" s="374"/>
      <c r="C196" s="10"/>
      <c r="I196" s="72" t="s">
        <v>5091</v>
      </c>
      <c r="K196" s="3602">
        <v>30977</v>
      </c>
      <c r="L196" s="3603"/>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506"/>
      <c r="OZ196" s="2505">
        <v>192</v>
      </c>
    </row>
    <row r="197" spans="1:528" s="144" customFormat="1" ht="13.4" customHeight="1">
      <c r="A197" s="374"/>
      <c r="C197" s="10" t="s">
        <v>242</v>
      </c>
      <c r="K197" s="3600">
        <f>P190+K195+K196</f>
        <v>128063</v>
      </c>
      <c r="L197" s="3601"/>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506"/>
      <c r="OZ197" s="2503">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2498"/>
      <c r="OZ198" s="2502">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5" customHeight="1">
      <c r="A199" s="10" t="s">
        <v>1661</v>
      </c>
      <c r="B199" s="10" t="s">
        <v>217</v>
      </c>
      <c r="Q199" s="6"/>
      <c r="R199" s="6"/>
      <c r="S199" s="10" t="s">
        <v>1706</v>
      </c>
      <c r="U199" s="69"/>
      <c r="LF199" s="356"/>
      <c r="LK199" s="356"/>
      <c r="LP199" s="356"/>
      <c r="LU199" s="356"/>
      <c r="MQ199" s="1640"/>
      <c r="MW199" s="356"/>
      <c r="MX199" s="360"/>
      <c r="NM199" s="356"/>
      <c r="NO199" s="360"/>
      <c r="OZ199" s="2503">
        <v>195</v>
      </c>
    </row>
    <row r="200" spans="1:528" ht="2.25" customHeight="1">
      <c r="Q200" s="69"/>
      <c r="R200" s="69"/>
      <c r="OZ200" s="2503">
        <v>196</v>
      </c>
    </row>
    <row r="201" spans="1:528" s="69" customFormat="1" ht="15.65" customHeight="1">
      <c r="A201" s="1"/>
      <c r="B201" s="141" t="s">
        <v>951</v>
      </c>
      <c r="C201" s="81"/>
      <c r="D201" s="81"/>
      <c r="E201" s="81"/>
      <c r="F201" s="81"/>
      <c r="G201" s="81"/>
      <c r="H201" s="3667">
        <f>'Part VI-Pro Forma'!B10*M59</f>
        <v>32413.920000000002</v>
      </c>
      <c r="I201" s="3667"/>
      <c r="J201" s="1333" t="s">
        <v>4636</v>
      </c>
      <c r="M201" s="81"/>
      <c r="N201" s="81"/>
      <c r="O201" s="81"/>
      <c r="P201" s="1374">
        <f>IF(M59=0,0,H201/M59)</f>
        <v>0.02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2500"/>
      <c r="OZ201" s="2502">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5" customHeight="1">
      <c r="B202" s="399"/>
      <c r="C202" s="68"/>
      <c r="D202" s="81"/>
      <c r="E202" s="68"/>
      <c r="F202" s="68"/>
      <c r="G202" s="68"/>
      <c r="H202" s="68"/>
      <c r="J202" s="85"/>
      <c r="K202" s="68"/>
      <c r="L202" s="68"/>
      <c r="M202" s="68"/>
      <c r="N202" s="68"/>
      <c r="O202" s="68"/>
      <c r="P202" s="68"/>
      <c r="Q202" s="308"/>
      <c r="R202" s="308"/>
      <c r="OY202" s="2500"/>
      <c r="OZ202" s="2503">
        <v>198</v>
      </c>
    </row>
    <row r="203" spans="1:528" ht="15.65"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2500"/>
      <c r="OZ203" s="2503">
        <v>199</v>
      </c>
    </row>
    <row r="204" spans="1:528" ht="15.65"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2500"/>
      <c r="OZ204" s="2503">
        <v>200</v>
      </c>
    </row>
    <row r="205" spans="1:528" ht="15.65" customHeight="1">
      <c r="B205" s="81" t="s">
        <v>952</v>
      </c>
      <c r="C205" s="81"/>
      <c r="D205" s="81"/>
      <c r="E205" s="81"/>
      <c r="F205" s="81"/>
      <c r="H205" s="689"/>
      <c r="I205" s="689"/>
      <c r="J205" s="689"/>
      <c r="K205" s="689"/>
      <c r="L205" s="689"/>
      <c r="M205" s="689"/>
      <c r="N205" s="689"/>
      <c r="O205" s="689"/>
      <c r="P205" s="689"/>
      <c r="Q205" s="689"/>
      <c r="R205" s="660"/>
      <c r="S205" s="3579"/>
      <c r="T205" s="3580"/>
      <c r="U205" s="3580"/>
      <c r="V205" s="3580"/>
      <c r="W205" s="3581"/>
      <c r="OZ205" s="2503">
        <v>201</v>
      </c>
    </row>
    <row r="206" spans="1:528" ht="15.65" customHeight="1">
      <c r="B206" s="81" t="s">
        <v>689</v>
      </c>
      <c r="C206" s="3604"/>
      <c r="D206" s="3605"/>
      <c r="E206" s="3605"/>
      <c r="F206" s="3606"/>
      <c r="H206" s="691"/>
      <c r="I206" s="691"/>
      <c r="J206" s="691"/>
      <c r="K206" s="691"/>
      <c r="L206" s="692"/>
      <c r="M206" s="691"/>
      <c r="N206" s="691"/>
      <c r="O206" s="691"/>
      <c r="P206" s="691"/>
      <c r="Q206" s="691"/>
      <c r="R206" s="660"/>
      <c r="S206" s="3575"/>
      <c r="T206" s="3576"/>
      <c r="U206" s="3576"/>
      <c r="V206" s="3576"/>
      <c r="W206" s="3577"/>
      <c r="OZ206" s="2503">
        <v>202</v>
      </c>
    </row>
    <row r="207" spans="1:528" ht="15.65"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572"/>
      <c r="T207" s="3573"/>
      <c r="U207" s="3573"/>
      <c r="V207" s="3573"/>
      <c r="W207" s="3574"/>
      <c r="OY207" s="2500"/>
      <c r="OZ207" s="2505">
        <v>203</v>
      </c>
    </row>
    <row r="208" spans="1:528" ht="15.65" customHeight="1">
      <c r="B208" s="694" t="s">
        <v>3103</v>
      </c>
      <c r="C208" s="68"/>
      <c r="D208" s="68"/>
      <c r="E208" s="68"/>
      <c r="F208" s="68"/>
      <c r="H208" s="695"/>
      <c r="I208" s="68"/>
      <c r="J208" s="68"/>
      <c r="K208" s="68"/>
      <c r="L208" s="68"/>
      <c r="M208" s="68"/>
      <c r="N208" s="68"/>
      <c r="O208" s="68"/>
      <c r="P208" s="68"/>
      <c r="Q208" s="68"/>
      <c r="R208" s="6"/>
      <c r="S208" s="72" t="str">
        <f>B208</f>
        <v>NOT Included in Mgt Fee:</v>
      </c>
      <c r="OZ208" s="2503">
        <v>204</v>
      </c>
    </row>
    <row r="209" spans="1:528" ht="15.65" customHeight="1">
      <c r="B209" s="81" t="s">
        <v>497</v>
      </c>
      <c r="C209" s="81"/>
      <c r="D209" s="81"/>
      <c r="E209" s="81"/>
      <c r="F209" s="81"/>
      <c r="H209" s="689"/>
      <c r="I209" s="689"/>
      <c r="J209" s="689"/>
      <c r="K209" s="689"/>
      <c r="L209" s="689"/>
      <c r="M209" s="689"/>
      <c r="N209" s="689"/>
      <c r="O209" s="689"/>
      <c r="P209" s="689"/>
      <c r="Q209" s="689"/>
      <c r="R209" s="660"/>
      <c r="S209" s="3579"/>
      <c r="T209" s="3580"/>
      <c r="U209" s="3580"/>
      <c r="V209" s="3580"/>
      <c r="W209" s="3581"/>
      <c r="OZ209" s="2502">
        <v>205</v>
      </c>
    </row>
    <row r="210" spans="1:528" ht="15.65" customHeight="1">
      <c r="B210" s="81" t="s">
        <v>689</v>
      </c>
      <c r="C210" s="3604"/>
      <c r="D210" s="3605"/>
      <c r="E210" s="3605"/>
      <c r="F210" s="3606"/>
      <c r="H210" s="691"/>
      <c r="I210" s="691"/>
      <c r="J210" s="691"/>
      <c r="K210" s="691"/>
      <c r="L210" s="692"/>
      <c r="M210" s="691"/>
      <c r="N210" s="691"/>
      <c r="O210" s="691"/>
      <c r="P210" s="691"/>
      <c r="Q210" s="691"/>
      <c r="R210" s="660"/>
      <c r="S210" s="3575"/>
      <c r="T210" s="3576"/>
      <c r="U210" s="3576"/>
      <c r="V210" s="3576"/>
      <c r="W210" s="3577"/>
      <c r="OZ210" s="2503">
        <v>206</v>
      </c>
    </row>
    <row r="211" spans="1:528" ht="15.65"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572"/>
      <c r="T211" s="3573"/>
      <c r="U211" s="3573"/>
      <c r="V211" s="3573"/>
      <c r="W211" s="3574"/>
      <c r="OZ211" s="2503">
        <v>207</v>
      </c>
    </row>
    <row r="212" spans="1:528" ht="15.65" customHeight="1">
      <c r="B212" s="399"/>
      <c r="C212" s="68"/>
      <c r="D212" s="68"/>
      <c r="E212" s="68"/>
      <c r="F212" s="68"/>
      <c r="H212" s="695"/>
      <c r="I212" s="68"/>
      <c r="J212" s="68"/>
      <c r="K212" s="68"/>
      <c r="L212" s="68"/>
      <c r="M212" s="68"/>
      <c r="N212" s="68"/>
      <c r="O212" s="68"/>
      <c r="P212" s="68"/>
      <c r="Q212" s="68"/>
      <c r="R212" s="6"/>
      <c r="OZ212" s="2502">
        <v>208</v>
      </c>
    </row>
    <row r="213" spans="1:528" ht="15.65"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503">
        <v>209</v>
      </c>
    </row>
    <row r="214" spans="1:528" ht="15.65" customHeight="1">
      <c r="A214" s="62"/>
      <c r="B214" s="81" t="s">
        <v>952</v>
      </c>
      <c r="C214" s="81"/>
      <c r="D214" s="81"/>
      <c r="E214" s="81"/>
      <c r="F214" s="81"/>
      <c r="H214" s="689"/>
      <c r="I214" s="689"/>
      <c r="J214" s="689"/>
      <c r="K214" s="689"/>
      <c r="L214" s="690"/>
      <c r="M214" s="689"/>
      <c r="N214" s="689"/>
      <c r="O214" s="689"/>
      <c r="P214" s="689"/>
      <c r="Q214" s="689"/>
      <c r="R214" s="660"/>
      <c r="S214" s="3579"/>
      <c r="T214" s="3580"/>
      <c r="U214" s="3580"/>
      <c r="V214" s="3580"/>
      <c r="W214" s="3581"/>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503">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5" customHeight="1">
      <c r="A215" s="62"/>
      <c r="B215" s="81" t="s">
        <v>689</v>
      </c>
      <c r="C215" s="3604"/>
      <c r="D215" s="3605"/>
      <c r="E215" s="3605"/>
      <c r="F215" s="3606"/>
      <c r="H215" s="691"/>
      <c r="I215" s="691"/>
      <c r="J215" s="691"/>
      <c r="K215" s="691"/>
      <c r="L215" s="692"/>
      <c r="M215" s="691"/>
      <c r="N215" s="691"/>
      <c r="O215" s="691"/>
      <c r="P215" s="691"/>
      <c r="Q215" s="691"/>
      <c r="R215" s="660"/>
      <c r="S215" s="3575"/>
      <c r="T215" s="3576"/>
      <c r="U215" s="3576"/>
      <c r="V215" s="3576"/>
      <c r="W215" s="3577"/>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503">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5"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572"/>
      <c r="T216" s="3573"/>
      <c r="U216" s="3573"/>
      <c r="V216" s="3573"/>
      <c r="W216" s="3574"/>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503">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5" customHeight="1">
      <c r="A217" s="62"/>
      <c r="B217" s="694" t="s">
        <v>3103</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503">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5" customHeight="1">
      <c r="A218" s="62"/>
      <c r="B218" s="81" t="s">
        <v>497</v>
      </c>
      <c r="C218" s="81"/>
      <c r="D218" s="81"/>
      <c r="E218" s="81"/>
      <c r="F218" s="81"/>
      <c r="H218" s="689"/>
      <c r="I218" s="689"/>
      <c r="J218" s="689"/>
      <c r="K218" s="689"/>
      <c r="L218" s="690"/>
      <c r="M218" s="689"/>
      <c r="N218" s="689"/>
      <c r="O218" s="689"/>
      <c r="P218" s="689"/>
      <c r="Q218" s="689"/>
      <c r="R218" s="660"/>
      <c r="S218" s="3579"/>
      <c r="T218" s="3580"/>
      <c r="U218" s="3580"/>
      <c r="V218" s="3580"/>
      <c r="W218" s="3581"/>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505">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5" customHeight="1">
      <c r="A219" s="62"/>
      <c r="B219" s="81" t="s">
        <v>689</v>
      </c>
      <c r="C219" s="3604"/>
      <c r="D219" s="3605"/>
      <c r="E219" s="3605"/>
      <c r="F219" s="3606"/>
      <c r="H219" s="691"/>
      <c r="I219" s="691"/>
      <c r="J219" s="691"/>
      <c r="K219" s="691"/>
      <c r="L219" s="692"/>
      <c r="M219" s="691"/>
      <c r="N219" s="691"/>
      <c r="O219" s="691"/>
      <c r="P219" s="691"/>
      <c r="Q219" s="691"/>
      <c r="R219" s="660"/>
      <c r="S219" s="3575"/>
      <c r="T219" s="3576"/>
      <c r="U219" s="3576"/>
      <c r="V219" s="3576"/>
      <c r="W219" s="3577"/>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503">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5"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572"/>
      <c r="T220" s="3573"/>
      <c r="U220" s="3573"/>
      <c r="V220" s="3573"/>
      <c r="W220" s="3574"/>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2502">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5"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503">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5"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503">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5" customHeight="1">
      <c r="A223" s="62"/>
      <c r="B223" s="81" t="s">
        <v>952</v>
      </c>
      <c r="C223" s="81"/>
      <c r="D223" s="81"/>
      <c r="E223" s="81"/>
      <c r="F223" s="81"/>
      <c r="H223" s="689"/>
      <c r="I223" s="689"/>
      <c r="J223" s="689"/>
      <c r="K223" s="689"/>
      <c r="L223" s="690"/>
      <c r="M223" s="689"/>
      <c r="N223" s="689"/>
      <c r="O223" s="689"/>
      <c r="P223" s="689"/>
      <c r="Q223" s="689"/>
      <c r="R223" s="660"/>
      <c r="S223" s="3579"/>
      <c r="T223" s="3580"/>
      <c r="U223" s="3580"/>
      <c r="V223" s="3580"/>
      <c r="W223" s="3581"/>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503">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5" customHeight="1">
      <c r="A224" s="62"/>
      <c r="B224" s="81" t="s">
        <v>689</v>
      </c>
      <c r="C224" s="3604"/>
      <c r="D224" s="3605"/>
      <c r="E224" s="3605"/>
      <c r="F224" s="3606"/>
      <c r="H224" s="691"/>
      <c r="I224" s="691"/>
      <c r="J224" s="691"/>
      <c r="K224" s="691"/>
      <c r="L224" s="692"/>
      <c r="M224" s="691"/>
      <c r="N224" s="691"/>
      <c r="O224" s="691"/>
      <c r="P224" s="691"/>
      <c r="Q224" s="691"/>
      <c r="R224" s="660"/>
      <c r="S224" s="3575"/>
      <c r="T224" s="3576"/>
      <c r="U224" s="3576"/>
      <c r="V224" s="3576"/>
      <c r="W224" s="3577"/>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503">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5"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572"/>
      <c r="T225" s="3573"/>
      <c r="U225" s="3573"/>
      <c r="V225" s="3573"/>
      <c r="W225" s="3574"/>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503">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5" customHeight="1">
      <c r="A226" s="62"/>
      <c r="B226" s="694" t="s">
        <v>3103</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505">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5" customHeight="1">
      <c r="A227" s="62"/>
      <c r="B227" s="81" t="s">
        <v>497</v>
      </c>
      <c r="C227" s="81"/>
      <c r="D227" s="81"/>
      <c r="E227" s="81"/>
      <c r="F227" s="81"/>
      <c r="H227" s="689"/>
      <c r="I227" s="689"/>
      <c r="J227" s="689"/>
      <c r="K227" s="689"/>
      <c r="L227" s="690"/>
      <c r="M227" s="689"/>
      <c r="N227" s="689"/>
      <c r="O227" s="689"/>
      <c r="P227" s="689"/>
      <c r="Q227" s="689"/>
      <c r="R227" s="660"/>
      <c r="S227" s="3579"/>
      <c r="T227" s="3580"/>
      <c r="U227" s="3580"/>
      <c r="V227" s="3580"/>
      <c r="W227" s="3581"/>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503">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5" customHeight="1">
      <c r="A228" s="62"/>
      <c r="B228" s="81" t="s">
        <v>689</v>
      </c>
      <c r="C228" s="3604"/>
      <c r="D228" s="3605"/>
      <c r="E228" s="3605"/>
      <c r="F228" s="3606"/>
      <c r="H228" s="691"/>
      <c r="I228" s="691"/>
      <c r="J228" s="691"/>
      <c r="K228" s="691"/>
      <c r="L228" s="692"/>
      <c r="M228" s="691"/>
      <c r="N228" s="691"/>
      <c r="O228" s="691"/>
      <c r="P228" s="691"/>
      <c r="Q228" s="691"/>
      <c r="R228" s="660"/>
      <c r="S228" s="3575"/>
      <c r="T228" s="3576"/>
      <c r="U228" s="3576"/>
      <c r="V228" s="3576"/>
      <c r="W228" s="3577"/>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2502">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5"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572"/>
      <c r="T229" s="3573"/>
      <c r="U229" s="3573"/>
      <c r="V229" s="3573"/>
      <c r="W229" s="3574"/>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503">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5" customHeight="1">
      <c r="B230" s="399"/>
      <c r="C230" s="68"/>
      <c r="D230" s="68"/>
      <c r="E230" s="68"/>
      <c r="F230" s="68"/>
      <c r="H230" s="695"/>
      <c r="I230" s="68"/>
      <c r="J230" s="68"/>
      <c r="K230" s="68"/>
      <c r="L230" s="68"/>
      <c r="M230" s="68"/>
      <c r="N230" s="68"/>
      <c r="O230" s="68"/>
      <c r="P230" s="68"/>
      <c r="Q230" s="68"/>
      <c r="R230" s="6"/>
      <c r="OZ230" s="2503">
        <v>226</v>
      </c>
    </row>
    <row r="231" spans="1:528" ht="15.65"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2502">
        <v>227</v>
      </c>
    </row>
    <row r="232" spans="1:528" ht="15.65" customHeight="1">
      <c r="B232" s="81" t="s">
        <v>952</v>
      </c>
      <c r="C232" s="81"/>
      <c r="D232" s="81"/>
      <c r="E232" s="81"/>
      <c r="F232" s="81"/>
      <c r="H232" s="689"/>
      <c r="I232" s="689"/>
      <c r="J232" s="689"/>
      <c r="K232" s="689"/>
      <c r="L232" s="690"/>
      <c r="M232" s="68"/>
      <c r="N232" s="68"/>
      <c r="O232" s="68"/>
      <c r="P232" s="68"/>
      <c r="Q232" s="68"/>
      <c r="R232" s="6"/>
      <c r="S232" s="3579"/>
      <c r="T232" s="3580"/>
      <c r="U232" s="3580"/>
      <c r="V232" s="3580"/>
      <c r="W232" s="3581"/>
      <c r="OZ232" s="2503">
        <v>228</v>
      </c>
    </row>
    <row r="233" spans="1:528" ht="15.65" customHeight="1">
      <c r="B233" s="81" t="s">
        <v>689</v>
      </c>
      <c r="C233" s="3604"/>
      <c r="D233" s="3605"/>
      <c r="E233" s="3605"/>
      <c r="F233" s="3606"/>
      <c r="H233" s="691"/>
      <c r="I233" s="691"/>
      <c r="J233" s="691"/>
      <c r="K233" s="691"/>
      <c r="L233" s="692"/>
      <c r="M233" s="68"/>
      <c r="N233" s="68"/>
      <c r="O233" s="68"/>
      <c r="P233" s="68"/>
      <c r="Q233" s="68"/>
      <c r="R233" s="6"/>
      <c r="S233" s="3575"/>
      <c r="T233" s="3576"/>
      <c r="U233" s="3576"/>
      <c r="V233" s="3576"/>
      <c r="W233" s="3577"/>
      <c r="OZ233" s="2503">
        <v>229</v>
      </c>
    </row>
    <row r="234" spans="1:528" ht="15.65"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72"/>
      <c r="T234" s="3573"/>
      <c r="U234" s="3573"/>
      <c r="V234" s="3573"/>
      <c r="W234" s="3574"/>
      <c r="OZ234" s="2503">
        <v>230</v>
      </c>
    </row>
    <row r="235" spans="1:528" ht="15.65" customHeight="1">
      <c r="B235" s="694" t="s">
        <v>3103</v>
      </c>
      <c r="C235" s="68"/>
      <c r="D235" s="68"/>
      <c r="E235" s="68"/>
      <c r="F235" s="68"/>
      <c r="H235" s="695"/>
      <c r="I235" s="68"/>
      <c r="J235" s="68"/>
      <c r="K235" s="68"/>
      <c r="L235" s="68"/>
      <c r="M235" s="68"/>
      <c r="N235" s="68"/>
      <c r="O235" s="68"/>
      <c r="P235" s="68"/>
      <c r="Q235" s="68"/>
      <c r="R235" s="6"/>
      <c r="S235" s="72" t="str">
        <f>B235</f>
        <v>NOT Included in Mgt Fee:</v>
      </c>
      <c r="OZ235" s="2503">
        <v>231</v>
      </c>
    </row>
    <row r="236" spans="1:528" ht="15.65" customHeight="1">
      <c r="B236" s="81" t="s">
        <v>497</v>
      </c>
      <c r="C236" s="81"/>
      <c r="D236" s="81"/>
      <c r="E236" s="81"/>
      <c r="F236" s="81"/>
      <c r="H236" s="689"/>
      <c r="I236" s="689"/>
      <c r="J236" s="689"/>
      <c r="K236" s="689"/>
      <c r="L236" s="690"/>
      <c r="M236" s="68"/>
      <c r="N236" s="68"/>
      <c r="O236" s="68"/>
      <c r="P236" s="68"/>
      <c r="Q236" s="68"/>
      <c r="R236" s="6"/>
      <c r="S236" s="3579"/>
      <c r="T236" s="3580"/>
      <c r="U236" s="3580"/>
      <c r="V236" s="3580"/>
      <c r="W236" s="3581"/>
      <c r="OZ236" s="2503">
        <v>232</v>
      </c>
    </row>
    <row r="237" spans="1:528" ht="15.65" customHeight="1">
      <c r="B237" s="81" t="s">
        <v>689</v>
      </c>
      <c r="C237" s="3604"/>
      <c r="D237" s="3605"/>
      <c r="E237" s="3605"/>
      <c r="F237" s="3606"/>
      <c r="H237" s="691"/>
      <c r="I237" s="691"/>
      <c r="J237" s="691"/>
      <c r="K237" s="691"/>
      <c r="L237" s="692"/>
      <c r="M237" s="68"/>
      <c r="N237" s="68"/>
      <c r="O237" s="68"/>
      <c r="P237" s="68"/>
      <c r="Q237" s="68"/>
      <c r="R237" s="6"/>
      <c r="S237" s="3575"/>
      <c r="T237" s="3576"/>
      <c r="U237" s="3576"/>
      <c r="V237" s="3576"/>
      <c r="W237" s="3577"/>
      <c r="OZ237" s="2505">
        <v>233</v>
      </c>
    </row>
    <row r="238" spans="1:528" ht="15.65"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72"/>
      <c r="T238" s="3573"/>
      <c r="U238" s="3573"/>
      <c r="V238" s="3573"/>
      <c r="W238" s="3574"/>
      <c r="OZ238" s="2503">
        <v>234</v>
      </c>
    </row>
    <row r="239" spans="1:528" ht="2.25" customHeight="1">
      <c r="B239" s="10"/>
      <c r="F239" s="27"/>
      <c r="G239" s="27"/>
      <c r="Q239" s="6"/>
      <c r="R239" s="6"/>
      <c r="OZ239" s="2502">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2498"/>
      <c r="OZ240" s="2503">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2498"/>
      <c r="OZ241" s="2503">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2479" t="s">
        <v>1430</v>
      </c>
      <c r="I242" s="4" t="s">
        <v>1297</v>
      </c>
      <c r="K242" s="1"/>
      <c r="L242" s="1"/>
      <c r="M242" s="1"/>
      <c r="N242" s="2479" t="s">
        <v>1430</v>
      </c>
      <c r="O242" s="4" t="s">
        <v>1300</v>
      </c>
      <c r="P242" s="1"/>
      <c r="Q242" s="326">
        <f>IF(OR('Part VI-Pro Forma'!$B$22 = "Choose Mgt Fee",'Part VI-Pro Forma'!$B$22 = "Choose One!"), 0,- 'Part VI-Pro Forma'!$B$22)</f>
        <v>61248</v>
      </c>
      <c r="R242" s="1"/>
      <c r="S242" s="3579"/>
      <c r="T242" s="3580"/>
      <c r="U242" s="3580"/>
      <c r="V242" s="3580"/>
      <c r="W242" s="3581"/>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2498"/>
      <c r="OZ242" s="2502">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607">
        <f>59314+30002+(72316*0.48)</f>
        <v>124027.68</v>
      </c>
      <c r="G243" s="3608"/>
      <c r="H243" s="2478">
        <f>IF(OR(F243="",F243=0),"",F243/$E$58)</f>
        <v>1069.2041379310344</v>
      </c>
      <c r="I243" s="1" t="s">
        <v>1298</v>
      </c>
      <c r="K243" s="1"/>
      <c r="L243" s="3607"/>
      <c r="M243" s="3608"/>
      <c r="N243" s="2478" t="str">
        <f>IF(OR(L243="",L243=0),"",L243/$E$58)</f>
        <v/>
      </c>
      <c r="O243" s="318">
        <f>+Q242/(P76*0.93)</f>
        <v>567.74193548387086</v>
      </c>
      <c r="P243" s="42" t="s">
        <v>2478</v>
      </c>
      <c r="Q243" s="1"/>
      <c r="R243" s="660"/>
      <c r="S243" s="3575"/>
      <c r="T243" s="3576"/>
      <c r="U243" s="3576"/>
      <c r="V243" s="3576"/>
      <c r="W243" s="3577"/>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2498"/>
      <c r="OZ243" s="2503">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612">
        <f>99934+(72316*0.52)</f>
        <v>137538.32</v>
      </c>
      <c r="G244" s="3613"/>
      <c r="H244" s="2478">
        <f t="shared" ref="H244:H249" si="692">IF(OR(F244="",F244=0),"",F244/$E$58)</f>
        <v>1185.6751724137932</v>
      </c>
      <c r="I244" s="1" t="s">
        <v>1299</v>
      </c>
      <c r="K244" s="1"/>
      <c r="L244" s="3614">
        <v>14892</v>
      </c>
      <c r="M244" s="3615"/>
      <c r="N244" s="2478">
        <f t="shared" ref="N244:N245" si="693">IF(OR(L244="",L244=0),"",L244/$E$58)</f>
        <v>128.37931034482759</v>
      </c>
      <c r="O244" s="318">
        <f>+Q242/(P76*0.93)/12</f>
        <v>47.311827956989241</v>
      </c>
      <c r="P244" s="42" t="s">
        <v>2479</v>
      </c>
      <c r="Q244" s="1"/>
      <c r="R244" s="660"/>
      <c r="S244" s="3575"/>
      <c r="T244" s="3576"/>
      <c r="U244" s="3576"/>
      <c r="V244" s="3576"/>
      <c r="W244" s="3577"/>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2498"/>
      <c r="OZ244" s="2503">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612"/>
      <c r="G245" s="3613"/>
      <c r="H245" s="2478" t="str">
        <f t="shared" si="692"/>
        <v/>
      </c>
      <c r="I245" s="1"/>
      <c r="K245" s="8" t="s">
        <v>184</v>
      </c>
      <c r="L245" s="3616">
        <f>SUM(L243:M244)</f>
        <v>14892</v>
      </c>
      <c r="M245" s="3617"/>
      <c r="N245" s="2478">
        <f t="shared" si="693"/>
        <v>128.37931034482759</v>
      </c>
      <c r="O245" s="29" t="s">
        <v>3139</v>
      </c>
      <c r="P245" s="103"/>
      <c r="Q245" s="103"/>
      <c r="R245" s="660"/>
      <c r="S245" s="3575"/>
      <c r="T245" s="3576"/>
      <c r="U245" s="3576"/>
      <c r="V245" s="3576"/>
      <c r="W245" s="3577"/>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2498"/>
      <c r="OZ245" s="2503">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4522</v>
      </c>
      <c r="F246" s="3612"/>
      <c r="G246" s="3613"/>
      <c r="H246" s="2478" t="str">
        <f t="shared" si="692"/>
        <v/>
      </c>
      <c r="I246" s="1"/>
      <c r="K246" s="1"/>
      <c r="L246" s="1"/>
      <c r="M246" s="1"/>
      <c r="N246" s="1"/>
      <c r="R246" s="657"/>
      <c r="S246" s="3575"/>
      <c r="T246" s="3576"/>
      <c r="U246" s="3576"/>
      <c r="V246" s="3576"/>
      <c r="W246" s="3577"/>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2500"/>
      <c r="OZ246" s="2503">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3889</v>
      </c>
      <c r="F247" s="3612"/>
      <c r="G247" s="3613"/>
      <c r="H247" s="2478" t="str">
        <f t="shared" si="692"/>
        <v/>
      </c>
      <c r="I247" s="1"/>
      <c r="K247" s="1"/>
      <c r="L247" s="1"/>
      <c r="M247" s="1"/>
      <c r="N247" s="1"/>
      <c r="R247" s="657"/>
      <c r="S247" s="3575"/>
      <c r="T247" s="3576"/>
      <c r="U247" s="3576"/>
      <c r="V247" s="3576"/>
      <c r="W247" s="3577"/>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2500"/>
      <c r="OZ247" s="2503">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609" t="s">
        <v>46</v>
      </c>
      <c r="C248" s="3610"/>
      <c r="D248" s="3610"/>
      <c r="E248" s="3611"/>
      <c r="F248" s="3614"/>
      <c r="G248" s="3615"/>
      <c r="H248" s="2478" t="str">
        <f t="shared" si="692"/>
        <v/>
      </c>
      <c r="I248" s="4" t="s">
        <v>1213</v>
      </c>
      <c r="K248" s="1"/>
      <c r="L248" s="1"/>
      <c r="M248" s="1"/>
      <c r="N248" s="1"/>
      <c r="R248" s="657"/>
      <c r="S248" s="3575"/>
      <c r="T248" s="3576"/>
      <c r="U248" s="3576"/>
      <c r="V248" s="3576"/>
      <c r="W248" s="3577"/>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2500"/>
      <c r="OZ248" s="2505">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616">
        <f>SUM(F243:G248)</f>
        <v>261566</v>
      </c>
      <c r="G249" s="3617"/>
      <c r="H249" s="2478">
        <f t="shared" si="692"/>
        <v>2254.8793103448274</v>
      </c>
      <c r="I249" s="1" t="s">
        <v>1495</v>
      </c>
      <c r="K249" s="1"/>
      <c r="L249" s="3621">
        <v>1000</v>
      </c>
      <c r="M249" s="3622"/>
      <c r="N249" s="2478">
        <f>IF(OR(L249="",L249=0),"",L249/$E$58)</f>
        <v>8.6206896551724146</v>
      </c>
      <c r="R249" s="1"/>
      <c r="S249" s="3575"/>
      <c r="T249" s="3576"/>
      <c r="U249" s="3576"/>
      <c r="V249" s="3576"/>
      <c r="W249" s="3577"/>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2500"/>
      <c r="OZ249" s="2503">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618">
        <f>11652+17999</f>
        <v>29651</v>
      </c>
      <c r="M250" s="3619"/>
      <c r="N250" s="2478">
        <f t="shared" ref="N250:N253" si="694">IF(OR(L250="",L250=0),"",L250/$E$58)</f>
        <v>255.61206896551724</v>
      </c>
      <c r="O250" s="4" t="s">
        <v>2024</v>
      </c>
      <c r="P250" s="1"/>
      <c r="Q250" s="325">
        <f>F249+F258+F269+L245+L253+L263+L269+Q242</f>
        <v>886994</v>
      </c>
      <c r="R250" s="1"/>
      <c r="S250" s="3575"/>
      <c r="T250" s="3576"/>
      <c r="U250" s="3576"/>
      <c r="V250" s="3576"/>
      <c r="W250" s="3577"/>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2500"/>
      <c r="OZ250" s="2503">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618">
        <f>11600+1500</f>
        <v>13100</v>
      </c>
      <c r="M251" s="3619"/>
      <c r="N251" s="2478">
        <f t="shared" si="694"/>
        <v>112.93103448275862</v>
      </c>
      <c r="O251" s="42" t="s">
        <v>2480</v>
      </c>
      <c r="P251" s="318">
        <f>+Q250/P76</f>
        <v>7646.5</v>
      </c>
      <c r="R251" s="658"/>
      <c r="S251" s="3575"/>
      <c r="T251" s="3576"/>
      <c r="U251" s="3576"/>
      <c r="V251" s="3576"/>
      <c r="W251" s="357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2500" t="s">
        <v>4339</v>
      </c>
      <c r="OZ251" s="2502">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20">
        <f>5580+9484</f>
        <v>15064</v>
      </c>
      <c r="G252" s="3608"/>
      <c r="H252" s="2478">
        <f>IF(OR(F252="",F252=0),"",F252/$E$58)</f>
        <v>129.86206896551724</v>
      </c>
      <c r="I252" s="3625" t="s">
        <v>5234</v>
      </c>
      <c r="J252" s="3626"/>
      <c r="K252" s="3627"/>
      <c r="L252" s="3623">
        <v>5304</v>
      </c>
      <c r="M252" s="3624"/>
      <c r="N252" s="2478">
        <f t="shared" si="694"/>
        <v>45.724137931034484</v>
      </c>
      <c r="P252" s="741" t="s">
        <v>3140</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522000</v>
      </c>
      <c r="R252" s="1"/>
      <c r="S252" s="3575"/>
      <c r="T252" s="3576"/>
      <c r="U252" s="3576"/>
      <c r="V252" s="3576"/>
      <c r="W252" s="3577"/>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2500"/>
      <c r="OZ252" s="2503">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612">
        <f>14400+743</f>
        <v>15143</v>
      </c>
      <c r="G253" s="3613"/>
      <c r="H253" s="2478">
        <f t="shared" ref="H253:H258" si="695">IF(OR(F253="",F253=0),"",F253/$E$58)</f>
        <v>130.54310344827587</v>
      </c>
      <c r="I253" s="4"/>
      <c r="K253" s="8" t="s">
        <v>184</v>
      </c>
      <c r="L253" s="3628">
        <f>SUM(L249:L252)</f>
        <v>49055</v>
      </c>
      <c r="M253" s="3629"/>
      <c r="N253" s="2478">
        <f t="shared" si="694"/>
        <v>422.88793103448273</v>
      </c>
      <c r="O253" s="3630" t="s">
        <v>4804</v>
      </c>
      <c r="P253" s="3630"/>
      <c r="Q253" s="3630"/>
      <c r="R253" s="1"/>
      <c r="S253" s="3575"/>
      <c r="T253" s="3576"/>
      <c r="U253" s="3576"/>
      <c r="V253" s="3576"/>
      <c r="W253" s="3577"/>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2500"/>
      <c r="OZ253" s="2503">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612">
        <v>1500</v>
      </c>
      <c r="G254" s="3613"/>
      <c r="H254" s="2478">
        <f t="shared" si="695"/>
        <v>12.931034482758621</v>
      </c>
      <c r="N254" s="1"/>
      <c r="O254" s="3630"/>
      <c r="P254" s="3630"/>
      <c r="Q254" s="3630"/>
      <c r="R254" s="872"/>
      <c r="S254" s="3575"/>
      <c r="T254" s="3576"/>
      <c r="U254" s="3576"/>
      <c r="V254" s="3576"/>
      <c r="W254" s="3577"/>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2500"/>
      <c r="OZ254" s="2503">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612"/>
      <c r="G255" s="3613"/>
      <c r="H255" s="2478" t="str">
        <f t="shared" si="695"/>
        <v/>
      </c>
      <c r="M255" s="1"/>
      <c r="N255" s="1"/>
      <c r="R255" s="872"/>
      <c r="S255" s="3575"/>
      <c r="T255" s="3576"/>
      <c r="U255" s="3576"/>
      <c r="V255" s="3576"/>
      <c r="W255" s="3577"/>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2500" t="s">
        <v>4340</v>
      </c>
      <c r="OZ255" s="2503">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612"/>
      <c r="G256" s="3613"/>
      <c r="H256" s="2478" t="str">
        <f t="shared" si="695"/>
        <v/>
      </c>
      <c r="I256" s="4" t="s">
        <v>1295</v>
      </c>
      <c r="K256" s="248" t="s">
        <v>3760</v>
      </c>
      <c r="L256" s="1"/>
      <c r="O256" s="1240" t="s">
        <v>3001</v>
      </c>
      <c r="P256" s="4"/>
      <c r="Q256" s="900">
        <f>Q265</f>
        <v>46640</v>
      </c>
      <c r="S256" s="3575"/>
      <c r="T256" s="3576"/>
      <c r="U256" s="3576"/>
      <c r="V256" s="3576"/>
      <c r="W256" s="3577"/>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2500"/>
      <c r="OZ256" s="2503">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609"/>
      <c r="C257" s="3610"/>
      <c r="D257" s="3610"/>
      <c r="E257" s="3611"/>
      <c r="F257" s="3614"/>
      <c r="G257" s="3615"/>
      <c r="H257" s="2478" t="str">
        <f t="shared" si="695"/>
        <v/>
      </c>
      <c r="I257" s="1" t="s">
        <v>1288</v>
      </c>
      <c r="K257" s="364">
        <f>L257/12/P76</f>
        <v>41.781609195402304</v>
      </c>
      <c r="L257" s="3621">
        <v>58160</v>
      </c>
      <c r="M257" s="3622"/>
      <c r="N257" s="2478">
        <f>IF(OR(L257="",L257=0),"",L257/$E$58)</f>
        <v>501.37931034482756</v>
      </c>
      <c r="O257" s="755" t="s">
        <v>3759</v>
      </c>
      <c r="P257" s="750"/>
      <c r="Q257" s="756">
        <f>Q256/P265</f>
        <v>402.06896551724139</v>
      </c>
      <c r="R257" s="3669" t="str">
        <f>IF(Q256&lt;Q265, "WARNING! RR proposed is below the DCA required minimum.","")</f>
        <v/>
      </c>
      <c r="S257" s="3575"/>
      <c r="T257" s="3576"/>
      <c r="U257" s="3576"/>
      <c r="V257" s="3576"/>
      <c r="W257" s="3577"/>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2500"/>
      <c r="OZ257" s="2505">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616">
        <f>SUM(F252:G257)</f>
        <v>31707</v>
      </c>
      <c r="G258" s="3617"/>
      <c r="H258" s="2478">
        <f t="shared" si="695"/>
        <v>273.33620689655174</v>
      </c>
      <c r="I258" s="1" t="s">
        <v>1289</v>
      </c>
      <c r="K258" s="364">
        <f>L258/12/P76</f>
        <v>0</v>
      </c>
      <c r="L258" s="3618"/>
      <c r="M258" s="3619"/>
      <c r="N258" s="2478" t="str">
        <f t="shared" ref="N258:N263" si="696">IF(OR(L258="",L258=0),"",L258/$E$58)</f>
        <v/>
      </c>
      <c r="O258" s="3671" t="s">
        <v>3147</v>
      </c>
      <c r="P258" s="3672"/>
      <c r="Q258" s="3673"/>
      <c r="R258" s="3670"/>
      <c r="S258" s="3575"/>
      <c r="T258" s="3576"/>
      <c r="U258" s="3576"/>
      <c r="V258" s="3576"/>
      <c r="W258" s="3577"/>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2500"/>
      <c r="OZ258" s="2503">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3802</v>
      </c>
      <c r="K259" s="364">
        <f>L259/12/P76</f>
        <v>45.961206896551722</v>
      </c>
      <c r="L259" s="3680">
        <f>33124+30854</f>
        <v>63978</v>
      </c>
      <c r="M259" s="3619"/>
      <c r="N259" s="2478">
        <f t="shared" si="696"/>
        <v>551.5344827586207</v>
      </c>
      <c r="O259" s="749" t="s">
        <v>2458</v>
      </c>
      <c r="P259" s="655" t="s">
        <v>3200</v>
      </c>
      <c r="Q259" s="751" t="s">
        <v>2972</v>
      </c>
      <c r="R259" s="3670"/>
      <c r="S259" s="3575"/>
      <c r="T259" s="3576"/>
      <c r="U259" s="3576"/>
      <c r="V259" s="3576"/>
      <c r="W259" s="3577"/>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2500" t="s">
        <v>4273</v>
      </c>
      <c r="OZ259" s="2502">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8.1637931034482758</v>
      </c>
      <c r="L260" s="3618">
        <v>11364</v>
      </c>
      <c r="M260" s="3619"/>
      <c r="N260" s="2478">
        <f t="shared" si="696"/>
        <v>97.965517241379317</v>
      </c>
      <c r="O260" s="497" t="s">
        <v>36</v>
      </c>
      <c r="Q260" s="498"/>
      <c r="R260" s="3670"/>
      <c r="S260" s="3575"/>
      <c r="T260" s="3576"/>
      <c r="U260" s="3576"/>
      <c r="V260" s="3576"/>
      <c r="W260" s="3577"/>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2500"/>
      <c r="OZ260" s="2503">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39">
        <v>7296</v>
      </c>
      <c r="G261" s="3640"/>
      <c r="H261" s="2478">
        <f>IF(OR(F261="",F261=0),"",F261/$E$58)</f>
        <v>62.896551724137929</v>
      </c>
      <c r="I261" s="72" t="s">
        <v>4565</v>
      </c>
      <c r="K261" s="364">
        <f>L261/12/P76</f>
        <v>0</v>
      </c>
      <c r="L261" s="3618"/>
      <c r="M261" s="3619"/>
      <c r="N261" s="2478" t="str">
        <f t="shared" si="696"/>
        <v/>
      </c>
      <c r="O261" s="386" t="s">
        <v>2970</v>
      </c>
      <c r="P261" s="659" t="str">
        <f>CONCATENATE(SUM(NO58:NS58)," units x $",'DCA Underwriting Assumptions'!$Q$41," =")</f>
        <v>104 units x $400 =</v>
      </c>
      <c r="Q261" s="499">
        <f>SUM(NO58:NS58)*'DCA Underwriting Assumptions'!$Q$41</f>
        <v>41600</v>
      </c>
      <c r="R261" s="3670"/>
      <c r="S261" s="3575"/>
      <c r="T261" s="3576"/>
      <c r="U261" s="3576"/>
      <c r="V261" s="3576"/>
      <c r="W261" s="3577"/>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2500"/>
      <c r="OZ261" s="2503">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79">
        <f>6336+1700</f>
        <v>8036</v>
      </c>
      <c r="G262" s="3638"/>
      <c r="H262" s="2478">
        <f t="shared" ref="H262:H269" si="697">IF(OR(F262="",F262=0),"",F262/$E$58)</f>
        <v>69.275862068965523</v>
      </c>
      <c r="I262" s="3674"/>
      <c r="J262" s="3675"/>
      <c r="K262" s="364">
        <f>L262/12/P76</f>
        <v>0</v>
      </c>
      <c r="L262" s="3623"/>
      <c r="M262" s="3624"/>
      <c r="N262" s="2478" t="str">
        <f t="shared" si="696"/>
        <v/>
      </c>
      <c r="O262" s="386" t="s">
        <v>2969</v>
      </c>
      <c r="P262" s="659" t="str">
        <f>CONCATENATE(SUM(NT58:NX58)," units x $",'DCA Underwriting Assumptions'!$Q$42," =")</f>
        <v>0 units x $300 =</v>
      </c>
      <c r="Q262" s="499">
        <f>SUM(NT58:NX58)*'DCA Underwriting Assumptions'!$Q$42</f>
        <v>0</v>
      </c>
      <c r="R262" s="3670"/>
      <c r="S262" s="3575"/>
      <c r="T262" s="3576"/>
      <c r="U262" s="3576"/>
      <c r="V262" s="3576"/>
      <c r="W262" s="3577"/>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2500"/>
      <c r="OZ262" s="2502">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37">
        <v>17600</v>
      </c>
      <c r="G263" s="3638"/>
      <c r="H263" s="2478">
        <f t="shared" si="697"/>
        <v>151.72413793103448</v>
      </c>
      <c r="K263" s="8" t="s">
        <v>184</v>
      </c>
      <c r="L263" s="3628">
        <f>SUM(L257:L262)</f>
        <v>133502</v>
      </c>
      <c r="M263" s="3629"/>
      <c r="N263" s="2478">
        <f t="shared" si="696"/>
        <v>1150.8793103448277</v>
      </c>
      <c r="O263" s="500" t="s">
        <v>4392</v>
      </c>
      <c r="P263" s="659" t="str">
        <f>CONCATENATE(SUM(NY58:OC58)," units x $",'DCA Underwriting Assumptions'!$Q$43," =")</f>
        <v>0 units x $470 =</v>
      </c>
      <c r="Q263" s="499">
        <f>SUM(NY58:OC58)*'DCA Underwriting Assumptions'!$Q$43</f>
        <v>0</v>
      </c>
      <c r="R263" s="3670"/>
      <c r="S263" s="3575"/>
      <c r="T263" s="3576"/>
      <c r="U263" s="3576"/>
      <c r="V263" s="3576"/>
      <c r="W263" s="3577"/>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2500"/>
      <c r="OZ263" s="2503">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612">
        <v>11316</v>
      </c>
      <c r="G264" s="3613"/>
      <c r="H264" s="2478">
        <f t="shared" si="697"/>
        <v>97.551724137931032</v>
      </c>
      <c r="O264" s="500" t="s">
        <v>2968</v>
      </c>
      <c r="P264" s="659" t="str">
        <f>CONCATENATE(P143," units x $",'DCA Underwriting Assumptions'!$Q$44," =")</f>
        <v>12 units x $420 =</v>
      </c>
      <c r="Q264" s="499">
        <f>P143*'DCA Underwriting Assumptions'!$Q$44</f>
        <v>5040</v>
      </c>
      <c r="S264" s="3575"/>
      <c r="T264" s="3576"/>
      <c r="U264" s="3576"/>
      <c r="V264" s="3576"/>
      <c r="W264" s="3577"/>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2500" t="s">
        <v>4341</v>
      </c>
      <c r="OZ264" s="2503">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612">
        <f>4800+700</f>
        <v>5500</v>
      </c>
      <c r="G265" s="3613"/>
      <c r="H265" s="2478">
        <f t="shared" si="697"/>
        <v>47.413793103448278</v>
      </c>
      <c r="I265" s="4" t="s">
        <v>1296</v>
      </c>
      <c r="O265" s="752" t="s">
        <v>2461</v>
      </c>
      <c r="P265" s="753">
        <f>SUM(NO58:NS58)+SUM(NT58:NX58)+SUM(NY58:OC58)+P143</f>
        <v>116</v>
      </c>
      <c r="Q265" s="754">
        <f>SUM(Q261:Q264)</f>
        <v>46640</v>
      </c>
      <c r="R265" s="659"/>
      <c r="S265" s="3575"/>
      <c r="T265" s="3576"/>
      <c r="U265" s="3576"/>
      <c r="V265" s="3576"/>
      <c r="W265" s="3577"/>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2500"/>
      <c r="OZ265" s="2503">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612">
        <v>10384</v>
      </c>
      <c r="G266" s="3613"/>
      <c r="H266" s="2478">
        <f t="shared" si="697"/>
        <v>89.517241379310349</v>
      </c>
      <c r="I266" s="72" t="s">
        <v>3803</v>
      </c>
      <c r="K266" s="1"/>
      <c r="L266" s="3621">
        <v>194843</v>
      </c>
      <c r="M266" s="3622"/>
      <c r="N266" s="2478">
        <f t="shared" ref="N266:N269" si="698">IF(OR(L266="",L266=0),"",L266/$E$58)</f>
        <v>1679.6810344827586</v>
      </c>
      <c r="O266" s="3696" t="str">
        <f>IF(L266+L267='Part III-A-Uses of Funds'!$G$132,"", CONCATENATE("Real Estate Taxes and Insurance Reserves from Development Budget = $:",'Part III-A-Uses of Funds'!$G$132))</f>
        <v/>
      </c>
      <c r="P266" s="3696"/>
      <c r="Q266" s="3696"/>
      <c r="R266" s="659"/>
      <c r="S266" s="3575"/>
      <c r="T266" s="3576"/>
      <c r="U266" s="3576"/>
      <c r="V266" s="3576"/>
      <c r="W266" s="3577"/>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2500"/>
      <c r="OZ266" s="2503">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612">
        <v>5544</v>
      </c>
      <c r="G267" s="3613"/>
      <c r="H267" s="2478">
        <f t="shared" si="697"/>
        <v>47.793103448275865</v>
      </c>
      <c r="I267" s="1" t="s">
        <v>140</v>
      </c>
      <c r="K267" s="1"/>
      <c r="L267" s="3618">
        <v>73824</v>
      </c>
      <c r="M267" s="3619"/>
      <c r="N267" s="2478">
        <f t="shared" si="698"/>
        <v>636.41379310344826</v>
      </c>
      <c r="O267" s="3697"/>
      <c r="P267" s="3697"/>
      <c r="Q267" s="3697"/>
      <c r="R267" s="659"/>
      <c r="S267" s="3575"/>
      <c r="T267" s="3576"/>
      <c r="U267" s="3576"/>
      <c r="V267" s="3576"/>
      <c r="W267" s="3577"/>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2500"/>
      <c r="OZ267" s="2503">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609" t="s">
        <v>46</v>
      </c>
      <c r="C268" s="3610"/>
      <c r="D268" s="3610"/>
      <c r="E268" s="3611"/>
      <c r="F268" s="3614"/>
      <c r="G268" s="3615"/>
      <c r="H268" s="2478" t="str">
        <f t="shared" si="697"/>
        <v/>
      </c>
      <c r="I268" s="3625" t="s">
        <v>5235</v>
      </c>
      <c r="J268" s="3626"/>
      <c r="K268" s="3627"/>
      <c r="L268" s="3635">
        <f>58+623</f>
        <v>681</v>
      </c>
      <c r="M268" s="3636"/>
      <c r="N268" s="2478">
        <f t="shared" si="698"/>
        <v>5.8706896551724137</v>
      </c>
      <c r="O268" s="3697"/>
      <c r="P268" s="3697"/>
      <c r="Q268" s="3697"/>
      <c r="R268" s="659"/>
      <c r="S268" s="3575"/>
      <c r="T268" s="3576"/>
      <c r="U268" s="3576"/>
      <c r="V268" s="3576"/>
      <c r="W268" s="3577"/>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2500" t="s">
        <v>4342</v>
      </c>
      <c r="OZ268" s="2505">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683">
        <f>SUM(F261:G268)</f>
        <v>65676</v>
      </c>
      <c r="G269" s="3684"/>
      <c r="H269" s="2478">
        <f t="shared" si="697"/>
        <v>566.17241379310349</v>
      </c>
      <c r="K269" s="8" t="s">
        <v>184</v>
      </c>
      <c r="L269" s="3628">
        <f>SUM(L265:L268)</f>
        <v>269348</v>
      </c>
      <c r="M269" s="3685"/>
      <c r="N269" s="2478">
        <f t="shared" si="698"/>
        <v>2321.9655172413795</v>
      </c>
      <c r="O269" s="4" t="s">
        <v>2025</v>
      </c>
      <c r="P269" s="1"/>
      <c r="Q269" s="325">
        <f>Q250+Q256</f>
        <v>933634</v>
      </c>
      <c r="R269" s="659"/>
      <c r="S269" s="3572"/>
      <c r="T269" s="3573"/>
      <c r="U269" s="3573"/>
      <c r="V269" s="3573"/>
      <c r="W269" s="3574"/>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2500"/>
      <c r="OZ269" s="2503">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2500"/>
      <c r="OZ270" s="2502">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5"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2500"/>
      <c r="OZ271" s="2503">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2500"/>
      <c r="OZ272" s="2503">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3287</v>
      </c>
      <c r="B273" s="4" t="s">
        <v>3749</v>
      </c>
      <c r="C273" s="8"/>
      <c r="D273" s="1"/>
      <c r="E273" s="1"/>
      <c r="H273" s="9"/>
      <c r="R273" s="657"/>
      <c r="S273" s="3676"/>
      <c r="T273" s="3677"/>
      <c r="U273" s="3677"/>
      <c r="V273" s="3677"/>
      <c r="W273" s="3678"/>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2500"/>
      <c r="OZ273" s="2502">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2500"/>
      <c r="OZ274" s="2503">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3750</v>
      </c>
      <c r="C275" s="8"/>
      <c r="D275" s="1"/>
      <c r="E275" s="1"/>
      <c r="F275" s="3686"/>
      <c r="G275" s="3687"/>
      <c r="H275" s="1"/>
      <c r="I275" s="1213" t="s">
        <v>3777</v>
      </c>
      <c r="J275" s="1"/>
      <c r="K275" s="9"/>
      <c r="L275" s="3686"/>
      <c r="M275" s="3687"/>
      <c r="N275" s="1"/>
      <c r="O275" s="4" t="s">
        <v>3752</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2500"/>
      <c r="OZ275" s="2503">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2500"/>
      <c r="OZ276" s="2503">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3778</v>
      </c>
      <c r="C277" s="8"/>
      <c r="D277" s="1"/>
      <c r="E277" s="1"/>
      <c r="F277" s="9"/>
      <c r="G277" s="9"/>
      <c r="H277" s="1"/>
      <c r="I277" s="1"/>
      <c r="L277" s="3692" t="s">
        <v>1641</v>
      </c>
      <c r="M277" s="3693"/>
      <c r="P277" s="1"/>
      <c r="R277" s="657"/>
      <c r="S277" s="3676"/>
      <c r="T277" s="3677"/>
      <c r="U277" s="3677"/>
      <c r="V277" s="3677"/>
      <c r="W277" s="3678"/>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2500" t="s">
        <v>4343</v>
      </c>
      <c r="OZ277" s="2503">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5072</v>
      </c>
      <c r="K278" s="9"/>
      <c r="L278" s="3690" t="s">
        <v>1641</v>
      </c>
      <c r="M278" s="3691"/>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2500"/>
      <c r="OZ278" s="2503">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5076</v>
      </c>
      <c r="K279" s="9"/>
      <c r="L279" s="3688"/>
      <c r="M279" s="3689"/>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2500"/>
      <c r="OZ279" s="2505">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3779</v>
      </c>
      <c r="K280" s="9"/>
      <c r="L280" s="3694"/>
      <c r="M280" s="3695"/>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2500"/>
      <c r="OZ280" s="2503">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2500"/>
      <c r="OZ281" s="2503">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3748</v>
      </c>
      <c r="B282" s="10" t="s">
        <v>529</v>
      </c>
      <c r="N282" s="10" t="s">
        <v>4537</v>
      </c>
      <c r="O282" s="10"/>
      <c r="OY282" s="2500"/>
      <c r="OZ282" s="2502">
        <v>278</v>
      </c>
    </row>
    <row r="283" spans="1:528" ht="409.5" customHeight="1">
      <c r="A283" s="3681" t="s">
        <v>5293</v>
      </c>
      <c r="B283" s="3681"/>
      <c r="C283" s="3681"/>
      <c r="D283" s="3681"/>
      <c r="E283" s="3681"/>
      <c r="F283" s="3681"/>
      <c r="G283" s="3681"/>
      <c r="H283" s="3681"/>
      <c r="I283" s="3681"/>
      <c r="J283" s="3681"/>
      <c r="K283" s="3681"/>
      <c r="L283" s="3681"/>
      <c r="M283" s="3681"/>
      <c r="N283" s="3682"/>
      <c r="O283" s="3682"/>
      <c r="P283" s="3682"/>
      <c r="Q283" s="3682"/>
      <c r="R283" s="3067" t="s">
        <v>3286</v>
      </c>
      <c r="S283" s="3028"/>
      <c r="T283" s="3028"/>
      <c r="U283" s="3028"/>
      <c r="OY283" s="2500"/>
      <c r="OZ283" s="2503">
        <v>279</v>
      </c>
    </row>
    <row r="284" spans="1:528" ht="11.25" customHeight="1">
      <c r="OY284" s="2500"/>
      <c r="OZ284" s="2503">
        <v>280</v>
      </c>
    </row>
    <row r="285" spans="1:528" ht="12" customHeight="1">
      <c r="OY285" s="2500"/>
      <c r="OZ285" s="2503">
        <v>281</v>
      </c>
    </row>
    <row r="286" spans="1:528" ht="12" customHeight="1">
      <c r="OY286" s="2500"/>
      <c r="OZ286" s="2503">
        <v>282</v>
      </c>
    </row>
    <row r="287" spans="1:528" ht="14.15" customHeight="1">
      <c r="OY287" s="2500"/>
      <c r="OZ287" s="2503">
        <v>283</v>
      </c>
    </row>
    <row r="288" spans="1:528" s="69"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2498"/>
      <c r="OZ288" s="2505">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5"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2498"/>
      <c r="OZ289" s="2503">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5"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2498"/>
      <c r="OZ290" s="2502">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5"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2498"/>
      <c r="OZ291" s="2503">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5"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2498"/>
      <c r="OZ292" s="2503">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5"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2498"/>
      <c r="OZ293" s="2502">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5"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2500"/>
      <c r="OZ294" s="2503"/>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5" customHeight="1">
      <c r="OY295" s="2500"/>
    </row>
    <row r="296" spans="1:528" ht="14.15" customHeight="1">
      <c r="OY296" s="2500"/>
    </row>
    <row r="297" spans="1:528" ht="14.15" customHeight="1">
      <c r="OY297" s="2500"/>
    </row>
    <row r="298" spans="1:528" ht="14.15" customHeight="1">
      <c r="OY298" s="2500"/>
    </row>
    <row r="299" spans="1:528" s="69" customFormat="1" ht="14.15"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2500"/>
      <c r="OZ299" s="2503"/>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5"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2500"/>
      <c r="OZ300" s="2503"/>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5"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2498"/>
      <c r="OZ301" s="2503"/>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5"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2498"/>
      <c r="OZ302" s="2503"/>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5"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2498"/>
      <c r="OZ303" s="2503"/>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5" customHeight="1"/>
    <row r="305" spans="1:528" ht="14.15" customHeight="1">
      <c r="A305" s="10"/>
      <c r="OY305" s="2500"/>
    </row>
    <row r="306" spans="1:528" ht="14.15" customHeight="1">
      <c r="OY306" s="2500"/>
    </row>
    <row r="307" spans="1:528" ht="14.15" customHeight="1">
      <c r="OY307" s="2500"/>
    </row>
    <row r="308" spans="1:528" ht="14.15" customHeight="1">
      <c r="OY308" s="2500"/>
    </row>
    <row r="309" spans="1:528" ht="14.15" customHeight="1">
      <c r="OY309" s="2500"/>
    </row>
    <row r="310" spans="1:528" ht="14.15" customHeight="1"/>
    <row r="311" spans="1:528" s="69" customFormat="1" ht="14.15"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2498"/>
      <c r="OZ311" s="2503"/>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5"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2498"/>
      <c r="OZ312" s="2503"/>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5"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2498"/>
      <c r="OZ313" s="2503"/>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5"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2498"/>
      <c r="OZ314" s="2503"/>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5"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2498"/>
      <c r="OZ315" s="2503"/>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5" customHeight="1"/>
    <row r="317" spans="1:528" ht="14.15" customHeight="1">
      <c r="A317" s="10"/>
      <c r="OY317" s="2500"/>
    </row>
    <row r="318" spans="1:528" ht="14.15" customHeight="1">
      <c r="OY318" s="2500"/>
    </row>
    <row r="319" spans="1:528" ht="14.15" customHeight="1">
      <c r="OY319" s="2500"/>
    </row>
    <row r="320" spans="1:528" ht="14.15" customHeight="1">
      <c r="OY320" s="2500"/>
    </row>
    <row r="321" spans="415:415" ht="14.15" customHeight="1">
      <c r="OY321" s="2500"/>
    </row>
    <row r="322" spans="415:415" ht="14.15" customHeight="1"/>
    <row r="323" spans="415:415" ht="14.15" customHeight="1"/>
    <row r="324" spans="415:415" ht="14.15" customHeight="1"/>
    <row r="325" spans="415:415" ht="14.15" customHeight="1"/>
    <row r="326" spans="415:415" ht="14.15" customHeight="1"/>
  </sheetData>
  <sheetProtection algorithmName="SHA-512" hashValue="xiUNqWZwd91StfQDng0y5kj0nTLumatl4+To3Ilftshz0qbF3JEZgWh5osdU4PpA74VEx5bhuoQCb0CpWjqgmw==" saltValue="L5VVbVBwo519aLSPpapEXQ==" spinCount="100000" sheet="1" objects="1" scenarios="1" formatRows="0"/>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128" workbookViewId="0">
      <selection activeCell="K9" sqref="K9"/>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2498" bestFit="1" customWidth="1"/>
    <col min="27" max="27" width="8.7265625" style="2499"/>
    <col min="28" max="16384" width="8.7265625" style="6"/>
  </cols>
  <sheetData>
    <row r="1" spans="1:27" s="1621" customFormat="1" hidden="1">
      <c r="B1" s="1621" t="s">
        <v>4344</v>
      </c>
      <c r="C1" s="1621" t="s">
        <v>4345</v>
      </c>
      <c r="D1" s="1621" t="s">
        <v>4346</v>
      </c>
      <c r="E1" s="1621" t="s">
        <v>4347</v>
      </c>
      <c r="F1" s="1621" t="s">
        <v>4348</v>
      </c>
      <c r="G1" s="1621" t="s">
        <v>4349</v>
      </c>
      <c r="H1" s="1621" t="s">
        <v>4350</v>
      </c>
      <c r="I1" s="1621" t="s">
        <v>4351</v>
      </c>
      <c r="J1" s="1621" t="s">
        <v>4352</v>
      </c>
      <c r="K1" s="1621" t="s">
        <v>4353</v>
      </c>
      <c r="Z1" s="2498"/>
      <c r="AA1" s="2499">
        <v>1</v>
      </c>
    </row>
    <row r="2" spans="1:27" ht="14.15" customHeight="1">
      <c r="A2" s="3698" t="str">
        <f>CONCATENATE("PART SIX - OPERATING PRO FORMA","  -  ",'Part I-Project Identification'!$O$7," ",'Part I-Project Identification'!$F$26,", ",'Part I-Project Identification'!F27,", ",'Part I-Project Identification'!J27," County")</f>
        <v>PART SIX - OPERATING PRO FORMA  -  2025-5 Princeton Court, College Park, Fulton County</v>
      </c>
      <c r="B2" s="3699"/>
      <c r="C2" s="3699"/>
      <c r="D2" s="3699"/>
      <c r="E2" s="3699"/>
      <c r="F2" s="3699"/>
      <c r="G2" s="3699"/>
      <c r="H2" s="3699"/>
      <c r="I2" s="3699"/>
      <c r="J2" s="3699"/>
      <c r="K2" s="3700"/>
      <c r="L2" s="4"/>
      <c r="M2" s="4"/>
      <c r="N2" s="3701" t="str">
        <f>A2</f>
        <v>PART SIX - OPERATING PRO FORMA  -  2025-5 Princeton Court, College Park, Fulton County</v>
      </c>
      <c r="O2" s="3701"/>
      <c r="P2" s="4"/>
      <c r="AA2" s="2499">
        <v>2</v>
      </c>
    </row>
    <row r="3" spans="1:27" ht="13.5" customHeight="1">
      <c r="A3" s="381"/>
      <c r="B3" s="381"/>
      <c r="C3" s="381"/>
      <c r="D3" s="381"/>
      <c r="E3" s="381"/>
      <c r="F3" s="381"/>
      <c r="G3" s="381"/>
      <c r="H3" s="381"/>
      <c r="I3" s="381"/>
      <c r="J3" s="381"/>
      <c r="K3" s="381"/>
      <c r="N3" s="3559" t="s">
        <v>1706</v>
      </c>
      <c r="O3" s="3559"/>
      <c r="AA3" s="2499">
        <v>3</v>
      </c>
    </row>
    <row r="4" spans="1:27" ht="13.5" customHeight="1">
      <c r="A4" s="10" t="s">
        <v>85</v>
      </c>
      <c r="C4" s="3702" t="str">
        <f>'Part I-Project Identification'!$A$6</f>
        <v>August 11, 2025</v>
      </c>
      <c r="D4" s="927" t="s">
        <v>75</v>
      </c>
      <c r="E4" s="180"/>
      <c r="F4" s="928" t="s">
        <v>3315</v>
      </c>
      <c r="N4" s="10" t="str">
        <f>A4</f>
        <v>I.  OPERATING ASSUMPTIONS</v>
      </c>
      <c r="O4" s="10"/>
      <c r="AA4" s="2499">
        <v>4</v>
      </c>
    </row>
    <row r="5" spans="1:27" ht="2.65" customHeight="1">
      <c r="C5" s="3703"/>
      <c r="AA5" s="2499">
        <v>5</v>
      </c>
    </row>
    <row r="6" spans="1:27" ht="13.5" customHeight="1">
      <c r="A6" s="6" t="s">
        <v>2026</v>
      </c>
      <c r="B6" s="58">
        <f>'DCA Underwriting Assumptions'!$Q$115</f>
        <v>0.02</v>
      </c>
      <c r="C6" s="3703"/>
      <c r="D6" s="3583" t="s">
        <v>3316</v>
      </c>
      <c r="E6" s="3583"/>
      <c r="F6" s="3583"/>
      <c r="G6" s="59">
        <v>5000</v>
      </c>
      <c r="H6" s="75" t="s">
        <v>1763</v>
      </c>
      <c r="K6" s="80">
        <f>IF(($B$15+$B$16+$B$17+$B$18)=0,"",B31/($B$15+$B$16+$B$17+$B$18))</f>
        <v>-3.252260494584356E-3</v>
      </c>
      <c r="N6" s="3579"/>
      <c r="O6" s="3581"/>
      <c r="AA6" s="2499">
        <v>6</v>
      </c>
    </row>
    <row r="7" spans="1:27">
      <c r="A7" s="6" t="s">
        <v>2027</v>
      </c>
      <c r="B7" s="58">
        <f>'DCA Underwriting Assumptions'!$Q$118</f>
        <v>0.03</v>
      </c>
      <c r="C7" s="3703"/>
      <c r="D7" s="3583"/>
      <c r="E7" s="3583"/>
      <c r="F7" s="3583"/>
      <c r="G7" s="929">
        <f>IF(OR('Part II-Sources of Funds'!E6="Yes",'Part II-Sources of Funds'!H6&gt;0),'DCA Underwriting Assumptions'!$Q$79,0)</f>
        <v>0</v>
      </c>
      <c r="N7" s="3575"/>
      <c r="O7" s="3577"/>
      <c r="AA7" s="2499">
        <v>7</v>
      </c>
    </row>
    <row r="8" spans="1:27">
      <c r="A8" s="6" t="s">
        <v>2029</v>
      </c>
      <c r="B8" s="58">
        <f>'DCA Underwriting Assumptions'!$Q$119</f>
        <v>0.03</v>
      </c>
      <c r="C8" s="3703"/>
      <c r="D8" s="1" t="s">
        <v>258</v>
      </c>
      <c r="G8" s="61"/>
      <c r="H8" s="75" t="s">
        <v>2185</v>
      </c>
      <c r="K8" s="80">
        <f>IF(($B$15+$B$16+$B$17+$B$18)=0,"",-B22/($B$15+$B$16+$B$17+$B$18))</f>
        <v>3.983889015446053E-2</v>
      </c>
      <c r="N8" s="3575"/>
      <c r="O8" s="3577"/>
      <c r="AA8" s="2499">
        <v>8</v>
      </c>
    </row>
    <row r="9" spans="1:27" ht="13.4" customHeight="1">
      <c r="A9" s="6" t="s">
        <v>2028</v>
      </c>
      <c r="B9" s="186">
        <v>7.0000000000000007E-2</v>
      </c>
      <c r="C9" s="1148" t="str">
        <f>IF(B9&lt;0.07, "Must be &gt;= 7%!","")</f>
        <v/>
      </c>
      <c r="D9" s="1" t="s">
        <v>2301</v>
      </c>
      <c r="G9" s="1162" t="s">
        <v>2642</v>
      </c>
      <c r="H9" s="140" t="s">
        <v>1353</v>
      </c>
      <c r="K9" s="1164">
        <v>61248</v>
      </c>
      <c r="N9" s="3575"/>
      <c r="O9" s="3577"/>
      <c r="AA9" s="2499">
        <v>9</v>
      </c>
    </row>
    <row r="10" spans="1:27">
      <c r="A10" s="6" t="s">
        <v>1334</v>
      </c>
      <c r="B10" s="58">
        <v>0.02</v>
      </c>
      <c r="D10" s="1" t="s">
        <v>1595</v>
      </c>
      <c r="G10" s="1163"/>
      <c r="H10" s="140" t="s">
        <v>2168</v>
      </c>
      <c r="K10" s="1165"/>
      <c r="N10" s="3572"/>
      <c r="O10" s="3574"/>
      <c r="AA10" s="2499">
        <v>10</v>
      </c>
    </row>
    <row r="11" spans="1:27" ht="9" customHeight="1">
      <c r="AA11" s="2499">
        <v>11</v>
      </c>
    </row>
    <row r="12" spans="1:27">
      <c r="A12" s="10" t="s">
        <v>86</v>
      </c>
      <c r="D12" s="848"/>
      <c r="N12" s="10" t="str">
        <f>A12</f>
        <v>II.  OPERATING PRO FORMA</v>
      </c>
      <c r="AA12" s="2499">
        <v>12</v>
      </c>
    </row>
    <row r="13" spans="1:27" ht="2.65" customHeight="1">
      <c r="AA13" s="2499">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76" t="s">
        <v>2404</v>
      </c>
      <c r="O14" s="3276"/>
      <c r="AA14" s="2499">
        <v>14</v>
      </c>
    </row>
    <row r="15" spans="1:27" ht="13.4" customHeight="1">
      <c r="A15" s="14" t="s">
        <v>2209</v>
      </c>
      <c r="B15" s="15">
        <f>'Part V-Revenues &amp; Expenses'!$M$59</f>
        <v>1620696</v>
      </c>
      <c r="C15" s="15">
        <f t="shared" ref="C15:K15" si="1">$B$15*(1+$B$6)^(C14-1)</f>
        <v>1653109.92</v>
      </c>
      <c r="D15" s="15">
        <f t="shared" si="1"/>
        <v>1686172.1184</v>
      </c>
      <c r="E15" s="15">
        <f t="shared" si="1"/>
        <v>1719895.5607679999</v>
      </c>
      <c r="F15" s="15">
        <f t="shared" si="1"/>
        <v>1754293.4719833599</v>
      </c>
      <c r="G15" s="15">
        <f t="shared" si="1"/>
        <v>1789379.3414230272</v>
      </c>
      <c r="H15" s="15">
        <f t="shared" si="1"/>
        <v>1825166.9282514879</v>
      </c>
      <c r="I15" s="15">
        <f t="shared" si="1"/>
        <v>1861670.2668165171</v>
      </c>
      <c r="J15" s="15">
        <f t="shared" si="1"/>
        <v>1898903.6721528478</v>
      </c>
      <c r="K15" s="16">
        <f t="shared" si="1"/>
        <v>1936881.7455959048</v>
      </c>
      <c r="N15" s="3579"/>
      <c r="O15" s="3581"/>
      <c r="S15" s="3704" t="s">
        <v>3321</v>
      </c>
      <c r="Z15" s="2498" t="s">
        <v>4354</v>
      </c>
      <c r="AA15" s="2499">
        <v>15</v>
      </c>
    </row>
    <row r="16" spans="1:27" ht="13.4" customHeight="1">
      <c r="A16" s="17" t="s">
        <v>951</v>
      </c>
      <c r="B16" s="18">
        <f>MIN(B15*B10,'Part V-Revenues &amp; Expenses'!$H$201)</f>
        <v>32413.920000000002</v>
      </c>
      <c r="C16" s="18">
        <f t="shared" ref="C16:K16" si="2">$B$16*(1+$B$6)^(C14-1)</f>
        <v>33062.198400000001</v>
      </c>
      <c r="D16" s="18">
        <f t="shared" si="2"/>
        <v>33723.442368000004</v>
      </c>
      <c r="E16" s="18">
        <f t="shared" si="2"/>
        <v>34397.91121536</v>
      </c>
      <c r="F16" s="18">
        <f t="shared" si="2"/>
        <v>35085.8694396672</v>
      </c>
      <c r="G16" s="18">
        <f t="shared" si="2"/>
        <v>35787.586828460546</v>
      </c>
      <c r="H16" s="18">
        <f t="shared" si="2"/>
        <v>36503.338565029757</v>
      </c>
      <c r="I16" s="18">
        <f t="shared" si="2"/>
        <v>37233.405336330346</v>
      </c>
      <c r="J16" s="18">
        <f t="shared" si="2"/>
        <v>37978.073443056957</v>
      </c>
      <c r="K16" s="19">
        <f t="shared" si="2"/>
        <v>38737.634911918096</v>
      </c>
      <c r="N16" s="3575"/>
      <c r="O16" s="3577"/>
      <c r="S16" s="3705"/>
      <c r="Z16" s="2498" t="s">
        <v>4354</v>
      </c>
      <c r="AA16" s="2499">
        <v>16</v>
      </c>
    </row>
    <row r="17" spans="1:27" ht="13.4" customHeight="1">
      <c r="A17" s="17" t="s">
        <v>2210</v>
      </c>
      <c r="B17" s="18">
        <f t="shared" ref="B17:K17" si="3">-(B15+B16)*$B$9</f>
        <v>-115717.69440000001</v>
      </c>
      <c r="C17" s="18">
        <f t="shared" si="3"/>
        <v>-118032.04828800002</v>
      </c>
      <c r="D17" s="18">
        <f t="shared" si="3"/>
        <v>-120392.68925376002</v>
      </c>
      <c r="E17" s="18">
        <f t="shared" si="3"/>
        <v>-122800.54303883521</v>
      </c>
      <c r="F17" s="18">
        <f t="shared" si="3"/>
        <v>-125256.5538996119</v>
      </c>
      <c r="G17" s="18">
        <f t="shared" si="3"/>
        <v>-127761.68497760415</v>
      </c>
      <c r="H17" s="18">
        <f t="shared" si="3"/>
        <v>-130316.91867715624</v>
      </c>
      <c r="I17" s="18">
        <f t="shared" si="3"/>
        <v>-132923.25705069935</v>
      </c>
      <c r="J17" s="18">
        <f t="shared" si="3"/>
        <v>-135581.72219171334</v>
      </c>
      <c r="K17" s="19">
        <f t="shared" si="3"/>
        <v>-138293.35663554762</v>
      </c>
      <c r="N17" s="3575"/>
      <c r="O17" s="3577"/>
      <c r="Q17" s="3707" t="s">
        <v>3215</v>
      </c>
      <c r="R17" s="3707" t="s">
        <v>3320</v>
      </c>
      <c r="S17" s="3705"/>
      <c r="Z17" s="2498" t="s">
        <v>4354</v>
      </c>
      <c r="AA17" s="2499">
        <v>17</v>
      </c>
    </row>
    <row r="18" spans="1:27" ht="13.4"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575"/>
      <c r="O18" s="3577"/>
      <c r="Q18" s="3707"/>
      <c r="R18" s="3707"/>
      <c r="S18" s="3706"/>
      <c r="Z18" s="2498" t="s">
        <v>4354</v>
      </c>
      <c r="AA18" s="2499">
        <v>18</v>
      </c>
    </row>
    <row r="19" spans="1:27" ht="13.4"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575"/>
      <c r="O19" s="3577"/>
      <c r="Z19" s="2498" t="s">
        <v>4354</v>
      </c>
      <c r="AA19" s="2499">
        <v>19</v>
      </c>
    </row>
    <row r="20" spans="1:27" ht="13.4" customHeight="1">
      <c r="A20" s="340" t="s">
        <v>3714</v>
      </c>
      <c r="B20" s="18">
        <f>SUM(B15:B19)</f>
        <v>1537392.2256</v>
      </c>
      <c r="C20" s="18">
        <f t="shared" ref="C20:K20" si="4">SUM(C15:C19)</f>
        <v>1568140.070112</v>
      </c>
      <c r="D20" s="18">
        <f t="shared" si="4"/>
        <v>1599502.87151424</v>
      </c>
      <c r="E20" s="18">
        <f t="shared" si="4"/>
        <v>1631492.9289445246</v>
      </c>
      <c r="F20" s="18">
        <f t="shared" si="4"/>
        <v>1664122.7875234152</v>
      </c>
      <c r="G20" s="18">
        <f t="shared" si="4"/>
        <v>1697405.2432738836</v>
      </c>
      <c r="H20" s="18">
        <f t="shared" si="4"/>
        <v>1731353.3481393612</v>
      </c>
      <c r="I20" s="18">
        <f t="shared" si="4"/>
        <v>1765980.4151021482</v>
      </c>
      <c r="J20" s="18">
        <f t="shared" si="4"/>
        <v>1801300.0234041915</v>
      </c>
      <c r="K20" s="19">
        <f t="shared" si="4"/>
        <v>1837326.0238722751</v>
      </c>
      <c r="N20" s="3575"/>
      <c r="O20" s="3577"/>
      <c r="Z20" s="2498" t="s">
        <v>4354</v>
      </c>
      <c r="AA20" s="2499">
        <v>20</v>
      </c>
    </row>
    <row r="21" spans="1:27" ht="13.4" customHeight="1">
      <c r="A21" s="17" t="s">
        <v>571</v>
      </c>
      <c r="B21" s="18">
        <f>-('Part V-Revenues &amp; Expenses'!$Q$250-'Part V-Revenues &amp; Expenses'!$Q$242)</f>
        <v>-825746</v>
      </c>
      <c r="C21" s="18">
        <f t="shared" ref="C21:K21" si="5">$B$21*(1+$B$7)^(C14-1)</f>
        <v>-850518.38</v>
      </c>
      <c r="D21" s="18">
        <f t="shared" si="5"/>
        <v>-876033.9314</v>
      </c>
      <c r="E21" s="18">
        <f t="shared" si="5"/>
        <v>-902314.94934199995</v>
      </c>
      <c r="F21" s="18">
        <f t="shared" si="5"/>
        <v>-929384.39782225993</v>
      </c>
      <c r="G21" s="18">
        <f t="shared" si="5"/>
        <v>-957265.92975692765</v>
      </c>
      <c r="H21" s="18">
        <f t="shared" si="5"/>
        <v>-985983.90764963557</v>
      </c>
      <c r="I21" s="18">
        <f t="shared" si="5"/>
        <v>-1015563.4248791247</v>
      </c>
      <c r="J21" s="18">
        <f t="shared" si="5"/>
        <v>-1046030.3276254983</v>
      </c>
      <c r="K21" s="19">
        <f t="shared" si="5"/>
        <v>-1077411.2374542633</v>
      </c>
      <c r="N21" s="3575"/>
      <c r="O21" s="3577"/>
      <c r="Q21" s="47">
        <v>1</v>
      </c>
      <c r="R21" s="852">
        <f>-B32</f>
        <v>115793.2706420811</v>
      </c>
      <c r="S21" s="852">
        <f>B33+R21</f>
        <v>115793.2706420811</v>
      </c>
      <c r="Z21" s="2498" t="s">
        <v>4354</v>
      </c>
      <c r="AA21" s="2499">
        <v>21</v>
      </c>
    </row>
    <row r="22" spans="1:27" ht="13.4" customHeight="1">
      <c r="A22" s="17" t="s">
        <v>1049</v>
      </c>
      <c r="B22" s="18">
        <f>IF(AND('Part VI-Pro Forma'!$G$9="Yes",'Part VI-Pro Forma'!$G$10="Yes"),"Choose One!",IF('Part VI-Pro Forma'!$G$9="Yes",ROUND((-$K$9*(1+'Part VI-Pro Forma'!$B$7)^('Part VI-Pro Forma'!B14-1)),),IF('Part VI-Pro Forma'!$G$10="Yes",ROUND((-(SUM(B15:B18)*'Part VI-Pro Forma'!$K$10)),),"Choose mgt fee")))</f>
        <v>-61248</v>
      </c>
      <c r="C22" s="18">
        <f>IF(AND('Part VI-Pro Forma'!$G$9="Yes",'Part VI-Pro Forma'!$G$10="Yes"),"Choose One!",IF('Part VI-Pro Forma'!$G$9="Yes",ROUND((-$K$9*(1+'Part VI-Pro Forma'!$B$7)^('Part VI-Pro Forma'!C14-1)),),IF('Part VI-Pro Forma'!$G$10="Yes",ROUND((-(SUM(C15:C18)*'Part VI-Pro Forma'!$K$10)),),"Choose mgt fee")))</f>
        <v>-63085</v>
      </c>
      <c r="D22" s="18">
        <f>IF(AND('Part VI-Pro Forma'!$G$9="Yes",'Part VI-Pro Forma'!$G$10="Yes"),"Choose One!",IF('Part VI-Pro Forma'!$G$9="Yes",ROUND((-$K$9*(1+'Part VI-Pro Forma'!$B$7)^('Part VI-Pro Forma'!D14-1)),),IF('Part VI-Pro Forma'!$G$10="Yes",ROUND((-(SUM(D15:D18)*'Part VI-Pro Forma'!$K$10)),),"Choose mgt fee")))</f>
        <v>-64978</v>
      </c>
      <c r="E22" s="18">
        <f>IF(AND('Part VI-Pro Forma'!$G$9="Yes",'Part VI-Pro Forma'!$G$10="Yes"),"Choose One!",IF('Part VI-Pro Forma'!$G$9="Yes",ROUND((-$K$9*(1+'Part VI-Pro Forma'!$B$7)^('Part VI-Pro Forma'!E14-1)),),IF('Part VI-Pro Forma'!$G$10="Yes",ROUND((-(SUM(E15:E18)*'Part VI-Pro Forma'!$K$10)),),"Choose mgt fee")))</f>
        <v>-66927</v>
      </c>
      <c r="F22" s="18">
        <f>IF(AND('Part VI-Pro Forma'!$G$9="Yes",'Part VI-Pro Forma'!$G$10="Yes"),"Choose One!",IF('Part VI-Pro Forma'!$G$9="Yes",ROUND((-$K$9*(1+'Part VI-Pro Forma'!$B$7)^('Part VI-Pro Forma'!F14-1)),),IF('Part VI-Pro Forma'!$G$10="Yes",ROUND((-(SUM(F15:F18)*'Part VI-Pro Forma'!$K$10)),),"Choose mgt fee")))</f>
        <v>-68935</v>
      </c>
      <c r="G22" s="18">
        <f>IF(AND('Part VI-Pro Forma'!$G$9="Yes",'Part VI-Pro Forma'!$G$10="Yes"),"Choose One!",IF('Part VI-Pro Forma'!$G$9="Yes",ROUND((-$K$9*(1+'Part VI-Pro Forma'!$B$7)^('Part VI-Pro Forma'!G14-1)),),IF('Part VI-Pro Forma'!$G$10="Yes",ROUND((-(SUM(G15:G18)*'Part VI-Pro Forma'!$K$10)),),"Choose mgt fee")))</f>
        <v>-71003</v>
      </c>
      <c r="H22" s="18">
        <f>IF(AND('Part VI-Pro Forma'!$G$9="Yes",'Part VI-Pro Forma'!$G$10="Yes"),"Choose One!",IF('Part VI-Pro Forma'!$G$9="Yes",ROUND((-$K$9*(1+'Part VI-Pro Forma'!$B$7)^('Part VI-Pro Forma'!H14-1)),),IF('Part VI-Pro Forma'!$G$10="Yes",ROUND((-(SUM(H15:H18)*'Part VI-Pro Forma'!$K$10)),),"Choose mgt fee")))</f>
        <v>-73133</v>
      </c>
      <c r="I22" s="18">
        <f>IF(AND('Part VI-Pro Forma'!$G$9="Yes",'Part VI-Pro Forma'!$G$10="Yes"),"Choose One!",IF('Part VI-Pro Forma'!$G$9="Yes",ROUND((-$K$9*(1+'Part VI-Pro Forma'!$B$7)^('Part VI-Pro Forma'!I14-1)),),IF('Part VI-Pro Forma'!$G$10="Yes",ROUND((-(SUM(I15:I18)*'Part VI-Pro Forma'!$K$10)),),"Choose mgt fee")))</f>
        <v>-75327</v>
      </c>
      <c r="J22" s="18">
        <f>IF(AND('Part VI-Pro Forma'!$G$9="Yes",'Part VI-Pro Forma'!$G$10="Yes"),"Choose One!",IF('Part VI-Pro Forma'!$G$9="Yes",ROUND((-$K$9*(1+'Part VI-Pro Forma'!$B$7)^('Part VI-Pro Forma'!J14-1)),),IF('Part VI-Pro Forma'!$G$10="Yes",ROUND((-(SUM(J15:J18)*'Part VI-Pro Forma'!$K$10)),),"Choose mgt fee")))</f>
        <v>-77587</v>
      </c>
      <c r="K22" s="19">
        <f>IF(AND('Part VI-Pro Forma'!$G$9="Yes",'Part VI-Pro Forma'!$G$10="Yes"),"Choose One!",IF('Part VI-Pro Forma'!$G$9="Yes",ROUND((-$K$9*(1+'Part VI-Pro Forma'!$B$7)^('Part VI-Pro Forma'!K14-1)),),IF('Part VI-Pro Forma'!$G$10="Yes",ROUND((-(SUM(K15:K18)*'Part VI-Pro Forma'!$K$10)),),"Choose mgt fee")))</f>
        <v>-79915</v>
      </c>
      <c r="N22" s="3575"/>
      <c r="O22" s="3577"/>
      <c r="Q22" s="47">
        <v>2</v>
      </c>
      <c r="R22" s="852">
        <f>-SUM(B32:C32)</f>
        <v>234175.80579616223</v>
      </c>
      <c r="S22" s="852">
        <f>SUM(B33:C33)+R22</f>
        <v>234175.80579616223</v>
      </c>
      <c r="Z22" s="2498" t="s">
        <v>4354</v>
      </c>
      <c r="AA22" s="2499">
        <v>22</v>
      </c>
    </row>
    <row r="23" spans="1:27" ht="13.4" customHeight="1">
      <c r="A23" s="17" t="s">
        <v>1127</v>
      </c>
      <c r="B23" s="18">
        <f>-('Part V-Revenues &amp; Expenses'!$Q$256)</f>
        <v>-46640</v>
      </c>
      <c r="C23" s="18">
        <f t="shared" ref="C23:K23" si="6">$B$23*(1+$B$8)^(C14-1)</f>
        <v>-48039.200000000004</v>
      </c>
      <c r="D23" s="18">
        <f t="shared" si="6"/>
        <v>-49480.375999999997</v>
      </c>
      <c r="E23" s="18">
        <f t="shared" si="6"/>
        <v>-50964.787279999997</v>
      </c>
      <c r="F23" s="18">
        <f t="shared" si="6"/>
        <v>-52493.730898399997</v>
      </c>
      <c r="G23" s="18">
        <f t="shared" si="6"/>
        <v>-54068.542825351993</v>
      </c>
      <c r="H23" s="18">
        <f t="shared" si="6"/>
        <v>-55690.599110112555</v>
      </c>
      <c r="I23" s="18">
        <f t="shared" si="6"/>
        <v>-57361.317083415939</v>
      </c>
      <c r="J23" s="18">
        <f t="shared" si="6"/>
        <v>-59082.156595918408</v>
      </c>
      <c r="K23" s="19">
        <f t="shared" si="6"/>
        <v>-60854.621293795964</v>
      </c>
      <c r="N23" s="3575"/>
      <c r="O23" s="3577"/>
      <c r="Q23" s="47">
        <v>3</v>
      </c>
      <c r="R23" s="852">
        <f>-SUM(B32:D32)</f>
        <v>354916.91495248332</v>
      </c>
      <c r="S23" s="852">
        <f>SUM(B33:D33)+R23</f>
        <v>354916.91495248332</v>
      </c>
      <c r="Z23" s="2498" t="s">
        <v>4354</v>
      </c>
      <c r="AA23" s="2499">
        <v>23</v>
      </c>
    </row>
    <row r="24" spans="1:27" ht="13.4" customHeight="1">
      <c r="A24" s="340" t="s">
        <v>3713</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575"/>
      <c r="O24" s="3577"/>
      <c r="Q24" s="92">
        <v>4</v>
      </c>
      <c r="R24" s="852">
        <f>-SUM(B32:E32)</f>
        <v>477774.51731708902</v>
      </c>
      <c r="S24" s="852">
        <f>SUM(B33:E33)+R24</f>
        <v>477774.51731708902</v>
      </c>
      <c r="Z24" s="2498" t="s">
        <v>4354</v>
      </c>
      <c r="AA24" s="2499">
        <v>24</v>
      </c>
    </row>
    <row r="25" spans="1:27" ht="13.4" customHeight="1">
      <c r="A25" s="17" t="s">
        <v>1128</v>
      </c>
      <c r="B25" s="18">
        <f>SUM(B20:B24)</f>
        <v>603758.22560000001</v>
      </c>
      <c r="C25" s="18">
        <f t="shared" ref="C25:J25" si="7">SUM(C20:C24)</f>
        <v>606497.49011200003</v>
      </c>
      <c r="D25" s="18">
        <f t="shared" si="7"/>
        <v>609010.56411424</v>
      </c>
      <c r="E25" s="18">
        <f t="shared" si="7"/>
        <v>611286.19232252461</v>
      </c>
      <c r="F25" s="18">
        <f t="shared" si="7"/>
        <v>613309.65880275529</v>
      </c>
      <c r="G25" s="18">
        <f t="shared" si="7"/>
        <v>615067.77069160389</v>
      </c>
      <c r="H25" s="18">
        <f t="shared" si="7"/>
        <v>616545.84137961315</v>
      </c>
      <c r="I25" s="18">
        <f t="shared" si="7"/>
        <v>617728.67313960753</v>
      </c>
      <c r="J25" s="18">
        <f t="shared" si="7"/>
        <v>618600.53918277472</v>
      </c>
      <c r="K25" s="1150">
        <f>SUM(K20:K24)</f>
        <v>619145.16512421588</v>
      </c>
      <c r="N25" s="3575"/>
      <c r="O25" s="3577"/>
      <c r="Q25" s="92">
        <v>5</v>
      </c>
      <c r="R25" s="852">
        <f>-SUM(B32:F32)</f>
        <v>602491.67711192544</v>
      </c>
      <c r="S25" s="852">
        <f>SUM(B33:F33)+R25</f>
        <v>602491.67711192544</v>
      </c>
      <c r="Z25" s="2498" t="s">
        <v>4354</v>
      </c>
      <c r="AA25" s="2499">
        <v>25</v>
      </c>
    </row>
    <row r="26" spans="1:27" ht="13.4" customHeight="1">
      <c r="A26" s="340" t="s">
        <v>1484</v>
      </c>
      <c r="B26" s="341">
        <f>IF('Part II-Sources of Funds'!$P$42="", 0,-'Part II-Sources of Funds'!$P$42)</f>
        <v>-482964.9549579189</v>
      </c>
      <c r="C26" s="341">
        <f>IF('Part II-Sources of Funds'!$P$42="", 0,-'Part II-Sources of Funds'!$P$42)</f>
        <v>-482964.9549579189</v>
      </c>
      <c r="D26" s="341">
        <f>IF('Part II-Sources of Funds'!$P$42="", 0,-'Part II-Sources of Funds'!$P$42)</f>
        <v>-482964.9549579189</v>
      </c>
      <c r="E26" s="341">
        <f>IF('Part II-Sources of Funds'!$P$42="", 0,-'Part II-Sources of Funds'!$P$42)</f>
        <v>-482964.9549579189</v>
      </c>
      <c r="F26" s="341">
        <f>IF('Part II-Sources of Funds'!$P$42="", 0,-'Part II-Sources of Funds'!$P$42)</f>
        <v>-482964.9549579189</v>
      </c>
      <c r="G26" s="341">
        <f>IF('Part II-Sources of Funds'!$P$42="", 0,-'Part II-Sources of Funds'!$P$42)</f>
        <v>-482964.9549579189</v>
      </c>
      <c r="H26" s="341">
        <f>IF('Part II-Sources of Funds'!$P$42="", 0,-'Part II-Sources of Funds'!$P$42)</f>
        <v>-482964.9549579189</v>
      </c>
      <c r="I26" s="341">
        <f>IF('Part II-Sources of Funds'!$P$42="", 0,-'Part II-Sources of Funds'!$P$42)</f>
        <v>-482964.9549579189</v>
      </c>
      <c r="J26" s="341">
        <f>IF('Part II-Sources of Funds'!$P$42="", 0,-'Part II-Sources of Funds'!$P$42)</f>
        <v>-482964.9549579189</v>
      </c>
      <c r="K26" s="341">
        <f>IF('Part II-Sources of Funds'!$P$42="", 0,-'Part II-Sources of Funds'!$P$42)</f>
        <v>-482964.9549579189</v>
      </c>
      <c r="N26" s="3575"/>
      <c r="O26" s="3577"/>
      <c r="Q26" s="92">
        <v>6</v>
      </c>
      <c r="R26" s="852">
        <f>-SUM(B32:G32)</f>
        <v>728798.12247411045</v>
      </c>
      <c r="S26" s="852">
        <f>SUM(B33:G33)+R26</f>
        <v>728798.12247411045</v>
      </c>
      <c r="Z26" s="2498" t="s">
        <v>4354</v>
      </c>
      <c r="AA26" s="2499">
        <v>26</v>
      </c>
    </row>
    <row r="27" spans="1:27" ht="13.4" customHeight="1">
      <c r="A27" s="340" t="s">
        <v>1485</v>
      </c>
      <c r="B27" s="178">
        <f>IF('Part II-Sources of Funds'!$P$43="", 0,-'Part II-Sources of Funds'!$P$43)</f>
        <v>0</v>
      </c>
      <c r="C27" s="178">
        <f>IF('Part II-Sources of Funds'!$P$43="", 0,-'Part II-Sources of Funds'!$P$43)</f>
        <v>0</v>
      </c>
      <c r="D27" s="178">
        <f>IF('Part II-Sources of Funds'!$P$43="", 0,-'Part II-Sources of Funds'!$P$43)</f>
        <v>0</v>
      </c>
      <c r="E27" s="178">
        <f>IF('Part II-Sources of Funds'!$P$43="", 0,-'Part II-Sources of Funds'!$P$43)</f>
        <v>0</v>
      </c>
      <c r="F27" s="3026">
        <f>IF('Part II-Sources of Funds'!$P$43="", 0,-'Part II-Sources of Funds'!$P$43)</f>
        <v>0</v>
      </c>
      <c r="G27" s="178">
        <f>IF('Part II-Sources of Funds'!$P$43="", 0,-'Part II-Sources of Funds'!$P$43)</f>
        <v>0</v>
      </c>
      <c r="H27" s="178">
        <f>IF('Part II-Sources of Funds'!$P$43="", 0,-'Part II-Sources of Funds'!$P$43)</f>
        <v>0</v>
      </c>
      <c r="I27" s="178">
        <f>IF('Part II-Sources of Funds'!$P$43="", 0,-'Part II-Sources of Funds'!$P$43)</f>
        <v>0</v>
      </c>
      <c r="J27" s="178">
        <f>-((J25/1.25)+J26)</f>
        <v>-11915.476388300885</v>
      </c>
      <c r="K27" s="178">
        <f>-((K25/1.25)+K26)</f>
        <v>-12351.17714145378</v>
      </c>
      <c r="N27" s="3575"/>
      <c r="O27" s="3577"/>
      <c r="Q27" s="92">
        <v>7</v>
      </c>
      <c r="R27" s="852">
        <f>-SUM(B32:H32)</f>
        <v>856408.7474131597</v>
      </c>
      <c r="S27" s="852">
        <f>SUM(B33:H33)+R27</f>
        <v>856408.7474131597</v>
      </c>
      <c r="Z27" s="2498" t="s">
        <v>4354</v>
      </c>
      <c r="AA27" s="2499">
        <v>27</v>
      </c>
    </row>
    <row r="28" spans="1:27" ht="13.4"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575"/>
      <c r="O28" s="3577"/>
      <c r="Q28" s="92">
        <v>8</v>
      </c>
      <c r="R28" s="852">
        <f>-SUM(B32:I32)</f>
        <v>985023.09626772394</v>
      </c>
      <c r="S28" s="852">
        <f>SUM(B33:I33)+R28</f>
        <v>985023.09626772394</v>
      </c>
      <c r="Z28" s="2498" t="s">
        <v>4354</v>
      </c>
      <c r="AA28" s="2499">
        <v>28</v>
      </c>
    </row>
    <row r="29" spans="1:27" ht="13.4" customHeight="1">
      <c r="A29" s="340" t="s">
        <v>3201</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575"/>
      <c r="O29" s="3577"/>
      <c r="Q29" s="92">
        <v>9</v>
      </c>
      <c r="R29" s="852">
        <f>-SUM(B32:J32)</f>
        <v>1007085.5540469006</v>
      </c>
      <c r="S29" s="852">
        <f>SUM(B33:J33)+R29</f>
        <v>1102409.3536973407</v>
      </c>
      <c r="Z29" s="2498" t="s">
        <v>4354</v>
      </c>
      <c r="AA29" s="2499">
        <v>29</v>
      </c>
    </row>
    <row r="30" spans="1:27" ht="13.4" customHeight="1">
      <c r="A30" s="17" t="s">
        <v>710</v>
      </c>
      <c r="B30" s="138"/>
      <c r="C30" s="138"/>
      <c r="D30" s="138"/>
      <c r="E30" s="138"/>
      <c r="F30" s="138"/>
      <c r="G30" s="138"/>
      <c r="H30" s="138"/>
      <c r="I30" s="138"/>
      <c r="J30" s="138"/>
      <c r="K30" s="138"/>
      <c r="N30" s="3575"/>
      <c r="O30" s="3577"/>
      <c r="Q30" s="92">
        <v>10</v>
      </c>
      <c r="R30" s="852">
        <f>-SUM(B32:K32)</f>
        <v>1007085.5540469006</v>
      </c>
      <c r="S30" s="852">
        <f>SUM(B33:K33)+R30</f>
        <v>1219714.5208030378</v>
      </c>
      <c r="Z30" s="2498" t="s">
        <v>4354</v>
      </c>
      <c r="AA30" s="2499">
        <v>30</v>
      </c>
    </row>
    <row r="31" spans="1:27" ht="13.4" customHeight="1">
      <c r="A31" s="340" t="s">
        <v>1094</v>
      </c>
      <c r="B31" s="890">
        <f>-$G$6</f>
        <v>-5000</v>
      </c>
      <c r="C31" s="890">
        <f>+B31*1.03</f>
        <v>-5150</v>
      </c>
      <c r="D31" s="890">
        <f t="shared" ref="D31:K31" si="8">+C31*1.03</f>
        <v>-5304.5</v>
      </c>
      <c r="E31" s="890">
        <f t="shared" si="8"/>
        <v>-5463.6350000000002</v>
      </c>
      <c r="F31" s="890">
        <f t="shared" si="8"/>
        <v>-5627.5440500000004</v>
      </c>
      <c r="G31" s="890">
        <f t="shared" si="8"/>
        <v>-5796.3703715000001</v>
      </c>
      <c r="H31" s="890">
        <f t="shared" si="8"/>
        <v>-5970.2614826449999</v>
      </c>
      <c r="I31" s="890">
        <f t="shared" si="8"/>
        <v>-6149.3693271243501</v>
      </c>
      <c r="J31" s="890">
        <f t="shared" si="8"/>
        <v>-6333.8504069380806</v>
      </c>
      <c r="K31" s="890">
        <f t="shared" si="8"/>
        <v>-6523.865919146223</v>
      </c>
      <c r="N31" s="3575"/>
      <c r="O31" s="3577"/>
      <c r="Q31" s="92">
        <v>11</v>
      </c>
      <c r="R31" s="852">
        <f>-SUM(B32:K32)-B64</f>
        <v>1007085.5540469006</v>
      </c>
      <c r="S31" s="852">
        <f>SUM(B33:K33)+B65+R31</f>
        <v>1337059.9968517355</v>
      </c>
      <c r="Z31" s="2498" t="s">
        <v>4354</v>
      </c>
      <c r="AA31" s="2499">
        <v>31</v>
      </c>
    </row>
    <row r="32" spans="1:27" ht="13.4" customHeight="1">
      <c r="A32" s="340" t="s">
        <v>3274</v>
      </c>
      <c r="B32" s="179">
        <f>-B25-B26-B31</f>
        <v>-115793.2706420811</v>
      </c>
      <c r="C32" s="179">
        <f>-C25-C26-C31</f>
        <v>-118382.53515408112</v>
      </c>
      <c r="D32" s="179">
        <f t="shared" ref="D32:G32" si="9">-D25-D26-D31</f>
        <v>-120741.10915632109</v>
      </c>
      <c r="E32" s="179">
        <f t="shared" si="9"/>
        <v>-122857.60236460571</v>
      </c>
      <c r="F32" s="179">
        <f t="shared" si="9"/>
        <v>-124717.15979483639</v>
      </c>
      <c r="G32" s="179">
        <f t="shared" si="9"/>
        <v>-126306.44536218498</v>
      </c>
      <c r="H32" s="179">
        <f>-H25-H26-H31</f>
        <v>-127610.62493904924</v>
      </c>
      <c r="I32" s="179">
        <f t="shared" ref="I32" si="10">-I25-I26-I31</f>
        <v>-128614.34885456428</v>
      </c>
      <c r="J32" s="179">
        <f>-I44-814</f>
        <v>-22062.457779176679</v>
      </c>
      <c r="K32" s="179">
        <f>IF('Part II-Sources of Funds'!$P$47="", 0,-'Part II-Sources of Funds'!$P$47)</f>
        <v>0</v>
      </c>
      <c r="N32" s="3575"/>
      <c r="O32" s="3577"/>
      <c r="Q32" s="92">
        <v>12</v>
      </c>
      <c r="R32" s="852">
        <f>-SUM(B32:K32) - SUM(B64:C64)</f>
        <v>1007085.5540469006</v>
      </c>
      <c r="S32" s="852">
        <f>SUM(B33:K33) + SUM(B65:C65)+R32</f>
        <v>1454177.5640931944</v>
      </c>
      <c r="Z32" s="2498" t="s">
        <v>4354</v>
      </c>
      <c r="AA32" s="2499">
        <v>32</v>
      </c>
    </row>
    <row r="33" spans="1:27" ht="13.4" customHeight="1">
      <c r="A33" s="17" t="s">
        <v>1095</v>
      </c>
      <c r="B33" s="18">
        <f t="shared" ref="B33:K33" si="11">SUM(B25:B32)</f>
        <v>0</v>
      </c>
      <c r="C33" s="18">
        <f t="shared" si="11"/>
        <v>0</v>
      </c>
      <c r="D33" s="18">
        <f t="shared" si="11"/>
        <v>0</v>
      </c>
      <c r="E33" s="18">
        <f t="shared" si="11"/>
        <v>0</v>
      </c>
      <c r="F33" s="18">
        <f t="shared" si="11"/>
        <v>0</v>
      </c>
      <c r="G33" s="18">
        <f t="shared" si="11"/>
        <v>0</v>
      </c>
      <c r="H33" s="18">
        <f t="shared" si="11"/>
        <v>0</v>
      </c>
      <c r="I33" s="18">
        <f t="shared" si="11"/>
        <v>0</v>
      </c>
      <c r="J33" s="18">
        <f t="shared" si="11"/>
        <v>95323.799650440167</v>
      </c>
      <c r="K33" s="19">
        <f t="shared" si="11"/>
        <v>117305.16710569698</v>
      </c>
      <c r="N33" s="3575"/>
      <c r="O33" s="3577"/>
      <c r="Q33" s="92">
        <v>13</v>
      </c>
      <c r="R33" s="852">
        <f>-SUM(B32:K32) - SUM(B64:D64)</f>
        <v>1007085.5540469006</v>
      </c>
      <c r="S33" s="852">
        <f>SUM(B33:K33) + SUM(B65:D65)+R33</f>
        <v>1570985.6423614239</v>
      </c>
      <c r="Z33" s="2498" t="s">
        <v>4354</v>
      </c>
      <c r="AA33" s="2499">
        <v>33</v>
      </c>
    </row>
    <row r="34" spans="1:27" ht="13.4" customHeight="1">
      <c r="A34" s="17" t="str">
        <f>IF('Part II-Sources of Funds'!$E$42 = "Neither", "", "DCR Mortgage A")</f>
        <v>DCR Mortgage A</v>
      </c>
      <c r="B34" s="20">
        <f t="shared" ref="B34:K34" si="12">IF(B26=0,"",-B25/B26)</f>
        <v>1.2501077343233029</v>
      </c>
      <c r="C34" s="20">
        <f t="shared" si="12"/>
        <v>1.2557795009471124</v>
      </c>
      <c r="D34" s="20">
        <f t="shared" si="12"/>
        <v>1.2609829302569242</v>
      </c>
      <c r="E34" s="20">
        <f t="shared" si="12"/>
        <v>1.2656947176960003</v>
      </c>
      <c r="F34" s="20">
        <f t="shared" si="12"/>
        <v>1.2698843932810682</v>
      </c>
      <c r="G34" s="20">
        <f t="shared" si="12"/>
        <v>1.2735246406133034</v>
      </c>
      <c r="H34" s="20">
        <f t="shared" si="12"/>
        <v>1.2765850504273819</v>
      </c>
      <c r="I34" s="20">
        <f t="shared" si="12"/>
        <v>1.2790341551664566</v>
      </c>
      <c r="J34" s="20">
        <f t="shared" si="12"/>
        <v>1.2808393918284895</v>
      </c>
      <c r="K34" s="21">
        <f t="shared" si="12"/>
        <v>1.2819670635898675</v>
      </c>
      <c r="N34" s="3575"/>
      <c r="O34" s="3577"/>
      <c r="Q34" s="92">
        <v>14</v>
      </c>
      <c r="R34" s="852">
        <f>-SUM(B32:K32) - SUM(B64:E64)</f>
        <v>1007085.5540469006</v>
      </c>
      <c r="S34" s="852">
        <f>SUM(B33:K33) + SUM(B65:E65)+R34</f>
        <v>1687398.3428274174</v>
      </c>
      <c r="Z34" s="2498" t="s">
        <v>4354</v>
      </c>
      <c r="AA34" s="2499">
        <v>34</v>
      </c>
    </row>
    <row r="35" spans="1:27" ht="13.4" customHeight="1">
      <c r="A35" s="17" t="str">
        <f>IF('Part II-Sources of Funds'!$E$42 = "Neither", "", "DCR Mortgage B")</f>
        <v>DCR Mortgage B</v>
      </c>
      <c r="B35" s="20" t="str">
        <f t="shared" ref="B35:K35" si="13">IF(B27=0,"",-(B25+B26)/B27)</f>
        <v/>
      </c>
      <c r="C35" s="20" t="str">
        <f t="shared" si="13"/>
        <v/>
      </c>
      <c r="D35" s="20" t="str">
        <f t="shared" si="13"/>
        <v/>
      </c>
      <c r="E35" s="20" t="str">
        <f t="shared" si="13"/>
        <v/>
      </c>
      <c r="F35" s="20" t="str">
        <f t="shared" si="13"/>
        <v/>
      </c>
      <c r="G35" s="20" t="str">
        <f t="shared" si="13"/>
        <v/>
      </c>
      <c r="H35" s="20" t="str">
        <f t="shared" si="13"/>
        <v/>
      </c>
      <c r="I35" s="20" t="str">
        <f t="shared" si="13"/>
        <v/>
      </c>
      <c r="J35" s="20">
        <f t="shared" si="13"/>
        <v>11.383144056080589</v>
      </c>
      <c r="K35" s="21">
        <f t="shared" si="13"/>
        <v>11.025686750879849</v>
      </c>
      <c r="N35" s="3575"/>
      <c r="O35" s="3577"/>
      <c r="Q35" s="92">
        <v>15</v>
      </c>
      <c r="R35" s="852">
        <f>-SUM(B32:K32) - SUM(B64:F64)</f>
        <v>1007085.5540469006</v>
      </c>
      <c r="S35" s="852">
        <f>SUM(B33:K33) + SUM(B65:F65)+R35</f>
        <v>1803325.9327541026</v>
      </c>
      <c r="Z35" s="2498" t="s">
        <v>4354</v>
      </c>
      <c r="AA35" s="2499">
        <v>35</v>
      </c>
    </row>
    <row r="36" spans="1:27" ht="13.4" customHeight="1">
      <c r="A36" s="17" t="str">
        <f>IF('Part II-Sources of Funds'!$E$42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575"/>
      <c r="O36" s="3577"/>
      <c r="Q36" s="47">
        <v>16</v>
      </c>
      <c r="R36" s="852">
        <f>-SUM(B32:K32) - SUM(B64:G64)</f>
        <v>1007085.5540469006</v>
      </c>
      <c r="S36" s="852">
        <f>SUM(B33:K33) + SUM(B65:G65)+R36</f>
        <v>1803325.9327541026</v>
      </c>
      <c r="Z36" s="2498" t="s">
        <v>4354</v>
      </c>
      <c r="AA36" s="2499">
        <v>36</v>
      </c>
    </row>
    <row r="37" spans="1:27" ht="13.4" customHeight="1">
      <c r="A37" s="17" t="s">
        <v>728</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575"/>
      <c r="O37" s="3577"/>
      <c r="Q37" s="47">
        <v>17</v>
      </c>
      <c r="R37" s="852">
        <f>-SUM(B32:K32) - SUM(B64:H64)</f>
        <v>1007085.5540469006</v>
      </c>
      <c r="S37" s="852">
        <f>SUM(B33:K33) + SUM(B65:H65)+R37</f>
        <v>1803325.9327541026</v>
      </c>
      <c r="Z37" s="2498" t="s">
        <v>4354</v>
      </c>
      <c r="AA37" s="2499">
        <v>37</v>
      </c>
    </row>
    <row r="38" spans="1:27" ht="13.4" customHeight="1">
      <c r="A38" s="340" t="s">
        <v>3130</v>
      </c>
      <c r="B38" s="20">
        <f t="shared" ref="B38:K38" si="16">IF(AND(B26=0,B27=0,B28=0,B29=0),"",-B25/(B26+B27+B28+B29))</f>
        <v>1.2501077343233029</v>
      </c>
      <c r="C38" s="20">
        <f t="shared" si="16"/>
        <v>1.2557795009471124</v>
      </c>
      <c r="D38" s="20">
        <f t="shared" si="16"/>
        <v>1.2609829302569242</v>
      </c>
      <c r="E38" s="20">
        <f t="shared" si="16"/>
        <v>1.2656947176960003</v>
      </c>
      <c r="F38" s="20">
        <f t="shared" si="16"/>
        <v>1.2698843932810682</v>
      </c>
      <c r="G38" s="20">
        <f t="shared" si="16"/>
        <v>1.2735246406133034</v>
      </c>
      <c r="H38" s="20">
        <f t="shared" si="16"/>
        <v>1.2765850504273819</v>
      </c>
      <c r="I38" s="20">
        <f t="shared" si="16"/>
        <v>1.2790341551664566</v>
      </c>
      <c r="J38" s="20">
        <f t="shared" si="16"/>
        <v>1.25</v>
      </c>
      <c r="K38" s="21">
        <f t="shared" si="16"/>
        <v>1.25</v>
      </c>
      <c r="N38" s="3575"/>
      <c r="O38" s="3577"/>
      <c r="Q38" s="47">
        <v>18</v>
      </c>
      <c r="R38" s="852">
        <f>-SUM(B32:K32) - SUM(B64:I64)</f>
        <v>1007085.5540469006</v>
      </c>
      <c r="S38" s="852">
        <f>SUM(B33:K33) + SUM(B65:I65)+R38</f>
        <v>1803325.9327541026</v>
      </c>
      <c r="Z38" s="2498" t="s">
        <v>4354</v>
      </c>
      <c r="AA38" s="2499">
        <v>38</v>
      </c>
    </row>
    <row r="39" spans="1:27" ht="13.4" customHeight="1">
      <c r="A39" s="17" t="s">
        <v>717</v>
      </c>
      <c r="B39" s="2497">
        <f t="shared" ref="B39:K39" si="17">IF(OR(B22="Choose mgt fee",B22="Choose One!"),"",(B15+B16+B17+B18+B19) / -(B21+B22+B23))</f>
        <v>1.6466754912524608</v>
      </c>
      <c r="C39" s="220">
        <f t="shared" si="17"/>
        <v>1.6306890966828862</v>
      </c>
      <c r="D39" s="220">
        <f t="shared" si="17"/>
        <v>1.6148564300442338</v>
      </c>
      <c r="E39" s="220">
        <f t="shared" si="17"/>
        <v>1.599178745228198</v>
      </c>
      <c r="F39" s="220">
        <f t="shared" si="17"/>
        <v>1.5836524516489865</v>
      </c>
      <c r="G39" s="220">
        <f t="shared" si="17"/>
        <v>1.5682772575767454</v>
      </c>
      <c r="H39" s="220">
        <f t="shared" si="17"/>
        <v>1.5530513901647818</v>
      </c>
      <c r="I39" s="220">
        <f t="shared" si="17"/>
        <v>1.5379732079341877</v>
      </c>
      <c r="J39" s="220">
        <f t="shared" si="17"/>
        <v>1.5230411845406411</v>
      </c>
      <c r="K39" s="221">
        <f t="shared" si="17"/>
        <v>1.5082538940568477</v>
      </c>
      <c r="N39" s="3575"/>
      <c r="O39" s="3577"/>
      <c r="Q39" s="92">
        <v>19</v>
      </c>
      <c r="R39" s="852">
        <f>-SUM(B32:K32) - SUM(B64:J64)</f>
        <v>1007085.5540469006</v>
      </c>
      <c r="S39" s="852">
        <f>SUM(B33:K33) + SUM(B65:J65)+R39</f>
        <v>1803325.9327541026</v>
      </c>
      <c r="Z39" s="2498" t="s">
        <v>4354</v>
      </c>
      <c r="AA39" s="2499">
        <v>39</v>
      </c>
    </row>
    <row r="40" spans="1:27" ht="13.4" customHeight="1">
      <c r="A40" s="340" t="s">
        <v>2399</v>
      </c>
      <c r="B40" s="177">
        <f>IF('Part II-Sources of Funds'!$I$42="","",-FV('Part II-Sources of Funds'!$K$42/12,12,B26/12,'Part II-Sources of Funds'!$I$42))</f>
        <v>7117621.944586657</v>
      </c>
      <c r="C40" s="177">
        <f>IF('Part II-Sources of Funds'!$I$42="","",-FV('Part II-Sources of Funds'!$K$42/12,12,C26/12,B40))</f>
        <v>7072553.9388107527</v>
      </c>
      <c r="D40" s="177">
        <f>IF('Part II-Sources of Funds'!$I$42="","",-FV('Part II-Sources of Funds'!$K$42/12,12,D26/12,C40))</f>
        <v>7024625.2378638601</v>
      </c>
      <c r="E40" s="177">
        <f>IF('Part II-Sources of Funds'!$I$42="","",-FV('Part II-Sources of Funds'!$K$42/12,12,E26/12,D40))</f>
        <v>6973654.2588975616</v>
      </c>
      <c r="F40" s="177">
        <f>IF('Part II-Sources of Funds'!$I$42="","",-FV('Part II-Sources of Funds'!$K$42/12,12,F26/12,E40))</f>
        <v>6919447.8930780161</v>
      </c>
      <c r="G40" s="177">
        <f>IF('Part II-Sources of Funds'!$I$42="","",-FV('Part II-Sources of Funds'!$K$42/12,12,G26/12,F40))</f>
        <v>6861800.773973139</v>
      </c>
      <c r="H40" s="177">
        <f>IF('Part II-Sources of Funds'!$I$42="","",-FV('Part II-Sources of Funds'!$K$42/12,12,H26/12,G40))</f>
        <v>6800494.4995006006</v>
      </c>
      <c r="I40" s="177">
        <f>IF('Part II-Sources of Funds'!$I$42="","",-FV('Part II-Sources of Funds'!$K$42/12,12,I26/12,H40))</f>
        <v>6735296.8044889122</v>
      </c>
      <c r="J40" s="177">
        <f>IF('Part II-Sources of Funds'!$I$42="","",-FV('Part II-Sources of Funds'!$K$42/12,12,J26/12,I40))</f>
        <v>6665960.680716766</v>
      </c>
      <c r="K40" s="177">
        <f>IF('Part II-Sources of Funds'!$I$42="","",-FV('Part II-Sources of Funds'!$K$42/12,12,K26/12,J40))</f>
        <v>6592223.4410967994</v>
      </c>
      <c r="N40" s="3575"/>
      <c r="O40" s="3577"/>
      <c r="Q40" s="92">
        <v>20</v>
      </c>
      <c r="R40" s="852">
        <f>-SUM(B32:K32) - SUM(B64:K64)</f>
        <v>1007085.5540469006</v>
      </c>
      <c r="S40" s="852">
        <f>SUM(B33:K33) + SUM(B65:K65)+R40</f>
        <v>1803325.9327541026</v>
      </c>
      <c r="Z40" s="2498" t="s">
        <v>4354</v>
      </c>
      <c r="AA40" s="2499">
        <v>40</v>
      </c>
    </row>
    <row r="41" spans="1:27" ht="13.4" customHeight="1">
      <c r="A41" s="340" t="s">
        <v>2400</v>
      </c>
      <c r="B41" s="178">
        <f>IF('Part II-Sources of Funds'!$I$43="","",-FV('Part II-Sources of Funds'!$K$43/12,12,B27/12,'Part II-Sources of Funds'!$I$43))</f>
        <v>9286875.9925086368</v>
      </c>
      <c r="C41" s="178">
        <f>IF('Part II-Sources of Funds'!$I$43="","",-FV('Part II-Sources of Funds'!$K$43/12,12,C27/12,B41))</f>
        <v>9958225.0089089219</v>
      </c>
      <c r="D41" s="178">
        <f>IF('Part II-Sources of Funds'!$I$43="","",-FV('Part II-Sources of Funds'!$K$43/12,12,D27/12,C41))</f>
        <v>10678105.899987537</v>
      </c>
      <c r="E41" s="178">
        <f>IF('Part II-Sources of Funds'!$I$43="","",-FV('Part II-Sources of Funds'!$K$43/12,12,E27/12,D41))</f>
        <v>11450027.038889086</v>
      </c>
      <c r="F41" s="178">
        <f>IF('Part II-Sources of Funds'!$I$43="","",-FV('Part II-Sources of Funds'!$K$43/12,12,F27/12,E41))</f>
        <v>12277750.419336464</v>
      </c>
      <c r="G41" s="178">
        <f>IF('Part II-Sources of Funds'!$I$43="","",-FV('Part II-Sources of Funds'!$K$43/12,12,G27/12,F41))</f>
        <v>13165309.989882981</v>
      </c>
      <c r="H41" s="178">
        <f>IF('Part II-Sources of Funds'!$I$43="","",-FV('Part II-Sources of Funds'!$K$43/12,12,H27/12,G41))</f>
        <v>14117031.313549032</v>
      </c>
      <c r="I41" s="178">
        <f>IF('Part II-Sources of Funds'!$I$43="","",-FV('Part II-Sources of Funds'!$K$43/12,12,I27/12,H41))</f>
        <v>15137552.648655506</v>
      </c>
      <c r="J41" s="178">
        <f>IF('Part II-Sources of Funds'!$I$43="","",-FV('Part II-Sources of Funds'!$K$43/12,12,J27/12,I41))</f>
        <v>16219542.257141614</v>
      </c>
      <c r="K41" s="178">
        <f>IF('Part II-Sources of Funds'!$I$43="","",-FV('Part II-Sources of Funds'!$K$43/12,12,K27/12,J41))</f>
        <v>17379299.02701544</v>
      </c>
      <c r="N41" s="3575"/>
      <c r="O41" s="3577"/>
      <c r="Z41" s="2498" t="s">
        <v>4354</v>
      </c>
      <c r="AA41" s="2499">
        <v>41</v>
      </c>
    </row>
    <row r="42" spans="1:27" ht="13.4" customHeight="1">
      <c r="A42" s="340" t="s">
        <v>2401</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575"/>
      <c r="O42" s="3577"/>
      <c r="Z42" s="2498" t="s">
        <v>4354</v>
      </c>
      <c r="AA42" s="2499">
        <v>42</v>
      </c>
    </row>
    <row r="43" spans="1:27" ht="13.4"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575"/>
      <c r="O43" s="3577"/>
      <c r="Z43" s="2498" t="s">
        <v>4354</v>
      </c>
      <c r="AA43" s="2499">
        <v>43</v>
      </c>
    </row>
    <row r="44" spans="1:27" ht="13.4" customHeight="1">
      <c r="A44" s="340" t="s">
        <v>3275</v>
      </c>
      <c r="B44" s="179">
        <f>IF('Part II-Sources of Funds'!$I$47="","",-FV('Part II-Sources of Funds'!$K$47/12,12,B32/12,'Part II-Sources of Funds'!$I$47))</f>
        <v>696017.3490271843</v>
      </c>
      <c r="C44" s="179">
        <f>IF('Part II-Sources of Funds'!$I$47="","",IF(-FV('Part II-Sources of Funds'!$K$47/12,12,C32/12,B44)&gt;0,-FV('Part II-Sources of Funds'!$K$47/12,12,C32/12,B44),0))</f>
        <v>624077.02749063517</v>
      </c>
      <c r="D44" s="179">
        <f>IF('Part II-Sources of Funds'!$I$47="","",IF(-FV('Part II-Sources of Funds'!$K$47/12,12,D32/12,C44)&gt;0,-FV('Part II-Sources of Funds'!$K$47/12,12,D32/12,C44),0))</f>
        <v>544500.39850299456</v>
      </c>
      <c r="E44" s="179">
        <f>IF('Part II-Sources of Funds'!$I$47="","",IF(-FV('Part II-Sources of Funds'!$K$47/12,12,E32/12,D44)&gt;0,-FV('Part II-Sources of Funds'!$K$47/12,12,E32/12,D44),0))</f>
        <v>456985.43335501978</v>
      </c>
      <c r="F44" s="179">
        <f>IF('Part II-Sources of Funds'!$I$47="","",IF(-FV('Part II-Sources of Funds'!$K$47/12,12,F32/12,E44)&gt;0,-FV('Part II-Sources of Funds'!$K$47/12,12,F32/12,E44),0))</f>
        <v>361223.6106291074</v>
      </c>
      <c r="G44" s="179">
        <f>IF('Part II-Sources of Funds'!$I$47="","",IF(-FV('Part II-Sources of Funds'!$K$47/12,12,G32/12,F44)&gt;0,-FV('Part II-Sources of Funds'!$K$47/12,12,G32/12,F44),0))</f>
        <v>256897.87825015147</v>
      </c>
      <c r="H44" s="179">
        <f>IF('Part II-Sources of Funds'!$I$47="","",IF(-FV('Part II-Sources of Funds'!$K$47/12,12,H32/12,G44)&gt;0,-FV('Part II-Sources of Funds'!$K$47/12,12,H32/12,G44),0))</f>
        <v>143683.58385552664</v>
      </c>
      <c r="I44" s="179">
        <f>IF('Part II-Sources of Funds'!$I$47="","",IF(-FV('Part II-Sources of Funds'!$K$47/12,12,I32/12,H44)&gt;0,-FV('Part II-Sources of Funds'!$K$47/12,12,I32/12,H44),0))</f>
        <v>21248.457779176679</v>
      </c>
      <c r="J44" s="179">
        <f>IF('Part II-Sources of Funds'!$I$47="","",IF(-FV('Part II-Sources of Funds'!$K$47/12,12,J32/12,I44)&gt;0,-FV('Part II-Sources of Funds'!$K$47/12,12,J32/12,I44),0))</f>
        <v>0.26969947549514472</v>
      </c>
      <c r="K44" s="179">
        <f>IF('Part II-Sources of Funds'!$I$47="","",IF(-FV('Part II-Sources of Funds'!$K$47/12,12,K32/12,J44)&gt;0,-FV('Part II-Sources of Funds'!$K$47/12,12,K32/12,J44),0))</f>
        <v>0.28919607238557316</v>
      </c>
      <c r="N44" s="3572"/>
      <c r="O44" s="3574"/>
      <c r="Z44" s="2498" t="s">
        <v>4354</v>
      </c>
      <c r="AA44" s="2499">
        <v>44</v>
      </c>
    </row>
    <row r="45" spans="1:27" ht="4.4000000000000004" customHeight="1">
      <c r="B45" s="13"/>
      <c r="C45" s="13"/>
      <c r="D45" s="13"/>
      <c r="E45" s="13"/>
      <c r="F45" s="13"/>
      <c r="G45" s="13"/>
      <c r="H45" s="13"/>
      <c r="I45" s="13"/>
      <c r="J45" s="13"/>
      <c r="K45" s="13"/>
      <c r="AA45" s="2499">
        <v>45</v>
      </c>
    </row>
    <row r="46" spans="1:27" ht="14.65" customHeight="1">
      <c r="A46" s="10" t="s">
        <v>2278</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3276" t="s">
        <v>2402</v>
      </c>
      <c r="O46" s="3276"/>
      <c r="AA46" s="2499">
        <v>46</v>
      </c>
    </row>
    <row r="47" spans="1:27" ht="13.4" customHeight="1">
      <c r="A47" s="14" t="s">
        <v>2209</v>
      </c>
      <c r="B47" s="15">
        <f t="shared" ref="B47:K47" si="19">$B$15*(1+$B$6)^(B46-1)</f>
        <v>1975619.3805078228</v>
      </c>
      <c r="C47" s="15">
        <f t="shared" si="19"/>
        <v>2015131.7681179789</v>
      </c>
      <c r="D47" s="15">
        <f t="shared" si="19"/>
        <v>2055434.4034803389</v>
      </c>
      <c r="E47" s="15">
        <f t="shared" si="19"/>
        <v>2096543.0915499455</v>
      </c>
      <c r="F47" s="15">
        <f t="shared" si="19"/>
        <v>2138473.9533809447</v>
      </c>
      <c r="G47" s="15">
        <f t="shared" si="19"/>
        <v>2181243.4324485627</v>
      </c>
      <c r="H47" s="15">
        <f t="shared" si="19"/>
        <v>2224868.3010975346</v>
      </c>
      <c r="I47" s="15">
        <f t="shared" si="19"/>
        <v>2269365.6671194853</v>
      </c>
      <c r="J47" s="15">
        <f t="shared" si="19"/>
        <v>2314752.980461875</v>
      </c>
      <c r="K47" s="16">
        <f t="shared" si="19"/>
        <v>2361048.0400711121</v>
      </c>
      <c r="N47" s="3579"/>
      <c r="O47" s="3581"/>
      <c r="Z47" s="2498" t="s">
        <v>4355</v>
      </c>
      <c r="AA47" s="2499">
        <v>47</v>
      </c>
    </row>
    <row r="48" spans="1:27" ht="13.4" customHeight="1">
      <c r="A48" s="17" t="s">
        <v>951</v>
      </c>
      <c r="B48" s="18">
        <f t="shared" ref="B48:K48" si="20">$B$16*(1+$B$6)^(B46-1)</f>
        <v>39512.38761015646</v>
      </c>
      <c r="C48" s="18">
        <f t="shared" si="20"/>
        <v>40302.635362359579</v>
      </c>
      <c r="D48" s="18">
        <f t="shared" si="20"/>
        <v>41108.688069606782</v>
      </c>
      <c r="E48" s="18">
        <f t="shared" si="20"/>
        <v>41930.861830998911</v>
      </c>
      <c r="F48" s="18">
        <f t="shared" si="20"/>
        <v>42769.479067618893</v>
      </c>
      <c r="G48" s="18">
        <f t="shared" si="20"/>
        <v>43624.868648971264</v>
      </c>
      <c r="H48" s="18">
        <f t="shared" si="20"/>
        <v>44497.366021950693</v>
      </c>
      <c r="I48" s="18">
        <f t="shared" si="20"/>
        <v>45387.313342389709</v>
      </c>
      <c r="J48" s="18">
        <f t="shared" si="20"/>
        <v>46295.059609237498</v>
      </c>
      <c r="K48" s="19">
        <f t="shared" si="20"/>
        <v>47220.960801422247</v>
      </c>
      <c r="N48" s="3575"/>
      <c r="O48" s="3577"/>
      <c r="Z48" s="2498" t="s">
        <v>4355</v>
      </c>
      <c r="AA48" s="2499">
        <v>48</v>
      </c>
    </row>
    <row r="49" spans="1:27" ht="13.4" customHeight="1">
      <c r="A49" s="17" t="s">
        <v>2210</v>
      </c>
      <c r="B49" s="18">
        <f t="shared" ref="B49:K49" si="21">-(B47+B48)*$B$9</f>
        <v>-141059.22376825858</v>
      </c>
      <c r="C49" s="18">
        <f t="shared" si="21"/>
        <v>-143880.40824362371</v>
      </c>
      <c r="D49" s="18">
        <f t="shared" si="21"/>
        <v>-146758.01640849619</v>
      </c>
      <c r="E49" s="18">
        <f t="shared" si="21"/>
        <v>-149693.17673666612</v>
      </c>
      <c r="F49" s="18">
        <f t="shared" si="21"/>
        <v>-152687.04027139946</v>
      </c>
      <c r="G49" s="18">
        <f t="shared" si="21"/>
        <v>-155740.78107682741</v>
      </c>
      <c r="H49" s="18">
        <f t="shared" si="21"/>
        <v>-158855.59669836398</v>
      </c>
      <c r="I49" s="18">
        <f t="shared" si="21"/>
        <v>-162032.70863233125</v>
      </c>
      <c r="J49" s="18">
        <f t="shared" si="21"/>
        <v>-165273.36280497789</v>
      </c>
      <c r="K49" s="19">
        <f t="shared" si="21"/>
        <v>-168578.8300610774</v>
      </c>
      <c r="N49" s="3575"/>
      <c r="O49" s="3577"/>
      <c r="Z49" s="2498" t="s">
        <v>4355</v>
      </c>
      <c r="AA49" s="2499">
        <v>49</v>
      </c>
    </row>
    <row r="50" spans="1:27" ht="13.4"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575"/>
      <c r="O50" s="3577"/>
      <c r="Z50" s="2498" t="s">
        <v>4355</v>
      </c>
      <c r="AA50" s="2499">
        <v>50</v>
      </c>
    </row>
    <row r="51" spans="1:27" ht="13.4"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575"/>
      <c r="O51" s="3577"/>
      <c r="Z51" s="2498" t="s">
        <v>4355</v>
      </c>
      <c r="AA51" s="2499">
        <v>51</v>
      </c>
    </row>
    <row r="52" spans="1:27" ht="13.4" customHeight="1">
      <c r="A52" s="340" t="s">
        <v>3714</v>
      </c>
      <c r="B52" s="18">
        <f t="shared" ref="B52:K52" si="22">SUM(B47:B51)</f>
        <v>1874072.5443497207</v>
      </c>
      <c r="C52" s="18">
        <f t="shared" si="22"/>
        <v>1911553.9952367146</v>
      </c>
      <c r="D52" s="18">
        <f t="shared" si="22"/>
        <v>1949785.0751414495</v>
      </c>
      <c r="E52" s="18">
        <f t="shared" si="22"/>
        <v>1988780.7766442781</v>
      </c>
      <c r="F52" s="18">
        <f t="shared" si="22"/>
        <v>2028556.3921771641</v>
      </c>
      <c r="G52" s="18">
        <f t="shared" si="22"/>
        <v>2069127.5200207068</v>
      </c>
      <c r="H52" s="18">
        <f t="shared" si="22"/>
        <v>2110510.0704211215</v>
      </c>
      <c r="I52" s="18">
        <f t="shared" si="22"/>
        <v>2152720.2718295436</v>
      </c>
      <c r="J52" s="18">
        <f t="shared" si="22"/>
        <v>2195774.6772661349</v>
      </c>
      <c r="K52" s="19">
        <f t="shared" si="22"/>
        <v>2239690.1708114566</v>
      </c>
      <c r="N52" s="3575"/>
      <c r="O52" s="3577"/>
      <c r="Z52" s="2498" t="s">
        <v>4355</v>
      </c>
      <c r="AA52" s="2499">
        <v>52</v>
      </c>
    </row>
    <row r="53" spans="1:27" ht="13.4" customHeight="1">
      <c r="A53" s="17" t="s">
        <v>571</v>
      </c>
      <c r="B53" s="18">
        <f t="shared" ref="B53:K53" si="23">$B$21*(1+$B$7)^(B46-1)</f>
        <v>-1109733.5745778913</v>
      </c>
      <c r="C53" s="18">
        <f t="shared" si="23"/>
        <v>-1143025.5818152279</v>
      </c>
      <c r="D53" s="18">
        <f t="shared" si="23"/>
        <v>-1177316.3492696846</v>
      </c>
      <c r="E53" s="18">
        <f t="shared" si="23"/>
        <v>-1212635.8397477751</v>
      </c>
      <c r="F53" s="18">
        <f t="shared" si="23"/>
        <v>-1249014.9149402084</v>
      </c>
      <c r="G53" s="18">
        <f t="shared" si="23"/>
        <v>-1286485.3623884148</v>
      </c>
      <c r="H53" s="18">
        <f t="shared" si="23"/>
        <v>-1325079.9232600671</v>
      </c>
      <c r="I53" s="18">
        <f t="shared" si="23"/>
        <v>-1364832.3209578691</v>
      </c>
      <c r="J53" s="18">
        <f t="shared" si="23"/>
        <v>-1405777.2905866052</v>
      </c>
      <c r="K53" s="19">
        <f t="shared" si="23"/>
        <v>-1447950.6093042032</v>
      </c>
      <c r="N53" s="3575"/>
      <c r="O53" s="3577"/>
      <c r="Z53" s="2498" t="s">
        <v>4355</v>
      </c>
      <c r="AA53" s="2499">
        <v>53</v>
      </c>
    </row>
    <row r="54" spans="1:27" ht="13.4" customHeight="1">
      <c r="A54" s="17" t="s">
        <v>1049</v>
      </c>
      <c r="B54" s="18">
        <f>IF(AND('Part VI-Pro Forma'!$G$9="Yes",'Part VI-Pro Forma'!$G$10="Yes"),"Choose One!",IF('Part VI-Pro Forma'!$G$9="Yes",ROUND((-$K$9*(1+'Part VI-Pro Forma'!$B$7)^('Part VI-Pro Forma'!B46-1)),),IF('Part VI-Pro Forma'!$G$10="Yes",ROUND((-(SUM(B47:B50)*'Part VI-Pro Forma'!$K$10)),),"Choose mgt fee")))</f>
        <v>-82312</v>
      </c>
      <c r="C54" s="18">
        <f>IF(AND('Part VI-Pro Forma'!$G$9="Yes",'Part VI-Pro Forma'!$G$10="Yes"),"Choose One!",IF('Part VI-Pro Forma'!$G$9="Yes",ROUND((-$K$9*(1+'Part VI-Pro Forma'!$B$7)^('Part VI-Pro Forma'!C46-1)),),IF('Part VI-Pro Forma'!$G$10="Yes",ROUND((-(SUM(C47:C50)*'Part VI-Pro Forma'!$K$10)),),"Choose mgt fee")))</f>
        <v>-84782</v>
      </c>
      <c r="D54" s="18">
        <f>IF(AND('Part VI-Pro Forma'!$G$9="Yes",'Part VI-Pro Forma'!$G$10="Yes"),"Choose One!",IF('Part VI-Pro Forma'!$G$9="Yes",ROUND((-$K$9*(1+'Part VI-Pro Forma'!$B$7)^('Part VI-Pro Forma'!D46-1)),),IF('Part VI-Pro Forma'!$G$10="Yes",ROUND((-(SUM(D47:D50)*'Part VI-Pro Forma'!$K$10)),),"Choose mgt fee")))</f>
        <v>-87325</v>
      </c>
      <c r="E54" s="18">
        <f>IF(AND('Part VI-Pro Forma'!$G$9="Yes",'Part VI-Pro Forma'!$G$10="Yes"),"Choose One!",IF('Part VI-Pro Forma'!$G$9="Yes",ROUND((-$K$9*(1+'Part VI-Pro Forma'!$B$7)^('Part VI-Pro Forma'!E46-1)),),IF('Part VI-Pro Forma'!$G$10="Yes",ROUND((-(SUM(E47:E50)*'Part VI-Pro Forma'!$K$10)),),"Choose mgt fee")))</f>
        <v>-89945</v>
      </c>
      <c r="F54" s="18">
        <f>IF(AND('Part VI-Pro Forma'!$G$9="Yes",'Part VI-Pro Forma'!$G$10="Yes"),"Choose One!",IF('Part VI-Pro Forma'!$G$9="Yes",ROUND((-$K$9*(1+'Part VI-Pro Forma'!$B$7)^('Part VI-Pro Forma'!F46-1)),),IF('Part VI-Pro Forma'!$G$10="Yes",ROUND((-(SUM(F47:F50)*'Part VI-Pro Forma'!$K$10)),),"Choose mgt fee")))</f>
        <v>-92643</v>
      </c>
      <c r="G54" s="18">
        <f>IF(AND('Part VI-Pro Forma'!$G$9="Yes",'Part VI-Pro Forma'!$G$10="Yes"),"Choose One!",IF('Part VI-Pro Forma'!$G$9="Yes",ROUND((-$K$9*(1+'Part VI-Pro Forma'!$B$7)^('Part VI-Pro Forma'!G46-1)),),IF('Part VI-Pro Forma'!$G$10="Yes",ROUND((-(SUM(G47:G50)*'Part VI-Pro Forma'!$K$10)),),"Choose mgt fee")))</f>
        <v>-95422</v>
      </c>
      <c r="H54" s="18">
        <f>IF(AND('Part VI-Pro Forma'!$G$9="Yes",'Part VI-Pro Forma'!$G$10="Yes"),"Choose One!",IF('Part VI-Pro Forma'!$G$9="Yes",ROUND((-$K$9*(1+'Part VI-Pro Forma'!$B$7)^('Part VI-Pro Forma'!H46-1)),),IF('Part VI-Pro Forma'!$G$10="Yes",ROUND((-(SUM(H47:H50)*'Part VI-Pro Forma'!$K$10)),),"Choose mgt fee")))</f>
        <v>-98285</v>
      </c>
      <c r="I54" s="18">
        <f>IF(AND('Part VI-Pro Forma'!$G$9="Yes",'Part VI-Pro Forma'!$G$10="Yes"),"Choose One!",IF('Part VI-Pro Forma'!$G$9="Yes",ROUND((-$K$9*(1+'Part VI-Pro Forma'!$B$7)^('Part VI-Pro Forma'!I46-1)),),IF('Part VI-Pro Forma'!$G$10="Yes",ROUND((-(SUM(I47:I50)*'Part VI-Pro Forma'!$K$10)),),"Choose mgt fee")))</f>
        <v>-101234</v>
      </c>
      <c r="J54" s="18">
        <f>IF(AND('Part VI-Pro Forma'!$G$9="Yes",'Part VI-Pro Forma'!$G$10="Yes"),"Choose One!",IF('Part VI-Pro Forma'!$G$9="Yes",ROUND((-$K$9*(1+'Part VI-Pro Forma'!$B$7)^('Part VI-Pro Forma'!J46-1)),),IF('Part VI-Pro Forma'!$G$10="Yes",ROUND((-(SUM(J47:J50)*'Part VI-Pro Forma'!$K$10)),),"Choose mgt fee")))</f>
        <v>-104271</v>
      </c>
      <c r="K54" s="19">
        <f>IF(AND('Part VI-Pro Forma'!$G$9="Yes",'Part VI-Pro Forma'!$G$10="Yes"),"Choose One!",IF('Part VI-Pro Forma'!$G$9="Yes",ROUND((-$K$9*(1+'Part VI-Pro Forma'!$B$7)^('Part VI-Pro Forma'!K46-1)),),IF('Part VI-Pro Forma'!$G$10="Yes",ROUND((-(SUM(K47:K50)*'Part VI-Pro Forma'!$K$10)),),"Choose mgt fee")))</f>
        <v>-107399</v>
      </c>
      <c r="N54" s="3575"/>
      <c r="O54" s="3577"/>
      <c r="Z54" s="2498" t="s">
        <v>4355</v>
      </c>
      <c r="AA54" s="2499">
        <v>54</v>
      </c>
    </row>
    <row r="55" spans="1:27" ht="13.4" customHeight="1">
      <c r="A55" s="17" t="s">
        <v>1127</v>
      </c>
      <c r="B55" s="18">
        <f t="shared" ref="B55:K55" si="24">$B$23*(1+$B$8)^(B46-1)</f>
        <v>-62680.259932609843</v>
      </c>
      <c r="C55" s="18">
        <f t="shared" si="24"/>
        <v>-64560.667730588139</v>
      </c>
      <c r="D55" s="18">
        <f t="shared" si="24"/>
        <v>-66497.487762505771</v>
      </c>
      <c r="E55" s="18">
        <f t="shared" si="24"/>
        <v>-68492.412395380947</v>
      </c>
      <c r="F55" s="18">
        <f t="shared" si="24"/>
        <v>-70547.184767242376</v>
      </c>
      <c r="G55" s="18">
        <f t="shared" si="24"/>
        <v>-72663.600310259659</v>
      </c>
      <c r="H55" s="18">
        <f t="shared" si="24"/>
        <v>-74843.508319567423</v>
      </c>
      <c r="I55" s="18">
        <f t="shared" si="24"/>
        <v>-77088.813569154445</v>
      </c>
      <c r="J55" s="18">
        <f t="shared" si="24"/>
        <v>-79401.477976229085</v>
      </c>
      <c r="K55" s="19">
        <f t="shared" si="24"/>
        <v>-81783.522315515962</v>
      </c>
      <c r="N55" s="3575"/>
      <c r="O55" s="3577"/>
      <c r="Q55" s="92"/>
      <c r="R55" s="852"/>
      <c r="S55" s="852"/>
      <c r="Z55" s="2498" t="s">
        <v>4355</v>
      </c>
      <c r="AA55" s="2499">
        <v>55</v>
      </c>
    </row>
    <row r="56" spans="1:27" ht="13.4" customHeight="1">
      <c r="A56" s="340" t="s">
        <v>3713</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575"/>
      <c r="O56" s="3577"/>
      <c r="Z56" s="2498" t="s">
        <v>4355</v>
      </c>
      <c r="AA56" s="2499">
        <v>56</v>
      </c>
    </row>
    <row r="57" spans="1:27" ht="13.4" customHeight="1">
      <c r="A57" s="17" t="s">
        <v>1128</v>
      </c>
      <c r="B57" s="18">
        <f t="shared" ref="B57:K57" si="25">SUM(B52:B56)</f>
        <v>619346.70983921958</v>
      </c>
      <c r="C57" s="18">
        <f t="shared" si="25"/>
        <v>619185.74569089862</v>
      </c>
      <c r="D57" s="18">
        <f t="shared" si="25"/>
        <v>618646.23810925905</v>
      </c>
      <c r="E57" s="18">
        <f t="shared" si="25"/>
        <v>617707.52450112207</v>
      </c>
      <c r="F57" s="18">
        <f t="shared" si="25"/>
        <v>616351.29246971325</v>
      </c>
      <c r="G57" s="18">
        <f t="shared" si="25"/>
        <v>614556.5573220324</v>
      </c>
      <c r="H57" s="18">
        <f t="shared" si="25"/>
        <v>612301.638841487</v>
      </c>
      <c r="I57" s="18">
        <f t="shared" si="25"/>
        <v>609565.1373025201</v>
      </c>
      <c r="J57" s="18">
        <f t="shared" si="25"/>
        <v>606324.90870330064</v>
      </c>
      <c r="K57" s="1150">
        <f t="shared" si="25"/>
        <v>602557.03919173754</v>
      </c>
      <c r="N57" s="3575"/>
      <c r="O57" s="3577"/>
      <c r="Z57" s="2498" t="s">
        <v>4355</v>
      </c>
      <c r="AA57" s="2499">
        <v>57</v>
      </c>
    </row>
    <row r="58" spans="1:27" ht="13.4" customHeight="1">
      <c r="A58" s="17" t="str">
        <f>$A26</f>
        <v>Mortgage A</v>
      </c>
      <c r="B58" s="341">
        <f>IF('Part II-Sources of Funds'!$P$42="", 0,-'Part II-Sources of Funds'!$P$42)</f>
        <v>-482964.9549579189</v>
      </c>
      <c r="C58" s="341">
        <f>IF('Part II-Sources of Funds'!$P$42="", 0,-'Part II-Sources of Funds'!$P$42)</f>
        <v>-482964.9549579189</v>
      </c>
      <c r="D58" s="341">
        <f>IF('Part II-Sources of Funds'!$P$42="", 0,-'Part II-Sources of Funds'!$P$42)</f>
        <v>-482964.9549579189</v>
      </c>
      <c r="E58" s="341">
        <f>IF('Part II-Sources of Funds'!$P$42="", 0,-'Part II-Sources of Funds'!$P$42)</f>
        <v>-482964.9549579189</v>
      </c>
      <c r="F58" s="341">
        <f>IF('Part II-Sources of Funds'!$P$42="", 0,-'Part II-Sources of Funds'!$P$42)</f>
        <v>-482964.9549579189</v>
      </c>
      <c r="G58" s="341">
        <f>IF('Part II-Sources of Funds'!$P$42="", 0,-'Part II-Sources of Funds'!$P$42)</f>
        <v>-482964.9549579189</v>
      </c>
      <c r="H58" s="341">
        <f>IF('Part II-Sources of Funds'!$P$42="", 0,-'Part II-Sources of Funds'!$P$42)</f>
        <v>-482964.9549579189</v>
      </c>
      <c r="I58" s="341">
        <f>IF('Part II-Sources of Funds'!$P$42="", 0,-'Part II-Sources of Funds'!$P$42)</f>
        <v>-482964.9549579189</v>
      </c>
      <c r="J58" s="341">
        <f>IF('Part II-Sources of Funds'!$P$42="", 0,-'Part II-Sources of Funds'!$P$42)</f>
        <v>-482964.9549579189</v>
      </c>
      <c r="K58" s="341">
        <f>IF('Part II-Sources of Funds'!$P$42="", 0,-'Part II-Sources of Funds'!$P$42)</f>
        <v>-482964.9549579189</v>
      </c>
      <c r="N58" s="3575"/>
      <c r="O58" s="3577"/>
      <c r="Z58" s="2498" t="s">
        <v>4355</v>
      </c>
      <c r="AA58" s="2499">
        <v>58</v>
      </c>
    </row>
    <row r="59" spans="1:27" ht="13.4" customHeight="1">
      <c r="A59" s="17" t="str">
        <f>$A27</f>
        <v>Mortgage B</v>
      </c>
      <c r="B59" s="178">
        <f>-SUM(B57)/1.25-B58</f>
        <v>-12512.412913456734</v>
      </c>
      <c r="C59" s="178">
        <f t="shared" ref="C59:F59" si="26">-SUM(C57)/1.25-C58</f>
        <v>-12383.641594799992</v>
      </c>
      <c r="D59" s="178">
        <f t="shared" si="26"/>
        <v>-11952.035529488348</v>
      </c>
      <c r="E59" s="178">
        <f t="shared" si="26"/>
        <v>-11201.064642978774</v>
      </c>
      <c r="F59" s="178">
        <f t="shared" si="26"/>
        <v>-10116.079017851676</v>
      </c>
      <c r="G59" s="178">
        <f>-G57-SUM(G60:G64,G58)</f>
        <v>-124028.65373983793</v>
      </c>
      <c r="H59" s="178">
        <f t="shared" ref="H59:K59" si="27">-H57-SUM(H60:H64,H58)</f>
        <v>-121546.84680056426</v>
      </c>
      <c r="I59" s="178">
        <f t="shared" si="27"/>
        <v>-126600.1823446012</v>
      </c>
      <c r="J59" s="178">
        <f t="shared" si="27"/>
        <v>-123359.95374538173</v>
      </c>
      <c r="K59" s="178">
        <f t="shared" si="27"/>
        <v>-119592.08423381863</v>
      </c>
      <c r="N59" s="3575"/>
      <c r="O59" s="3577"/>
      <c r="Z59" s="2498" t="s">
        <v>4355</v>
      </c>
      <c r="AA59" s="2499">
        <v>59</v>
      </c>
    </row>
    <row r="60" spans="1:27" ht="13.4"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575"/>
      <c r="O60" s="3577"/>
      <c r="Z60" s="2498" t="s">
        <v>4355</v>
      </c>
      <c r="AA60" s="2499">
        <v>60</v>
      </c>
    </row>
    <row r="61" spans="1:27" ht="13.4"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575"/>
      <c r="O61" s="3577"/>
      <c r="Z61" s="2498" t="s">
        <v>4355</v>
      </c>
      <c r="AA61" s="2499">
        <v>61</v>
      </c>
    </row>
    <row r="62" spans="1:27" ht="13.4" customHeight="1">
      <c r="A62" s="17" t="s">
        <v>710</v>
      </c>
      <c r="B62" s="138"/>
      <c r="C62" s="138"/>
      <c r="D62" s="138"/>
      <c r="E62" s="138"/>
      <c r="F62" s="138"/>
      <c r="G62" s="138"/>
      <c r="H62" s="138"/>
      <c r="I62" s="138"/>
      <c r="J62" s="138"/>
      <c r="K62" s="138"/>
      <c r="N62" s="3575"/>
      <c r="O62" s="3577"/>
      <c r="Q62" s="92"/>
      <c r="R62" s="852"/>
      <c r="Z62" s="2498" t="s">
        <v>4355</v>
      </c>
      <c r="AA62" s="2499">
        <v>62</v>
      </c>
    </row>
    <row r="63" spans="1:27" ht="13.4" customHeight="1">
      <c r="A63" s="340" t="s">
        <v>1094</v>
      </c>
      <c r="B63" s="178">
        <f>+K31</f>
        <v>-6523.865919146223</v>
      </c>
      <c r="C63" s="178">
        <f>+B63*1.03</f>
        <v>-6719.5818967206096</v>
      </c>
      <c r="D63" s="178">
        <f t="shared" ref="D63:H63" si="28">+C63*1.03</f>
        <v>-6921.1693536222283</v>
      </c>
      <c r="E63" s="178">
        <f t="shared" si="28"/>
        <v>-7128.8044342308949</v>
      </c>
      <c r="F63" s="178">
        <f t="shared" si="28"/>
        <v>-7342.6685672578224</v>
      </c>
      <c r="G63" s="178">
        <f t="shared" si="28"/>
        <v>-7562.9486242755574</v>
      </c>
      <c r="H63" s="178">
        <f t="shared" si="28"/>
        <v>-7789.8370830038248</v>
      </c>
      <c r="I63" s="178"/>
      <c r="J63" s="178"/>
      <c r="K63" s="178"/>
      <c r="N63" s="3575"/>
      <c r="O63" s="3577"/>
      <c r="Z63" s="2498" t="s">
        <v>4355</v>
      </c>
      <c r="AA63" s="2499">
        <v>63</v>
      </c>
    </row>
    <row r="64" spans="1:27" ht="13.4" customHeight="1">
      <c r="A64" s="340" t="s">
        <v>3274</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575"/>
      <c r="O64" s="3577"/>
      <c r="Z64" s="2498" t="s">
        <v>4355</v>
      </c>
      <c r="AA64" s="2499">
        <v>64</v>
      </c>
    </row>
    <row r="65" spans="1:27" ht="13.4" customHeight="1">
      <c r="A65" s="17" t="s">
        <v>1095</v>
      </c>
      <c r="B65" s="18">
        <f t="shared" ref="B65:K65" si="29">SUM(B57:B64)</f>
        <v>117345.47604869772</v>
      </c>
      <c r="C65" s="18">
        <f t="shared" si="29"/>
        <v>117117.56724145911</v>
      </c>
      <c r="D65" s="18">
        <f t="shared" si="29"/>
        <v>116808.07826822957</v>
      </c>
      <c r="E65" s="18">
        <f t="shared" si="29"/>
        <v>116412.70046599349</v>
      </c>
      <c r="F65" s="18">
        <f t="shared" si="29"/>
        <v>115927.58992668486</v>
      </c>
      <c r="G65" s="18">
        <f t="shared" si="29"/>
        <v>9.0949470177292824E-12</v>
      </c>
      <c r="H65" s="18">
        <f t="shared" si="29"/>
        <v>8.1854523159563541E-12</v>
      </c>
      <c r="I65" s="18">
        <f t="shared" si="29"/>
        <v>0</v>
      </c>
      <c r="J65" s="18">
        <f t="shared" si="29"/>
        <v>0</v>
      </c>
      <c r="K65" s="495">
        <f t="shared" si="29"/>
        <v>0</v>
      </c>
      <c r="N65" s="3575"/>
      <c r="O65" s="3577"/>
      <c r="Z65" s="2498" t="s">
        <v>4355</v>
      </c>
      <c r="AA65" s="2499">
        <v>65</v>
      </c>
    </row>
    <row r="66" spans="1:27" ht="13.4" customHeight="1">
      <c r="A66" s="17" t="str">
        <f>$A34</f>
        <v>DCR Mortgage A</v>
      </c>
      <c r="B66" s="20">
        <f t="shared" ref="B66:K66" si="30">IF(B58=0,"",-B57/B58)</f>
        <v>1.2823843707110876</v>
      </c>
      <c r="C66" s="20">
        <f t="shared" si="30"/>
        <v>1.2820510874227897</v>
      </c>
      <c r="D66" s="20">
        <f t="shared" si="30"/>
        <v>1.2809340134485785</v>
      </c>
      <c r="E66" s="20">
        <f t="shared" si="30"/>
        <v>1.2789903659882391</v>
      </c>
      <c r="F66" s="20">
        <f t="shared" si="30"/>
        <v>1.276182228425697</v>
      </c>
      <c r="G66" s="20">
        <f t="shared" si="30"/>
        <v>1.272466151039011</v>
      </c>
      <c r="H66" s="20">
        <f t="shared" si="30"/>
        <v>1.2677972439943128</v>
      </c>
      <c r="I66" s="20">
        <f t="shared" si="30"/>
        <v>1.2621311982266539</v>
      </c>
      <c r="J66" s="20">
        <f t="shared" si="30"/>
        <v>1.2554221636146046</v>
      </c>
      <c r="K66" s="21">
        <f t="shared" si="30"/>
        <v>1.2476206254845941</v>
      </c>
      <c r="N66" s="3575"/>
      <c r="O66" s="3577"/>
      <c r="Z66" s="2498" t="s">
        <v>4355</v>
      </c>
      <c r="AA66" s="2499">
        <v>66</v>
      </c>
    </row>
    <row r="67" spans="1:27" ht="13.4" customHeight="1">
      <c r="A67" s="17" t="str">
        <f>$A35</f>
        <v>DCR Mortgage B</v>
      </c>
      <c r="B67" s="20">
        <f t="shared" ref="B67:K67" si="31">IF(B59=0,"",-(B57+B58)/B59)</f>
        <v>10.899716611384051</v>
      </c>
      <c r="C67" s="20">
        <f t="shared" si="31"/>
        <v>11.000059206346872</v>
      </c>
      <c r="D67" s="20">
        <f t="shared" si="31"/>
        <v>11.352148578924822</v>
      </c>
      <c r="E67" s="20">
        <f t="shared" si="31"/>
        <v>12.02944307866883</v>
      </c>
      <c r="F67" s="20">
        <f t="shared" si="31"/>
        <v>13.185576869892939</v>
      </c>
      <c r="G67" s="20">
        <f t="shared" si="31"/>
        <v>1.0609774305874478</v>
      </c>
      <c r="H67" s="20">
        <f t="shared" si="31"/>
        <v>1.0640891745697485</v>
      </c>
      <c r="I67" s="20">
        <f t="shared" si="31"/>
        <v>1</v>
      </c>
      <c r="J67" s="20">
        <f t="shared" si="31"/>
        <v>1</v>
      </c>
      <c r="K67" s="21">
        <f t="shared" si="31"/>
        <v>1</v>
      </c>
      <c r="N67" s="3575"/>
      <c r="O67" s="3577"/>
      <c r="Z67" s="2498" t="s">
        <v>4355</v>
      </c>
      <c r="AA67" s="2499">
        <v>67</v>
      </c>
    </row>
    <row r="68" spans="1:27" ht="13.4" customHeight="1">
      <c r="A68" s="17" t="str">
        <f>$A36</f>
        <v>DCR Mortgage C</v>
      </c>
      <c r="B68" s="20" t="str">
        <f t="shared" ref="B68:K68" si="32">IF(B60=0,"",-(B57+B58+B59)/B60)</f>
        <v/>
      </c>
      <c r="C68" s="20" t="str">
        <f t="shared" si="32"/>
        <v/>
      </c>
      <c r="D68" s="20" t="str">
        <f t="shared" si="32"/>
        <v/>
      </c>
      <c r="E68" s="20" t="str">
        <f t="shared" si="32"/>
        <v/>
      </c>
      <c r="F68" s="20" t="str">
        <f t="shared" si="32"/>
        <v/>
      </c>
      <c r="G68" s="20" t="str">
        <f t="shared" si="32"/>
        <v/>
      </c>
      <c r="H68" s="20" t="str">
        <f t="shared" si="32"/>
        <v/>
      </c>
      <c r="I68" s="20" t="str">
        <f t="shared" si="32"/>
        <v/>
      </c>
      <c r="J68" s="20" t="str">
        <f t="shared" si="32"/>
        <v/>
      </c>
      <c r="K68" s="21" t="str">
        <f t="shared" si="32"/>
        <v/>
      </c>
      <c r="N68" s="3575"/>
      <c r="O68" s="3577"/>
      <c r="Z68" s="2498" t="s">
        <v>4355</v>
      </c>
      <c r="AA68" s="2499">
        <v>68</v>
      </c>
    </row>
    <row r="69" spans="1:27" ht="13.4" customHeight="1">
      <c r="A69" s="17" t="str">
        <f>$A37</f>
        <v>DCR Other Source</v>
      </c>
      <c r="B69" s="20" t="str">
        <f t="shared" ref="B69:K69" si="33">IF(B61=0,"",-(B57+B58+B59+B60)/B61)</f>
        <v/>
      </c>
      <c r="C69" s="20" t="str">
        <f t="shared" si="33"/>
        <v/>
      </c>
      <c r="D69" s="20" t="str">
        <f t="shared" si="33"/>
        <v/>
      </c>
      <c r="E69" s="20" t="str">
        <f t="shared" si="33"/>
        <v/>
      </c>
      <c r="F69" s="20" t="str">
        <f t="shared" si="33"/>
        <v/>
      </c>
      <c r="G69" s="20" t="str">
        <f t="shared" si="33"/>
        <v/>
      </c>
      <c r="H69" s="20" t="str">
        <f t="shared" si="33"/>
        <v/>
      </c>
      <c r="I69" s="20" t="str">
        <f t="shared" si="33"/>
        <v/>
      </c>
      <c r="J69" s="20" t="str">
        <f t="shared" si="33"/>
        <v/>
      </c>
      <c r="K69" s="21" t="str">
        <f t="shared" si="33"/>
        <v/>
      </c>
      <c r="N69" s="3575"/>
      <c r="O69" s="3577"/>
      <c r="Z69" s="2498" t="s">
        <v>4355</v>
      </c>
      <c r="AA69" s="2499">
        <v>69</v>
      </c>
    </row>
    <row r="70" spans="1:27" ht="13.4" customHeight="1">
      <c r="A70" s="340" t="s">
        <v>3130</v>
      </c>
      <c r="B70" s="20">
        <f t="shared" ref="B70:K70" si="34">IF(AND(B58=0,B59=0,B60=0,B61=0),"",-B57/(B58+B59+B60+B61))</f>
        <v>1.25</v>
      </c>
      <c r="C70" s="20">
        <f t="shared" si="34"/>
        <v>1.25</v>
      </c>
      <c r="D70" s="20">
        <f t="shared" si="34"/>
        <v>1.25</v>
      </c>
      <c r="E70" s="20">
        <f t="shared" si="34"/>
        <v>1.25</v>
      </c>
      <c r="F70" s="20">
        <f t="shared" si="34"/>
        <v>1.25</v>
      </c>
      <c r="G70" s="20">
        <f t="shared" si="34"/>
        <v>1.0124596841151277</v>
      </c>
      <c r="H70" s="20">
        <f t="shared" si="34"/>
        <v>1.0128861621234586</v>
      </c>
      <c r="I70" s="20">
        <f t="shared" si="34"/>
        <v>1</v>
      </c>
      <c r="J70" s="20">
        <f t="shared" si="34"/>
        <v>1</v>
      </c>
      <c r="K70" s="21">
        <f t="shared" si="34"/>
        <v>1</v>
      </c>
      <c r="N70" s="3575"/>
      <c r="O70" s="3577"/>
      <c r="Z70" s="2498" t="s">
        <v>4355</v>
      </c>
      <c r="AA70" s="2499">
        <v>70</v>
      </c>
    </row>
    <row r="71" spans="1:27" ht="13.4" customHeight="1">
      <c r="A71" s="17" t="s">
        <v>717</v>
      </c>
      <c r="B71" s="220">
        <f t="shared" ref="B71:K71" si="35">IF(OR(B54="Choose mgt fee",B54="Choose One!"),"",(B47+B48+B49+B50+B51) / -(B53+B54+B55))</f>
        <v>1.4936111880416025</v>
      </c>
      <c r="C71" s="220">
        <f t="shared" si="35"/>
        <v>1.4791093760687035</v>
      </c>
      <c r="D71" s="220">
        <f t="shared" si="35"/>
        <v>1.4647495970356834</v>
      </c>
      <c r="E71" s="220">
        <f t="shared" si="35"/>
        <v>1.450528462673726</v>
      </c>
      <c r="F71" s="220">
        <f t="shared" si="35"/>
        <v>1.436446018073009</v>
      </c>
      <c r="G71" s="220">
        <f t="shared" si="35"/>
        <v>1.4225002238335913</v>
      </c>
      <c r="H71" s="220">
        <f t="shared" si="35"/>
        <v>1.408689222364012</v>
      </c>
      <c r="I71" s="220">
        <f t="shared" si="35"/>
        <v>1.3950122211720157</v>
      </c>
      <c r="J71" s="220">
        <f t="shared" si="35"/>
        <v>1.3814684305824487</v>
      </c>
      <c r="K71" s="221">
        <f t="shared" si="35"/>
        <v>1.3680562243557981</v>
      </c>
      <c r="N71" s="3575"/>
      <c r="O71" s="3577"/>
      <c r="Z71" s="2498" t="s">
        <v>4355</v>
      </c>
      <c r="AA71" s="2499">
        <v>71</v>
      </c>
    </row>
    <row r="72" spans="1:27" ht="13.4" customHeight="1">
      <c r="A72" s="340" t="s">
        <v>2399</v>
      </c>
      <c r="B72" s="177">
        <f>IF('Part II-Sources of Funds'!$I$42="","",-FV('Part II-Sources of Funds'!$K$42/12,12,B58/12,K40))</f>
        <v>6513805.7244583536</v>
      </c>
      <c r="C72" s="177">
        <f>IF('Part II-Sources of Funds'!$I$42="","",-FV('Part II-Sources of Funds'!$K$42/12,12,C58/12,B72))</f>
        <v>6430410.4371587392</v>
      </c>
      <c r="D72" s="177">
        <f>IF('Part II-Sources of Funds'!$I$42="","",-FV('Part II-Sources of Funds'!$K$42/12,12,D58/12,C72))</f>
        <v>6341721.6275131963</v>
      </c>
      <c r="E72" s="177">
        <f>IF('Part II-Sources of Funds'!$I$42="","",-FV('Part II-Sources of Funds'!$K$42/12,12,E58/12,D72))</f>
        <v>6247403.2887792084</v>
      </c>
      <c r="F72" s="177">
        <f>IF('Part II-Sources of Funds'!$I$42="","",-FV('Part II-Sources of Funds'!$K$42/12,12,F58/12,E72))</f>
        <v>6147098.0861601494</v>
      </c>
      <c r="G72" s="177">
        <f>IF('Part II-Sources of Funds'!$I$42="","",-FV('Part II-Sources of Funds'!$K$42/12,12,G58/12,F72))</f>
        <v>6040426.0030053928</v>
      </c>
      <c r="H72" s="177">
        <f>IF('Part II-Sources of Funds'!$I$42="","",-FV('Part II-Sources of Funds'!$K$42/12,12,H58/12,G72))</f>
        <v>5926982.9010778638</v>
      </c>
      <c r="I72" s="177">
        <f>IF('Part II-Sources of Funds'!$I$42="","",-FV('Part II-Sources of Funds'!$K$42/12,12,I58/12,H72))</f>
        <v>5806338.9894344658</v>
      </c>
      <c r="J72" s="177">
        <f>IF('Part II-Sources of Funds'!$I$42="","",-FV('Part II-Sources of Funds'!$K$42/12,12,J58/12,I72))</f>
        <v>5678037.196118569</v>
      </c>
      <c r="K72" s="177">
        <f>IF('Part II-Sources of Funds'!$I$42="","",-FV('Part II-Sources of Funds'!$K$42/12,12,K58/12,J72))</f>
        <v>5541591.4364955556</v>
      </c>
      <c r="N72" s="3575"/>
      <c r="O72" s="3577"/>
      <c r="Z72" s="2498" t="s">
        <v>4355</v>
      </c>
      <c r="AA72" s="2499">
        <v>72</v>
      </c>
    </row>
    <row r="73" spans="1:27" ht="13.4" customHeight="1">
      <c r="A73" s="340" t="s">
        <v>2400</v>
      </c>
      <c r="B73" s="178">
        <f>IF('Part II-Sources of Funds'!$I$43="","",-FV('Part II-Sources of Funds'!$K$43/12,12,B59/12,K41))</f>
        <v>18622728.196885657</v>
      </c>
      <c r="C73" s="178">
        <f>IF('Part II-Sources of Funds'!$I$43="","",-FV('Part II-Sources of Funds'!$K$43/12,12,C59/12,B73))</f>
        <v>19956177.946113899</v>
      </c>
      <c r="D73" s="178">
        <f>IF('Part II-Sources of Funds'!$I$43="","",-FV('Part II-Sources of Funds'!$K$43/12,12,D59/12,C73))</f>
        <v>21386468.611779574</v>
      </c>
      <c r="E73" s="178">
        <f>IF('Part II-Sources of Funds'!$I$43="","",-FV('Part II-Sources of Funds'!$K$43/12,12,E59/12,D73))</f>
        <v>22920930.644544229</v>
      </c>
      <c r="F73" s="178">
        <f>IF('Part II-Sources of Funds'!$I$43="","",-FV('Part II-Sources of Funds'!$K$43/12,12,F59/12,E73))</f>
        <v>24567439.543136384</v>
      </c>
      <c r="G73" s="178">
        <f>IF('Part II-Sources of Funds'!$I$43="","",-FV('Part II-Sources of Funds'!$K$43/12,12,G59/12,F73))</f>
        <v>26215335.428321216</v>
      </c>
      <c r="H73" s="178">
        <f>IF('Part II-Sources of Funds'!$I$43="","",-FV('Part II-Sources of Funds'!$K$43/12,12,H59/12,G73))</f>
        <v>27984920.840635996</v>
      </c>
      <c r="I73" s="178">
        <f>IF('Part II-Sources of Funds'!$I$43="","",-FV('Part II-Sources of Funds'!$K$43/12,12,I59/12,H73))</f>
        <v>29877211.06784514</v>
      </c>
      <c r="J73" s="178">
        <f>IF('Part II-Sources of Funds'!$I$43="","",-FV('Part II-Sources of Funds'!$K$43/12,12,J59/12,I73))</f>
        <v>31909641.342688844</v>
      </c>
      <c r="K73" s="178">
        <f>IF('Part II-Sources of Funds'!$I$43="","",-FV('Part II-Sources of Funds'!$K$43/12,12,K59/12,J73))</f>
        <v>34092887.30345919</v>
      </c>
      <c r="N73" s="3575"/>
      <c r="O73" s="3577"/>
      <c r="Z73" s="2498" t="s">
        <v>4355</v>
      </c>
      <c r="AA73" s="2499">
        <v>73</v>
      </c>
    </row>
    <row r="74" spans="1:27" ht="13.4" customHeight="1">
      <c r="A74" s="340" t="s">
        <v>2401</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575"/>
      <c r="O74" s="3577"/>
      <c r="Z74" s="2498" t="s">
        <v>4355</v>
      </c>
      <c r="AA74" s="2499">
        <v>74</v>
      </c>
    </row>
    <row r="75" spans="1:27" ht="13.4"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575"/>
      <c r="O75" s="3577"/>
      <c r="Z75" s="2498" t="s">
        <v>4355</v>
      </c>
      <c r="AA75" s="2499">
        <v>75</v>
      </c>
    </row>
    <row r="76" spans="1:27" ht="13.4" customHeight="1">
      <c r="A76" s="340" t="s">
        <v>3275</v>
      </c>
      <c r="B76" s="179">
        <f>IF('Part II-Sources of Funds'!$I$47="","",IF(-FV('Part II-Sources of Funds'!$K$47/12,12,B64/12,K44)&gt;0,-FV('Part II-Sources of Funds'!$K$47/12,12,B64/12,K44),0))</f>
        <v>0.31010207984163207</v>
      </c>
      <c r="C76" s="179">
        <f>IF('Part II-Sources of Funds'!$I$47="","",IF(-FV('Part II-Sources of Funds'!$K$47/12,12,C64/12,B76)&gt;0,-FV('Part II-Sources of Funds'!$K$47/12,12,C64/12,B76),0))</f>
        <v>0.33251938426707056</v>
      </c>
      <c r="D76" s="179">
        <f>IF('Part II-Sources of Funds'!$I$47="","",IF(-FV('Part II-Sources of Funds'!$K$47/12,12,D64/12,C76)&gt;0,-FV('Part II-Sources of Funds'!$K$47/12,12,D64/12,C76),0))</f>
        <v>0.35655723744200285</v>
      </c>
      <c r="E76" s="179">
        <f>IF('Part II-Sources of Funds'!$I$47="","",IF(-FV('Part II-Sources of Funds'!$K$47/12,12,E64/12,D76)&gt;0,-FV('Part II-Sources of Funds'!$K$47/12,12,E64/12,D76),0))</f>
        <v>0.38233278896656131</v>
      </c>
      <c r="F76" s="179">
        <f>IF('Part II-Sources of Funds'!$I$47="","",IF(-FV('Part II-Sources of Funds'!$K$47/12,12,F64/12,E76)&gt;0,-FV('Part II-Sources of Funds'!$K$47/12,12,F64/12,E76),0))</f>
        <v>0.40997165719494422</v>
      </c>
      <c r="G76" s="179">
        <f>IF('Part II-Sources of Funds'!$I$47="","",IF(-FV('Part II-Sources of Funds'!$K$47/12,12,G64/12,F76)&gt;0,-FV('Part II-Sources of Funds'!$K$47/12,12,G64/12,F76),0))</f>
        <v>0.43960854144233175</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72"/>
      <c r="O76" s="3574"/>
      <c r="Z76" s="2498" t="s">
        <v>4355</v>
      </c>
      <c r="AA76" s="2499">
        <v>76</v>
      </c>
    </row>
    <row r="77" spans="1:27" ht="4.4000000000000004" customHeight="1">
      <c r="B77" s="13"/>
      <c r="C77" s="13"/>
      <c r="D77" s="13"/>
      <c r="E77" s="13"/>
      <c r="F77" s="13"/>
      <c r="G77" s="13"/>
      <c r="H77" s="13"/>
      <c r="I77" s="13"/>
      <c r="J77" s="13"/>
      <c r="K77" s="13"/>
      <c r="AA77" s="2499">
        <v>77</v>
      </c>
    </row>
    <row r="78" spans="1:27" ht="14.65" customHeight="1">
      <c r="A78" s="10" t="s">
        <v>2278</v>
      </c>
      <c r="B78" s="12">
        <f>K46+1</f>
        <v>21</v>
      </c>
      <c r="C78" s="12">
        <f t="shared" ref="C78:K78" si="36">B78+1</f>
        <v>22</v>
      </c>
      <c r="D78" s="12">
        <f t="shared" si="36"/>
        <v>23</v>
      </c>
      <c r="E78" s="12">
        <f t="shared" si="36"/>
        <v>24</v>
      </c>
      <c r="F78" s="12">
        <f t="shared" si="36"/>
        <v>25</v>
      </c>
      <c r="G78" s="12">
        <f t="shared" si="36"/>
        <v>26</v>
      </c>
      <c r="H78" s="12">
        <f t="shared" si="36"/>
        <v>27</v>
      </c>
      <c r="I78" s="12">
        <f t="shared" si="36"/>
        <v>28</v>
      </c>
      <c r="J78" s="12">
        <f t="shared" si="36"/>
        <v>29</v>
      </c>
      <c r="K78" s="12">
        <f t="shared" si="36"/>
        <v>30</v>
      </c>
      <c r="N78" s="3276" t="s">
        <v>2403</v>
      </c>
      <c r="O78" s="3276"/>
      <c r="AA78" s="2499">
        <v>78</v>
      </c>
    </row>
    <row r="79" spans="1:27" ht="13.4" customHeight="1">
      <c r="A79" s="14" t="s">
        <v>2209</v>
      </c>
      <c r="B79" s="15">
        <f t="shared" ref="B79:K79" si="37">$B$15*(1+$B$6)^(B78-1)</f>
        <v>2408269.0008725347</v>
      </c>
      <c r="C79" s="15">
        <f t="shared" si="37"/>
        <v>2456434.3808899852</v>
      </c>
      <c r="D79" s="15">
        <f t="shared" si="37"/>
        <v>2505563.068507785</v>
      </c>
      <c r="E79" s="15">
        <f t="shared" si="37"/>
        <v>2555674.3298779405</v>
      </c>
      <c r="F79" s="15">
        <f t="shared" si="37"/>
        <v>2606787.8164754994</v>
      </c>
      <c r="G79" s="15">
        <f t="shared" si="37"/>
        <v>2658923.5728050093</v>
      </c>
      <c r="H79" s="15">
        <f t="shared" si="37"/>
        <v>2712102.04426111</v>
      </c>
      <c r="I79" s="15">
        <f t="shared" si="37"/>
        <v>2766344.0851463317</v>
      </c>
      <c r="J79" s="15">
        <f t="shared" si="37"/>
        <v>2821670.9668492586</v>
      </c>
      <c r="K79" s="16">
        <f t="shared" si="37"/>
        <v>2878104.3861862435</v>
      </c>
      <c r="N79" s="3579"/>
      <c r="O79" s="3581"/>
      <c r="Z79" s="2498" t="s">
        <v>4356</v>
      </c>
      <c r="AA79" s="2499">
        <v>79</v>
      </c>
    </row>
    <row r="80" spans="1:27" ht="13.4" customHeight="1">
      <c r="A80" s="17" t="s">
        <v>951</v>
      </c>
      <c r="B80" s="18">
        <f t="shared" ref="B80:K80" si="38">$B$16*(1+$B$6)^(B78-1)</f>
        <v>48165.380017450698</v>
      </c>
      <c r="C80" s="18">
        <f t="shared" si="38"/>
        <v>49128.687617799711</v>
      </c>
      <c r="D80" s="18">
        <f t="shared" si="38"/>
        <v>50111.261370155706</v>
      </c>
      <c r="E80" s="18">
        <f t="shared" si="38"/>
        <v>51113.486597558811</v>
      </c>
      <c r="F80" s="18">
        <f t="shared" si="38"/>
        <v>52135.75632950999</v>
      </c>
      <c r="G80" s="18">
        <f t="shared" si="38"/>
        <v>53178.471456100189</v>
      </c>
      <c r="H80" s="18">
        <f t="shared" si="38"/>
        <v>54242.040885222203</v>
      </c>
      <c r="I80" s="18">
        <f t="shared" si="38"/>
        <v>55326.881702926636</v>
      </c>
      <c r="J80" s="18">
        <f t="shared" si="38"/>
        <v>56433.419336985178</v>
      </c>
      <c r="K80" s="19">
        <f t="shared" si="38"/>
        <v>57562.087723724871</v>
      </c>
      <c r="N80" s="3575"/>
      <c r="O80" s="3577"/>
      <c r="Z80" s="2498" t="s">
        <v>4356</v>
      </c>
      <c r="AA80" s="2499">
        <v>80</v>
      </c>
    </row>
    <row r="81" spans="1:27" ht="13.4" customHeight="1">
      <c r="A81" s="17" t="s">
        <v>2210</v>
      </c>
      <c r="B81" s="18">
        <f t="shared" ref="B81:K81" si="39">-(B79+B80)*$B$9</f>
        <v>-171950.40666229898</v>
      </c>
      <c r="C81" s="18">
        <f t="shared" si="39"/>
        <v>-175389.41479554496</v>
      </c>
      <c r="D81" s="18">
        <f t="shared" si="39"/>
        <v>-178897.20309145586</v>
      </c>
      <c r="E81" s="18">
        <f t="shared" si="39"/>
        <v>-182475.14715328498</v>
      </c>
      <c r="F81" s="18">
        <f t="shared" si="39"/>
        <v>-186124.65009635067</v>
      </c>
      <c r="G81" s="18">
        <f t="shared" si="39"/>
        <v>-189847.14309827768</v>
      </c>
      <c r="H81" s="18">
        <f t="shared" si="39"/>
        <v>-193644.08596024328</v>
      </c>
      <c r="I81" s="18">
        <f t="shared" si="39"/>
        <v>-197516.96767944808</v>
      </c>
      <c r="J81" s="18">
        <f t="shared" si="39"/>
        <v>-201467.3070330371</v>
      </c>
      <c r="K81" s="19">
        <f t="shared" si="39"/>
        <v>-205496.65317369782</v>
      </c>
      <c r="N81" s="3575"/>
      <c r="O81" s="3577"/>
      <c r="Z81" s="2498" t="s">
        <v>4356</v>
      </c>
      <c r="AA81" s="2499">
        <v>81</v>
      </c>
    </row>
    <row r="82" spans="1:27" ht="13.4"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575"/>
      <c r="O82" s="3577"/>
      <c r="Z82" s="2498" t="s">
        <v>4356</v>
      </c>
      <c r="AA82" s="2499">
        <v>82</v>
      </c>
    </row>
    <row r="83" spans="1:27" ht="13.4"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575"/>
      <c r="O83" s="3577"/>
      <c r="Z83" s="2498" t="s">
        <v>4356</v>
      </c>
      <c r="AA83" s="2499">
        <v>83</v>
      </c>
    </row>
    <row r="84" spans="1:27" ht="13.4" customHeight="1">
      <c r="A84" s="340" t="s">
        <v>3714</v>
      </c>
      <c r="B84" s="18">
        <f t="shared" ref="B84:K84" si="40">SUM(B79:B83)</f>
        <v>2284483.9742276864</v>
      </c>
      <c r="C84" s="18">
        <f t="shared" si="40"/>
        <v>2330173.65371224</v>
      </c>
      <c r="D84" s="18">
        <f t="shared" si="40"/>
        <v>2376777.1267864844</v>
      </c>
      <c r="E84" s="18">
        <f t="shared" si="40"/>
        <v>2424312.6693222146</v>
      </c>
      <c r="F84" s="18">
        <f t="shared" si="40"/>
        <v>2472798.9227086585</v>
      </c>
      <c r="G84" s="18">
        <f t="shared" si="40"/>
        <v>2522254.901162832</v>
      </c>
      <c r="H84" s="18">
        <f t="shared" si="40"/>
        <v>2572699.9991860888</v>
      </c>
      <c r="I84" s="18">
        <f t="shared" si="40"/>
        <v>2624153.9991698102</v>
      </c>
      <c r="J84" s="18">
        <f t="shared" si="40"/>
        <v>2676637.0791532067</v>
      </c>
      <c r="K84" s="19">
        <f t="shared" si="40"/>
        <v>2730169.8207362709</v>
      </c>
      <c r="N84" s="3575"/>
      <c r="O84" s="3577"/>
      <c r="Z84" s="2498" t="s">
        <v>4356</v>
      </c>
      <c r="AA84" s="2499">
        <v>84</v>
      </c>
    </row>
    <row r="85" spans="1:27" ht="13.4" customHeight="1">
      <c r="A85" s="17" t="s">
        <v>571</v>
      </c>
      <c r="B85" s="18">
        <f t="shared" ref="B85:K85" si="41">$B$21*(1+$B$7)^(B78-1)</f>
        <v>-1491389.1275833293</v>
      </c>
      <c r="C85" s="18">
        <f t="shared" si="41"/>
        <v>-1536130.8014108289</v>
      </c>
      <c r="D85" s="18">
        <f t="shared" si="41"/>
        <v>-1582214.725453154</v>
      </c>
      <c r="E85" s="18">
        <f t="shared" si="41"/>
        <v>-1629681.1672167487</v>
      </c>
      <c r="F85" s="18">
        <f t="shared" si="41"/>
        <v>-1678571.6022332509</v>
      </c>
      <c r="G85" s="18">
        <f t="shared" si="41"/>
        <v>-1728928.7503002484</v>
      </c>
      <c r="H85" s="18">
        <f t="shared" si="41"/>
        <v>-1780796.6128092562</v>
      </c>
      <c r="I85" s="18">
        <f t="shared" si="41"/>
        <v>-1834220.5111935337</v>
      </c>
      <c r="J85" s="18">
        <f t="shared" si="41"/>
        <v>-1889247.1265293397</v>
      </c>
      <c r="K85" s="19">
        <f t="shared" si="41"/>
        <v>-1945924.5403252197</v>
      </c>
      <c r="N85" s="3575"/>
      <c r="O85" s="3577"/>
      <c r="Z85" s="2498" t="s">
        <v>4356</v>
      </c>
      <c r="AA85" s="2499">
        <v>85</v>
      </c>
    </row>
    <row r="86" spans="1:27" ht="13.4" customHeight="1">
      <c r="A86" s="17" t="s">
        <v>1049</v>
      </c>
      <c r="B86" s="18">
        <f>IF(AND('Part VI-Pro Forma'!$G$9="Yes",'Part VI-Pro Forma'!$G$10="Yes"),"Choose One!",IF('Part VI-Pro Forma'!$G$9="Yes",ROUND((-$K$9*(1+'Part VI-Pro Forma'!$B$7)^('Part VI-Pro Forma'!B78-1)),),IF('Part VI-Pro Forma'!$G$10="Yes",ROUND((-(SUM(B79:B82)*'Part VI-Pro Forma'!$K$10)),),"Choose mgt fee")))</f>
        <v>-110621</v>
      </c>
      <c r="C86" s="18">
        <f>IF(AND('Part VI-Pro Forma'!$G$9="Yes",'Part VI-Pro Forma'!$G$10="Yes"),"Choose One!",IF('Part VI-Pro Forma'!$G$9="Yes",ROUND((-$K$9*(1+'Part VI-Pro Forma'!$B$7)^('Part VI-Pro Forma'!C78-1)),),IF('Part VI-Pro Forma'!$G$10="Yes",ROUND((-(SUM(C79:C82)*'Part VI-Pro Forma'!$K$10)),),"Choose mgt fee")))</f>
        <v>-113939</v>
      </c>
      <c r="D86" s="18">
        <f>IF(AND('Part VI-Pro Forma'!$G$9="Yes",'Part VI-Pro Forma'!$G$10="Yes"),"Choose One!",IF('Part VI-Pro Forma'!$G$9="Yes",ROUND((-$K$9*(1+'Part VI-Pro Forma'!$B$7)^('Part VI-Pro Forma'!D78-1)),),IF('Part VI-Pro Forma'!$G$10="Yes",ROUND((-(SUM(D79:D82)*'Part VI-Pro Forma'!$K$10)),),"Choose mgt fee")))</f>
        <v>-117358</v>
      </c>
      <c r="E86" s="18">
        <f>IF(AND('Part VI-Pro Forma'!$G$9="Yes",'Part VI-Pro Forma'!$G$10="Yes"),"Choose One!",IF('Part VI-Pro Forma'!$G$9="Yes",ROUND((-$K$9*(1+'Part VI-Pro Forma'!$B$7)^('Part VI-Pro Forma'!E78-1)),),IF('Part VI-Pro Forma'!$G$10="Yes",ROUND((-(SUM(E79:E82)*'Part VI-Pro Forma'!$K$10)),),"Choose mgt fee")))</f>
        <v>-120878</v>
      </c>
      <c r="F86" s="18">
        <f>IF(AND('Part VI-Pro Forma'!$G$9="Yes",'Part VI-Pro Forma'!$G$10="Yes"),"Choose One!",IF('Part VI-Pro Forma'!$G$9="Yes",ROUND((-$K$9*(1+'Part VI-Pro Forma'!$B$7)^('Part VI-Pro Forma'!F78-1)),),IF('Part VI-Pro Forma'!$G$10="Yes",ROUND((-(SUM(F79:F82)*'Part VI-Pro Forma'!$K$10)),),"Choose mgt fee")))</f>
        <v>-124505</v>
      </c>
      <c r="G86" s="18">
        <f>IF(AND('Part VI-Pro Forma'!$G$9="Yes",'Part VI-Pro Forma'!$G$10="Yes"),"Choose One!",IF('Part VI-Pro Forma'!$G$9="Yes",ROUND((-$K$9*(1+'Part VI-Pro Forma'!$B$7)^('Part VI-Pro Forma'!G78-1)),),IF('Part VI-Pro Forma'!$G$10="Yes",ROUND((-(SUM(G79:G82)*'Part VI-Pro Forma'!$K$10)),),"Choose mgt fee")))</f>
        <v>-128240</v>
      </c>
      <c r="H86" s="18">
        <f>IF(AND('Part VI-Pro Forma'!$G$9="Yes",'Part VI-Pro Forma'!$G$10="Yes"),"Choose One!",IF('Part VI-Pro Forma'!$G$9="Yes",ROUND((-$K$9*(1+'Part VI-Pro Forma'!$B$7)^('Part VI-Pro Forma'!H78-1)),),IF('Part VI-Pro Forma'!$G$10="Yes",ROUND((-(SUM(H79:H82)*'Part VI-Pro Forma'!$K$10)),),"Choose mgt fee")))</f>
        <v>-132087</v>
      </c>
      <c r="I86" s="18">
        <f>IF(AND('Part VI-Pro Forma'!$G$9="Yes",'Part VI-Pro Forma'!$G$10="Yes"),"Choose One!",IF('Part VI-Pro Forma'!$G$9="Yes",ROUND((-$K$9*(1+'Part VI-Pro Forma'!$B$7)^('Part VI-Pro Forma'!I78-1)),),IF('Part VI-Pro Forma'!$G$10="Yes",ROUND((-(SUM(I79:I82)*'Part VI-Pro Forma'!$K$10)),),"Choose mgt fee")))</f>
        <v>-136050</v>
      </c>
      <c r="J86" s="18">
        <f>IF(AND('Part VI-Pro Forma'!$G$9="Yes",'Part VI-Pro Forma'!$G$10="Yes"),"Choose One!",IF('Part VI-Pro Forma'!$G$9="Yes",ROUND((-$K$9*(1+'Part VI-Pro Forma'!$B$7)^('Part VI-Pro Forma'!J78-1)),),IF('Part VI-Pro Forma'!$G$10="Yes",ROUND((-(SUM(J79:J82)*'Part VI-Pro Forma'!$K$10)),),"Choose mgt fee")))</f>
        <v>-140131</v>
      </c>
      <c r="K86" s="19">
        <f>IF(AND('Part VI-Pro Forma'!$G$9="Yes",'Part VI-Pro Forma'!$G$10="Yes"),"Choose One!",IF('Part VI-Pro Forma'!$G$9="Yes",ROUND((-$K$9*(1+'Part VI-Pro Forma'!$B$7)^('Part VI-Pro Forma'!K78-1)),),IF('Part VI-Pro Forma'!$G$10="Yes",ROUND((-(SUM(K79:K82)*'Part VI-Pro Forma'!$K$10)),),"Choose mgt fee")))</f>
        <v>-144335</v>
      </c>
      <c r="N86" s="3575"/>
      <c r="O86" s="3577"/>
      <c r="Z86" s="2498" t="s">
        <v>4356</v>
      </c>
      <c r="AA86" s="2499">
        <v>86</v>
      </c>
    </row>
    <row r="87" spans="1:27" ht="13.4" customHeight="1">
      <c r="A87" s="17" t="s">
        <v>1127</v>
      </c>
      <c r="B87" s="18">
        <f t="shared" ref="B87:K87" si="42">$B$23*(1+$B$8)^(B78-1)</f>
        <v>-84237.02798498144</v>
      </c>
      <c r="C87" s="18">
        <f t="shared" si="42"/>
        <v>-86764.138824530863</v>
      </c>
      <c r="D87" s="18">
        <f t="shared" si="42"/>
        <v>-89367.062989266808</v>
      </c>
      <c r="E87" s="18">
        <f t="shared" si="42"/>
        <v>-92048.074878944812</v>
      </c>
      <c r="F87" s="18">
        <f t="shared" si="42"/>
        <v>-94809.517125313141</v>
      </c>
      <c r="G87" s="18">
        <f t="shared" si="42"/>
        <v>-97653.802639072528</v>
      </c>
      <c r="H87" s="18">
        <f t="shared" si="42"/>
        <v>-100583.41671824473</v>
      </c>
      <c r="I87" s="18">
        <f t="shared" si="42"/>
        <v>-103600.91921979205</v>
      </c>
      <c r="J87" s="18">
        <f t="shared" si="42"/>
        <v>-106708.94679638582</v>
      </c>
      <c r="K87" s="19">
        <f t="shared" si="42"/>
        <v>-109910.21520027738</v>
      </c>
      <c r="N87" s="3575"/>
      <c r="O87" s="3577"/>
      <c r="Q87" s="92"/>
      <c r="R87" s="852"/>
      <c r="S87" s="852"/>
      <c r="Z87" s="2498" t="s">
        <v>4356</v>
      </c>
      <c r="AA87" s="2499">
        <v>87</v>
      </c>
    </row>
    <row r="88" spans="1:27" ht="13.4" customHeight="1">
      <c r="A88" s="340" t="s">
        <v>3713</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575"/>
      <c r="O88" s="3577"/>
      <c r="Z88" s="2498" t="s">
        <v>4356</v>
      </c>
      <c r="AA88" s="2499">
        <v>88</v>
      </c>
    </row>
    <row r="89" spans="1:27" ht="13.4" customHeight="1">
      <c r="A89" s="17" t="s">
        <v>1128</v>
      </c>
      <c r="B89" s="18">
        <f t="shared" ref="B89:K89" si="43">SUM(B84:B88)</f>
        <v>598236.81865937565</v>
      </c>
      <c r="C89" s="18">
        <f t="shared" si="43"/>
        <v>593339.71347688022</v>
      </c>
      <c r="D89" s="18">
        <f t="shared" si="43"/>
        <v>587837.33834406361</v>
      </c>
      <c r="E89" s="18">
        <f t="shared" si="43"/>
        <v>581705.42722652107</v>
      </c>
      <c r="F89" s="18">
        <f t="shared" si="43"/>
        <v>574912.80335009447</v>
      </c>
      <c r="G89" s="18">
        <f t="shared" si="43"/>
        <v>567432.34822351113</v>
      </c>
      <c r="H89" s="18">
        <f t="shared" si="43"/>
        <v>559232.96965858783</v>
      </c>
      <c r="I89" s="18">
        <f t="shared" si="43"/>
        <v>550282.56875648454</v>
      </c>
      <c r="J89" s="18">
        <f t="shared" si="43"/>
        <v>540550.00582748116</v>
      </c>
      <c r="K89" s="1150">
        <f t="shared" si="43"/>
        <v>530000.06521077373</v>
      </c>
      <c r="N89" s="3575"/>
      <c r="O89" s="3577"/>
      <c r="Z89" s="2498" t="s">
        <v>4356</v>
      </c>
      <c r="AA89" s="2499">
        <v>89</v>
      </c>
    </row>
    <row r="90" spans="1:27" ht="13.4" customHeight="1">
      <c r="A90" s="17" t="str">
        <f>$A58</f>
        <v>Mortgage A</v>
      </c>
      <c r="B90" s="341">
        <f>IF('Part II-Sources of Funds'!$P$42="", 0,-'Part II-Sources of Funds'!$P$42)</f>
        <v>-482964.9549579189</v>
      </c>
      <c r="C90" s="341">
        <f>IF('Part II-Sources of Funds'!$P$42="", 0,-'Part II-Sources of Funds'!$P$42)</f>
        <v>-482964.9549579189</v>
      </c>
      <c r="D90" s="341">
        <f>IF('Part II-Sources of Funds'!$P$42="", 0,-'Part II-Sources of Funds'!$P$42)</f>
        <v>-482964.9549579189</v>
      </c>
      <c r="E90" s="341">
        <f>IF('Part II-Sources of Funds'!$P$42="", 0,-'Part II-Sources of Funds'!$P$42)</f>
        <v>-482964.9549579189</v>
      </c>
      <c r="F90" s="341">
        <f>IF('Part II-Sources of Funds'!$P$42="", 0,-'Part II-Sources of Funds'!$P$42)</f>
        <v>-482964.9549579189</v>
      </c>
      <c r="G90" s="341">
        <f>IF('Part II-Sources of Funds'!$P$42="", 0,-'Part II-Sources of Funds'!$P$42)</f>
        <v>-482964.9549579189</v>
      </c>
      <c r="H90" s="341">
        <f>IF('Part II-Sources of Funds'!$P$42="", 0,-'Part II-Sources of Funds'!$P$42)</f>
        <v>-482964.9549579189</v>
      </c>
      <c r="I90" s="341">
        <f>IF('Part II-Sources of Funds'!$P$42="", 0,-'Part II-Sources of Funds'!$P$42)</f>
        <v>-482964.9549579189</v>
      </c>
      <c r="J90" s="341">
        <f>IF('Part II-Sources of Funds'!$P$42="", 0,-'Part II-Sources of Funds'!$P$42)</f>
        <v>-482964.9549579189</v>
      </c>
      <c r="K90" s="341">
        <f>IF('Part II-Sources of Funds'!$P$42="", 0,-'Part II-Sources of Funds'!$P$42)</f>
        <v>-482964.9549579189</v>
      </c>
      <c r="N90" s="3575"/>
      <c r="O90" s="3577"/>
      <c r="Z90" s="2498" t="s">
        <v>4356</v>
      </c>
      <c r="AA90" s="2499">
        <v>90</v>
      </c>
    </row>
    <row r="91" spans="1:27" ht="13.4" customHeight="1">
      <c r="A91" s="17" t="str">
        <f>$A59</f>
        <v>Mortgage B</v>
      </c>
      <c r="B91" s="178">
        <f>-(B89+SUM(B92:B95,B90))</f>
        <v>-115271.86370145675</v>
      </c>
      <c r="C91" s="178">
        <f t="shared" ref="C91:K91" si="44">-(C89+SUM(C92:C95,C90))</f>
        <v>-110374.75851896132</v>
      </c>
      <c r="D91" s="178">
        <f t="shared" si="44"/>
        <v>-104872.38338614471</v>
      </c>
      <c r="E91" s="178">
        <f t="shared" si="44"/>
        <v>-98740.472268602171</v>
      </c>
      <c r="F91" s="178">
        <f t="shared" si="44"/>
        <v>-91947.848392175569</v>
      </c>
      <c r="G91" s="178">
        <f t="shared" si="44"/>
        <v>-84467.393265592225</v>
      </c>
      <c r="H91" s="178">
        <f t="shared" si="44"/>
        <v>-76268.014700668922</v>
      </c>
      <c r="I91" s="178">
        <f t="shared" si="44"/>
        <v>-67317.613798565639</v>
      </c>
      <c r="J91" s="178">
        <f t="shared" si="44"/>
        <v>-57585.050869562256</v>
      </c>
      <c r="K91" s="178">
        <f t="shared" si="44"/>
        <v>-47035.110252854822</v>
      </c>
      <c r="N91" s="3575"/>
      <c r="O91" s="3577"/>
      <c r="Z91" s="2498" t="s">
        <v>4356</v>
      </c>
      <c r="AA91" s="2499">
        <v>91</v>
      </c>
    </row>
    <row r="92" spans="1:27" ht="13.4"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575"/>
      <c r="O92" s="3577"/>
      <c r="Z92" s="2498" t="s">
        <v>4356</v>
      </c>
      <c r="AA92" s="2499">
        <v>92</v>
      </c>
    </row>
    <row r="93" spans="1:27" ht="13.4"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575"/>
      <c r="O93" s="3577"/>
      <c r="Z93" s="2498" t="s">
        <v>4356</v>
      </c>
      <c r="AA93" s="2499">
        <v>93</v>
      </c>
    </row>
    <row r="94" spans="1:27" ht="13.4" customHeight="1">
      <c r="A94" s="17" t="s">
        <v>710</v>
      </c>
      <c r="B94" s="138"/>
      <c r="C94" s="138"/>
      <c r="D94" s="138"/>
      <c r="E94" s="138"/>
      <c r="F94" s="138"/>
      <c r="G94" s="138"/>
      <c r="H94" s="138"/>
      <c r="I94" s="138"/>
      <c r="J94" s="138"/>
      <c r="K94" s="138"/>
      <c r="N94" s="3575"/>
      <c r="O94" s="3577"/>
      <c r="Z94" s="2498" t="s">
        <v>4356</v>
      </c>
      <c r="AA94" s="2499">
        <v>94</v>
      </c>
    </row>
    <row r="95" spans="1:27" ht="13.4" customHeight="1">
      <c r="A95" s="340" t="s">
        <v>1094</v>
      </c>
      <c r="B95" s="179"/>
      <c r="C95" s="179"/>
      <c r="D95" s="179"/>
      <c r="E95" s="179"/>
      <c r="F95" s="179"/>
      <c r="G95" s="179"/>
      <c r="H95" s="179"/>
      <c r="I95" s="179"/>
      <c r="J95" s="179"/>
      <c r="K95" s="179"/>
      <c r="N95" s="3575"/>
      <c r="O95" s="3577"/>
      <c r="Z95" s="2498" t="s">
        <v>4356</v>
      </c>
      <c r="AA95" s="2499">
        <v>95</v>
      </c>
    </row>
    <row r="96" spans="1:27" ht="13.4" customHeight="1">
      <c r="A96" s="17" t="s">
        <v>1095</v>
      </c>
      <c r="B96" s="18">
        <f t="shared" ref="B96:K96" si="45">SUM(B89:B95)</f>
        <v>0</v>
      </c>
      <c r="C96" s="18">
        <f t="shared" si="45"/>
        <v>0</v>
      </c>
      <c r="D96" s="18">
        <f t="shared" si="45"/>
        <v>0</v>
      </c>
      <c r="E96" s="18">
        <f t="shared" si="45"/>
        <v>0</v>
      </c>
      <c r="F96" s="18">
        <f t="shared" si="45"/>
        <v>0</v>
      </c>
      <c r="G96" s="18">
        <f t="shared" si="45"/>
        <v>0</v>
      </c>
      <c r="H96" s="18">
        <f t="shared" si="45"/>
        <v>0</v>
      </c>
      <c r="I96" s="18">
        <f t="shared" si="45"/>
        <v>0</v>
      </c>
      <c r="J96" s="18">
        <f t="shared" si="45"/>
        <v>0</v>
      </c>
      <c r="K96" s="19">
        <f t="shared" si="45"/>
        <v>0</v>
      </c>
      <c r="N96" s="3575"/>
      <c r="O96" s="3577"/>
      <c r="Z96" s="2498" t="s">
        <v>4356</v>
      </c>
      <c r="AA96" s="2499">
        <v>96</v>
      </c>
    </row>
    <row r="97" spans="1:27" ht="13.4" customHeight="1">
      <c r="A97" s="17" t="str">
        <f>$A66</f>
        <v>DCR Mortgage A</v>
      </c>
      <c r="B97" s="20">
        <f t="shared" ref="B97:K97" si="46">IF(B90=0,"",-B89/B90)</f>
        <v>1.2386754204795263</v>
      </c>
      <c r="C97" s="20">
        <f t="shared" si="46"/>
        <v>1.2285357506500205</v>
      </c>
      <c r="D97" s="20">
        <f t="shared" si="46"/>
        <v>1.2171428429942341</v>
      </c>
      <c r="E97" s="20">
        <f t="shared" si="46"/>
        <v>1.2044464536297577</v>
      </c>
      <c r="F97" s="20">
        <f t="shared" si="46"/>
        <v>1.1903820296861645</v>
      </c>
      <c r="G97" s="20">
        <f t="shared" si="46"/>
        <v>1.1748934211447122</v>
      </c>
      <c r="H97" s="20">
        <f t="shared" si="46"/>
        <v>1.1579162502739235</v>
      </c>
      <c r="I97" s="20">
        <f t="shared" si="46"/>
        <v>1.1393840549040066</v>
      </c>
      <c r="J97" s="20">
        <f t="shared" si="46"/>
        <v>1.1192323589494804</v>
      </c>
      <c r="K97" s="21">
        <f t="shared" si="46"/>
        <v>1.0973882468489935</v>
      </c>
      <c r="N97" s="3575"/>
      <c r="O97" s="3577"/>
      <c r="Z97" s="2498" t="s">
        <v>4356</v>
      </c>
      <c r="AA97" s="2499">
        <v>97</v>
      </c>
    </row>
    <row r="98" spans="1:27" ht="13.4" customHeight="1">
      <c r="A98" s="17" t="str">
        <f>$A67</f>
        <v>DCR Mortgage B</v>
      </c>
      <c r="B98" s="20">
        <f t="shared" ref="B98:K98" si="47">IF(B91=0,"",-(B89+B90)/B91)</f>
        <v>1</v>
      </c>
      <c r="C98" s="20">
        <f t="shared" si="47"/>
        <v>1</v>
      </c>
      <c r="D98" s="20">
        <f t="shared" si="47"/>
        <v>1</v>
      </c>
      <c r="E98" s="20">
        <f t="shared" si="47"/>
        <v>1</v>
      </c>
      <c r="F98" s="20">
        <f t="shared" si="47"/>
        <v>1</v>
      </c>
      <c r="G98" s="20">
        <f t="shared" si="47"/>
        <v>1</v>
      </c>
      <c r="H98" s="20">
        <f t="shared" si="47"/>
        <v>1</v>
      </c>
      <c r="I98" s="20">
        <f t="shared" si="47"/>
        <v>1</v>
      </c>
      <c r="J98" s="20">
        <f t="shared" si="47"/>
        <v>1</v>
      </c>
      <c r="K98" s="21">
        <f t="shared" si="47"/>
        <v>1</v>
      </c>
      <c r="N98" s="3575"/>
      <c r="O98" s="3577"/>
      <c r="Z98" s="2498" t="s">
        <v>4356</v>
      </c>
      <c r="AA98" s="2499">
        <v>98</v>
      </c>
    </row>
    <row r="99" spans="1:27" ht="13.4" customHeight="1">
      <c r="A99" s="17" t="str">
        <f>$A68</f>
        <v>DCR Mortgage C</v>
      </c>
      <c r="B99" s="20" t="str">
        <f t="shared" ref="B99:K99" si="48">IF(B92=0,"",-(B89+B90+B91)/B92)</f>
        <v/>
      </c>
      <c r="C99" s="20" t="str">
        <f t="shared" si="48"/>
        <v/>
      </c>
      <c r="D99" s="20" t="str">
        <f t="shared" si="48"/>
        <v/>
      </c>
      <c r="E99" s="20" t="str">
        <f t="shared" si="48"/>
        <v/>
      </c>
      <c r="F99" s="20" t="str">
        <f t="shared" si="48"/>
        <v/>
      </c>
      <c r="G99" s="20" t="str">
        <f t="shared" si="48"/>
        <v/>
      </c>
      <c r="H99" s="20" t="str">
        <f t="shared" si="48"/>
        <v/>
      </c>
      <c r="I99" s="20" t="str">
        <f t="shared" si="48"/>
        <v/>
      </c>
      <c r="J99" s="20" t="str">
        <f t="shared" si="48"/>
        <v/>
      </c>
      <c r="K99" s="21" t="str">
        <f t="shared" si="48"/>
        <v/>
      </c>
      <c r="N99" s="3575"/>
      <c r="O99" s="3577"/>
      <c r="Z99" s="2498" t="s">
        <v>4356</v>
      </c>
      <c r="AA99" s="2499">
        <v>99</v>
      </c>
    </row>
    <row r="100" spans="1:27" ht="13.4" customHeight="1">
      <c r="A100" s="17" t="str">
        <f>$A69</f>
        <v>DCR Other Source</v>
      </c>
      <c r="B100" s="20" t="str">
        <f t="shared" ref="B100:K100" si="49">IF(B93=0,"",-(B89+B90+B91+B92)/B93)</f>
        <v/>
      </c>
      <c r="C100" s="20" t="str">
        <f t="shared" si="49"/>
        <v/>
      </c>
      <c r="D100" s="20" t="str">
        <f t="shared" si="49"/>
        <v/>
      </c>
      <c r="E100" s="20" t="str">
        <f t="shared" si="49"/>
        <v/>
      </c>
      <c r="F100" s="20" t="str">
        <f t="shared" si="49"/>
        <v/>
      </c>
      <c r="G100" s="20" t="str">
        <f t="shared" si="49"/>
        <v/>
      </c>
      <c r="H100" s="20" t="str">
        <f t="shared" si="49"/>
        <v/>
      </c>
      <c r="I100" s="20" t="str">
        <f t="shared" si="49"/>
        <v/>
      </c>
      <c r="J100" s="20" t="str">
        <f t="shared" si="49"/>
        <v/>
      </c>
      <c r="K100" s="21" t="str">
        <f t="shared" si="49"/>
        <v/>
      </c>
      <c r="N100" s="3575"/>
      <c r="O100" s="3577"/>
      <c r="Z100" s="2498" t="s">
        <v>4356</v>
      </c>
      <c r="AA100" s="2499">
        <v>100</v>
      </c>
    </row>
    <row r="101" spans="1:27" ht="13.4" customHeight="1">
      <c r="A101" s="340" t="s">
        <v>3130</v>
      </c>
      <c r="B101" s="20">
        <f t="shared" ref="B101:K101" si="50">IF(AND(B90=0,B91=0,B92=0,B93=0),"",-B89/(B90+B91+B92+B93))</f>
        <v>1</v>
      </c>
      <c r="C101" s="20">
        <f t="shared" si="50"/>
        <v>1</v>
      </c>
      <c r="D101" s="20">
        <f t="shared" si="50"/>
        <v>1</v>
      </c>
      <c r="E101" s="20">
        <f t="shared" si="50"/>
        <v>1</v>
      </c>
      <c r="F101" s="20">
        <f t="shared" si="50"/>
        <v>1</v>
      </c>
      <c r="G101" s="20">
        <f t="shared" si="50"/>
        <v>1</v>
      </c>
      <c r="H101" s="20">
        <f t="shared" si="50"/>
        <v>1</v>
      </c>
      <c r="I101" s="20">
        <f t="shared" si="50"/>
        <v>1</v>
      </c>
      <c r="J101" s="20">
        <f t="shared" si="50"/>
        <v>1</v>
      </c>
      <c r="K101" s="21">
        <f t="shared" si="50"/>
        <v>1</v>
      </c>
      <c r="N101" s="3575"/>
      <c r="O101" s="3577"/>
      <c r="Z101" s="2498" t="s">
        <v>4356</v>
      </c>
      <c r="AA101" s="2499">
        <v>101</v>
      </c>
    </row>
    <row r="102" spans="1:27" ht="13.4" customHeight="1">
      <c r="A102" s="17" t="s">
        <v>717</v>
      </c>
      <c r="B102" s="220">
        <f>IF(OR(B86="Choose mgt fee",B86="Choose One!"),"",(B79+B80+B81+B82+B83) / -(B85+B86+B87))</f>
        <v>1.3547741009874401</v>
      </c>
      <c r="C102" s="220">
        <f t="shared" ref="C102:K102" si="51">IF(OR(C86="Choose mgt fee",C86="Choose One!"),"",(C79+C80+C81+C82+C83) / -(C85+C86+C87))</f>
        <v>1.3416214410207095</v>
      </c>
      <c r="D102" s="220">
        <f t="shared" si="51"/>
        <v>1.328595373719021</v>
      </c>
      <c r="E102" s="220">
        <f t="shared" si="51"/>
        <v>1.3156969178982045</v>
      </c>
      <c r="F102" s="220">
        <f t="shared" si="51"/>
        <v>1.3029227083152912</v>
      </c>
      <c r="G102" s="220">
        <f t="shared" si="51"/>
        <v>1.2902730722900171</v>
      </c>
      <c r="H102" s="220">
        <f t="shared" si="51"/>
        <v>1.2777462761780722</v>
      </c>
      <c r="I102" s="220">
        <f t="shared" si="51"/>
        <v>1.2653407345733154</v>
      </c>
      <c r="J102" s="220">
        <f t="shared" si="51"/>
        <v>1.2530561663789694</v>
      </c>
      <c r="K102" s="221">
        <f t="shared" si="51"/>
        <v>1.2408905330507947</v>
      </c>
      <c r="N102" s="3575"/>
      <c r="O102" s="3577"/>
      <c r="Z102" s="2498" t="s">
        <v>4356</v>
      </c>
      <c r="AA102" s="2499">
        <v>102</v>
      </c>
    </row>
    <row r="103" spans="1:27" ht="13.4" customHeight="1">
      <c r="A103" s="340" t="s">
        <v>2399</v>
      </c>
      <c r="B103" s="177">
        <f>IF('Part II-Sources of Funds'!$I$42="","",-FV('Part II-Sources of Funds'!$K$42/12,12,B90/12,K72))</f>
        <v>5396484.7716708295</v>
      </c>
      <c r="C103" s="177">
        <f>IF('Part II-Sources of Funds'!$I$42="","",-FV('Part II-Sources of Funds'!$K$42/12,12,C90/12,B103))</f>
        <v>5242167.4500132641</v>
      </c>
      <c r="D103" s="177">
        <f>IF('Part II-Sources of Funds'!$I$42="","",-FV('Part II-Sources of Funds'!$K$42/12,12,D90/12,C103))</f>
        <v>5078054.8243642002</v>
      </c>
      <c r="E103" s="177">
        <f>IF('Part II-Sources of Funds'!$I$42="","",-FV('Part II-Sources of Funds'!$K$42/12,12,E90/12,D103))</f>
        <v>4903525.1370411217</v>
      </c>
      <c r="F103" s="177">
        <f>IF('Part II-Sources of Funds'!$I$42="","",-FV('Part II-Sources of Funds'!$K$42/12,12,F90/12,E103))</f>
        <v>4717917.164244269</v>
      </c>
      <c r="G103" s="177">
        <f>IF('Part II-Sources of Funds'!$I$42="","",-FV('Part II-Sources of Funds'!$K$42/12,12,G90/12,F103))</f>
        <v>4520527.7109417766</v>
      </c>
      <c r="H103" s="177">
        <f>IF('Part II-Sources of Funds'!$I$42="","",-FV('Part II-Sources of Funds'!$K$42/12,12,H90/12,G103))</f>
        <v>4310608.9467424555</v>
      </c>
      <c r="I103" s="177">
        <f>IF('Part II-Sources of Funds'!$I$42="","",-FV('Part II-Sources of Funds'!$K$42/12,12,I90/12,H103))</f>
        <v>4087365.5726628848</v>
      </c>
      <c r="J103" s="177">
        <f>IF('Part II-Sources of Funds'!$I$42="","",-FV('Part II-Sources of Funds'!$K$42/12,12,J90/12,I103))</f>
        <v>3849951.8080548313</v>
      </c>
      <c r="K103" s="177">
        <f>IF('Part II-Sources of Funds'!$I$42="","",-FV('Part II-Sources of Funds'!$K$42/12,12,K90/12,J103))</f>
        <v>3597468.1862776489</v>
      </c>
      <c r="N103" s="3575"/>
      <c r="O103" s="3577"/>
      <c r="Z103" s="2498" t="s">
        <v>4356</v>
      </c>
      <c r="AA103" s="2499">
        <v>103</v>
      </c>
    </row>
    <row r="104" spans="1:27" ht="13.4" customHeight="1">
      <c r="A104" s="340" t="s">
        <v>2400</v>
      </c>
      <c r="B104" s="178">
        <f>IF('Part II-Sources of Funds'!$I$43="","",-FV('Part II-Sources of Funds'!$K$43/12,12,B91/12,K73))</f>
        <v>36438421.849714115</v>
      </c>
      <c r="C104" s="178">
        <f>IF('Part II-Sources of Funds'!$I$43="","",-FV('Part II-Sources of Funds'!$K$43/12,12,C91/12,B104))</f>
        <v>38958572.594106108</v>
      </c>
      <c r="D104" s="178">
        <f>IF('Part II-Sources of Funds'!$I$43="","",-FV('Part II-Sources of Funds'!$K$43/12,12,D91/12,C104))</f>
        <v>41666587.627340853</v>
      </c>
      <c r="E104" s="178">
        <f>IF('Part II-Sources of Funds'!$I$43="","",-FV('Part II-Sources of Funds'!$K$43/12,12,E91/12,D104))</f>
        <v>44576697.805580758</v>
      </c>
      <c r="F104" s="178">
        <f>IF('Part II-Sources of Funds'!$I$43="","",-FV('Part II-Sources of Funds'!$K$43/12,12,F91/12,E104))</f>
        <v>47704194.931466937</v>
      </c>
      <c r="G104" s="178">
        <f>IF('Part II-Sources of Funds'!$I$43="","",-FV('Part II-Sources of Funds'!$K$43/12,12,G91/12,F104))</f>
        <v>51065504.25897453</v>
      </c>
      <c r="H104" s="178">
        <f>IF('Part II-Sources of Funds'!$I$43="","",-FV('Part II-Sources of Funds'!$K$43/12,12,H91/12,G104))</f>
        <v>54678270.534399457</v>
      </c>
      <c r="I104" s="178">
        <f>IF('Part II-Sources of Funds'!$I$43="","",-FV('Part II-Sources of Funds'!$K$43/12,12,I91/12,H104))</f>
        <v>58561447.193202518</v>
      </c>
      <c r="J104" s="178">
        <f>IF('Part II-Sources of Funds'!$I$43="","",-FV('Part II-Sources of Funds'!$K$43/12,12,J91/12,I104))</f>
        <v>62735389.974664874</v>
      </c>
      <c r="K104" s="178">
        <f>IF('Part II-Sources of Funds'!$I$43="","",-FV('Part II-Sources of Funds'!$K$43/12,12,K91/12,J104))</f>
        <v>67221962.503862873</v>
      </c>
      <c r="N104" s="3575"/>
      <c r="O104" s="3577"/>
      <c r="Z104" s="2498" t="s">
        <v>4356</v>
      </c>
      <c r="AA104" s="2499">
        <v>104</v>
      </c>
    </row>
    <row r="105" spans="1:27" ht="13.4" customHeight="1">
      <c r="A105" s="340" t="s">
        <v>2401</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575"/>
      <c r="O105" s="3577"/>
      <c r="Z105" s="2498" t="s">
        <v>4356</v>
      </c>
      <c r="AA105" s="2499">
        <v>105</v>
      </c>
    </row>
    <row r="106" spans="1:27" ht="13.4"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72"/>
      <c r="O106" s="3574"/>
      <c r="Z106" s="2498" t="s">
        <v>4356</v>
      </c>
      <c r="AA106" s="2499">
        <v>106</v>
      </c>
    </row>
    <row r="107" spans="1:27" ht="4.4000000000000004" customHeight="1">
      <c r="B107" s="13"/>
      <c r="C107" s="13"/>
      <c r="D107" s="13"/>
      <c r="E107" s="13"/>
      <c r="F107" s="13"/>
      <c r="G107" s="13"/>
      <c r="H107" s="13"/>
      <c r="I107" s="13"/>
      <c r="J107" s="13"/>
      <c r="K107" s="13"/>
      <c r="AA107" s="2499">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276" t="s">
        <v>3122</v>
      </c>
      <c r="O108" s="3276"/>
      <c r="AA108" s="2499">
        <v>108</v>
      </c>
    </row>
    <row r="109" spans="1:27" ht="13.4" customHeight="1">
      <c r="A109" s="14" t="s">
        <v>2209</v>
      </c>
      <c r="B109" s="15">
        <f>$B$15*(1+$B$6)^(B108-1)</f>
        <v>2935666.4739099685</v>
      </c>
      <c r="C109" s="15">
        <f>$B$15*(1+$B$6)^(C108-1)</f>
        <v>2994379.8033881672</v>
      </c>
      <c r="D109" s="15">
        <f>$B$15*(1+$B$6)^(D108-1)</f>
        <v>3054267.399455931</v>
      </c>
      <c r="E109" s="15">
        <f>$B$15*(1+$B$6)^(E108-1)</f>
        <v>3115352.7474450502</v>
      </c>
      <c r="F109" s="495">
        <f>$B$15*(1+$B$6)^(F108-1)</f>
        <v>3177659.8023939505</v>
      </c>
      <c r="G109" s="13"/>
      <c r="H109" s="13"/>
      <c r="I109" s="13"/>
      <c r="J109" s="13"/>
      <c r="K109" s="13"/>
      <c r="N109" s="3579"/>
      <c r="O109" s="3581"/>
      <c r="Z109" s="2498" t="s">
        <v>4357</v>
      </c>
      <c r="AA109" s="2499">
        <v>109</v>
      </c>
    </row>
    <row r="110" spans="1:27" ht="13.4" customHeight="1">
      <c r="A110" s="17" t="s">
        <v>951</v>
      </c>
      <c r="B110" s="18">
        <f>$B$16*(1+$B$6)^(B108-1)</f>
        <v>58713.329478199375</v>
      </c>
      <c r="C110" s="18">
        <f>$B$16*(1+$B$6)^(C108-1)</f>
        <v>59887.596067763348</v>
      </c>
      <c r="D110" s="18">
        <f>$B$16*(1+$B$6)^(D108-1)</f>
        <v>61085.347989118629</v>
      </c>
      <c r="E110" s="18">
        <f>$B$16*(1+$B$6)^(E108-1)</f>
        <v>62307.054948901008</v>
      </c>
      <c r="F110" s="19">
        <f>$B$16*(1+$B$6)^(F108-1)</f>
        <v>63553.196047879021</v>
      </c>
      <c r="G110" s="13"/>
      <c r="H110" s="13"/>
      <c r="I110" s="13"/>
      <c r="J110" s="13"/>
      <c r="K110" s="13"/>
      <c r="N110" s="3575"/>
      <c r="O110" s="3577"/>
      <c r="Z110" s="2498" t="s">
        <v>4357</v>
      </c>
      <c r="AA110" s="2499">
        <v>110</v>
      </c>
    </row>
    <row r="111" spans="1:27" ht="13.4" customHeight="1">
      <c r="A111" s="17" t="s">
        <v>2210</v>
      </c>
      <c r="B111" s="18">
        <f>-(B109+B110)*$B$9</f>
        <v>-209606.58623717178</v>
      </c>
      <c r="C111" s="18">
        <f>-(C109+C110)*$B$9</f>
        <v>-213798.71796191516</v>
      </c>
      <c r="D111" s="18">
        <f>-(D109+D110)*$B$9</f>
        <v>-218074.6923211535</v>
      </c>
      <c r="E111" s="18">
        <f>-(E109+E110)*$B$9</f>
        <v>-222436.18616757658</v>
      </c>
      <c r="F111" s="19">
        <f>-(F109+F110)*$B$9</f>
        <v>-226884.90989092807</v>
      </c>
      <c r="G111" s="13"/>
      <c r="H111" s="13"/>
      <c r="I111" s="13"/>
      <c r="J111" s="13"/>
      <c r="K111" s="13"/>
      <c r="N111" s="3575"/>
      <c r="O111" s="3577"/>
      <c r="Z111" s="2498" t="s">
        <v>4357</v>
      </c>
      <c r="AA111" s="2499">
        <v>111</v>
      </c>
    </row>
    <row r="112" spans="1:27" ht="13.4"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575"/>
      <c r="O112" s="3577"/>
      <c r="Z112" s="2498" t="s">
        <v>4357</v>
      </c>
      <c r="AA112" s="2499">
        <v>112</v>
      </c>
    </row>
    <row r="113" spans="1:27" ht="13.4"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575"/>
      <c r="O113" s="3577"/>
      <c r="Z113" s="2498" t="s">
        <v>4357</v>
      </c>
      <c r="AA113" s="2499">
        <v>113</v>
      </c>
    </row>
    <row r="114" spans="1:27" ht="13.4" customHeight="1">
      <c r="A114" s="340" t="s">
        <v>3714</v>
      </c>
      <c r="B114" s="18">
        <f>SUM(B109:B113)</f>
        <v>2784773.2171509964</v>
      </c>
      <c r="C114" s="18">
        <f>SUM(C109:C113)</f>
        <v>2840468.6814940153</v>
      </c>
      <c r="D114" s="18">
        <f>SUM(D109:D113)</f>
        <v>2897278.0551238963</v>
      </c>
      <c r="E114" s="18">
        <f>SUM(E109:E113)</f>
        <v>2955223.6162263742</v>
      </c>
      <c r="F114" s="19">
        <f>SUM(F109:F113)</f>
        <v>3014328.088550901</v>
      </c>
      <c r="G114" s="13"/>
      <c r="H114" s="13"/>
      <c r="I114" s="13"/>
      <c r="J114" s="13"/>
      <c r="K114" s="13"/>
      <c r="N114" s="3575"/>
      <c r="O114" s="3577"/>
      <c r="Z114" s="2498" t="s">
        <v>4357</v>
      </c>
      <c r="AA114" s="2499">
        <v>114</v>
      </c>
    </row>
    <row r="115" spans="1:27" ht="13.4" customHeight="1">
      <c r="A115" s="17" t="s">
        <v>571</v>
      </c>
      <c r="B115" s="18">
        <f>$B$21*(1+$B$7)^(B108-1)</f>
        <v>-2004302.2765349762</v>
      </c>
      <c r="C115" s="18">
        <f>$B$21*(1+$B$7)^(C108-1)</f>
        <v>-2064431.3448310259</v>
      </c>
      <c r="D115" s="18">
        <f>$B$21*(1+$B$7)^(D108-1)</f>
        <v>-2126364.2851759563</v>
      </c>
      <c r="E115" s="18">
        <f>$B$21*(1+$B$7)^(E108-1)</f>
        <v>-2190155.2137312349</v>
      </c>
      <c r="F115" s="19">
        <f>$B$21*(1+$B$7)^(F108-1)</f>
        <v>-2255859.8701431719</v>
      </c>
      <c r="G115" s="13"/>
      <c r="H115" s="13"/>
      <c r="I115" s="13"/>
      <c r="J115" s="13"/>
      <c r="K115" s="13"/>
      <c r="N115" s="3575"/>
      <c r="O115" s="3577"/>
      <c r="Z115" s="2498" t="s">
        <v>4357</v>
      </c>
      <c r="AA115" s="2499">
        <v>115</v>
      </c>
    </row>
    <row r="116" spans="1:27" ht="13.4" customHeight="1">
      <c r="A116" s="17" t="s">
        <v>1049</v>
      </c>
      <c r="B116" s="18">
        <f>IF(AND('Part VI-Pro Forma'!$G$9="Yes",'Part VI-Pro Forma'!$G$10="Yes"),"Choose One!",IF('Part VI-Pro Forma'!$G$9="Yes",ROUND((-$K$9*(1+'Part VI-Pro Forma'!$B$7)^('Part VI-Pro Forma'!B108-1)),),IF('Part VI-Pro Forma'!$G$10="Yes",ROUND((-(SUM(B109:B112)*'Part VI-Pro Forma'!$K$10)),),"Choose mgt fee")))</f>
        <v>-148665</v>
      </c>
      <c r="C116" s="18">
        <f>IF(AND('Part VI-Pro Forma'!$G$9="Yes",'Part VI-Pro Forma'!$G$10="Yes"),"Choose One!",IF('Part VI-Pro Forma'!$G$9="Yes",ROUND((-$K$9*(1+'Part VI-Pro Forma'!$B$7)^('Part VI-Pro Forma'!C108-1)),),IF('Part VI-Pro Forma'!$G$10="Yes",ROUND((-(SUM(C109:C112)*'Part VI-Pro Forma'!$K$10)),),"Choose mgt fee")))</f>
        <v>-153125</v>
      </c>
      <c r="D116" s="18">
        <f>IF(AND('Part VI-Pro Forma'!$G$9="Yes",'Part VI-Pro Forma'!$G$10="Yes"),"Choose One!",IF('Part VI-Pro Forma'!$G$9="Yes",ROUND((-$K$9*(1+'Part VI-Pro Forma'!$B$7)^('Part VI-Pro Forma'!D108-1)),),IF('Part VI-Pro Forma'!$G$10="Yes",ROUND((-(SUM(D109:D112)*'Part VI-Pro Forma'!$K$10)),),"Choose mgt fee")))</f>
        <v>-157719</v>
      </c>
      <c r="E116" s="18">
        <f>IF(AND('Part VI-Pro Forma'!$G$9="Yes",'Part VI-Pro Forma'!$G$10="Yes"),"Choose One!",IF('Part VI-Pro Forma'!$G$9="Yes",ROUND((-$K$9*(1+'Part VI-Pro Forma'!$B$7)^('Part VI-Pro Forma'!E108-1)),),IF('Part VI-Pro Forma'!$G$10="Yes",ROUND((-(SUM(E109:E112)*'Part VI-Pro Forma'!$K$10)),),"Choose mgt fee")))</f>
        <v>-162450</v>
      </c>
      <c r="F116" s="19">
        <f>IF(AND('Part VI-Pro Forma'!$G$9="Yes",'Part VI-Pro Forma'!$G$10="Yes"),"Choose One!",IF('Part VI-Pro Forma'!$G$9="Yes",ROUND((-$K$9*(1+'Part VI-Pro Forma'!$B$7)^('Part VI-Pro Forma'!F108-1)),),IF('Part VI-Pro Forma'!$G$10="Yes",ROUND((-(SUM(F109:F112)*'Part VI-Pro Forma'!$K$10)),),"Choose mgt fee")))</f>
        <v>-167324</v>
      </c>
      <c r="G116" s="13"/>
      <c r="H116" s="13"/>
      <c r="I116" s="13"/>
      <c r="J116" s="13"/>
      <c r="K116" s="13"/>
      <c r="N116" s="3575"/>
      <c r="O116" s="3577"/>
      <c r="Z116" s="2498" t="s">
        <v>4357</v>
      </c>
      <c r="AA116" s="2499">
        <v>116</v>
      </c>
    </row>
    <row r="117" spans="1:27" ht="13.4" customHeight="1">
      <c r="A117" s="17" t="s">
        <v>1127</v>
      </c>
      <c r="B117" s="18">
        <f>$B$23*(1+$B$8)^(B108-1)</f>
        <v>-113207.52165628569</v>
      </c>
      <c r="C117" s="18">
        <f>$B$23*(1+$B$8)^(C108-1)</f>
        <v>-116603.74730597429</v>
      </c>
      <c r="D117" s="18">
        <f>$B$23*(1+$B$8)^(D108-1)</f>
        <v>-120101.8597251535</v>
      </c>
      <c r="E117" s="18">
        <f>$B$23*(1+$B$8)^(E108-1)</f>
        <v>-123704.91551690811</v>
      </c>
      <c r="F117" s="19">
        <f>$B$23*(1+$B$8)^(F108-1)</f>
        <v>-127416.06298241533</v>
      </c>
      <c r="G117" s="13"/>
      <c r="H117" s="13"/>
      <c r="I117" s="13"/>
      <c r="J117" s="13"/>
      <c r="K117" s="13"/>
      <c r="N117" s="3575"/>
      <c r="O117" s="3577"/>
      <c r="Q117" s="92">
        <v>10</v>
      </c>
      <c r="R117" s="852">
        <f>-SUM(B123:K123)</f>
        <v>0</v>
      </c>
      <c r="S117" s="852">
        <f>SUM(B124:K124)+R117</f>
        <v>0</v>
      </c>
      <c r="Z117" s="2498" t="s">
        <v>4357</v>
      </c>
      <c r="AA117" s="2499">
        <v>117</v>
      </c>
    </row>
    <row r="118" spans="1:27" ht="13.4" customHeight="1">
      <c r="A118" s="340" t="s">
        <v>3713</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575"/>
      <c r="O118" s="3577"/>
      <c r="Z118" s="2498" t="s">
        <v>4357</v>
      </c>
      <c r="AA118" s="2499">
        <v>118</v>
      </c>
    </row>
    <row r="119" spans="1:27" ht="13.4" customHeight="1">
      <c r="A119" s="17" t="s">
        <v>1128</v>
      </c>
      <c r="B119" s="18">
        <f>SUM(B114:B118)</f>
        <v>518598.41895973455</v>
      </c>
      <c r="C119" s="18">
        <f>SUM(C114:C118)</f>
        <v>506308.58935701504</v>
      </c>
      <c r="D119" s="18">
        <f>SUM(D114:D118)</f>
        <v>493092.91022278654</v>
      </c>
      <c r="E119" s="18">
        <f>SUM(E114:E118)</f>
        <v>478913.48697823117</v>
      </c>
      <c r="F119" s="1150">
        <f>SUM(F114:F118)</f>
        <v>463728.15542531386</v>
      </c>
      <c r="G119" s="13"/>
      <c r="H119" s="13"/>
      <c r="I119" s="13"/>
      <c r="J119" s="13"/>
      <c r="K119" s="13"/>
      <c r="N119" s="3575"/>
      <c r="O119" s="3577"/>
      <c r="Z119" s="2498" t="s">
        <v>4357</v>
      </c>
      <c r="AA119" s="2499">
        <v>119</v>
      </c>
    </row>
    <row r="120" spans="1:27" ht="13.4" customHeight="1">
      <c r="A120" s="17" t="str">
        <f>$A90</f>
        <v>Mortgage A</v>
      </c>
      <c r="B120" s="341">
        <f>IF('Part II-Sources of Funds'!$P$42="", 0,-'Part II-Sources of Funds'!$P$42)</f>
        <v>-482964.9549579189</v>
      </c>
      <c r="C120" s="341">
        <f>IF('Part II-Sources of Funds'!$P$42="", 0,-'Part II-Sources of Funds'!$P$42)</f>
        <v>-482964.9549579189</v>
      </c>
      <c r="D120" s="341">
        <f>IF('Part II-Sources of Funds'!$P$42="", 0,-'Part II-Sources of Funds'!$P$42)</f>
        <v>-482964.9549579189</v>
      </c>
      <c r="E120" s="341">
        <f>IF('Part II-Sources of Funds'!$P$42="", 0,-'Part II-Sources of Funds'!$P$42)</f>
        <v>-482964.9549579189</v>
      </c>
      <c r="F120" s="341">
        <f>IF('Part II-Sources of Funds'!$P$42="", 0,-'Part II-Sources of Funds'!$P$42)</f>
        <v>-482964.9549579189</v>
      </c>
      <c r="G120" s="13"/>
      <c r="H120" s="13"/>
      <c r="I120" s="13"/>
      <c r="J120" s="13"/>
      <c r="K120" s="13"/>
      <c r="N120" s="3575"/>
      <c r="O120" s="3577"/>
      <c r="Z120" s="2498" t="s">
        <v>4357</v>
      </c>
      <c r="AA120" s="2499">
        <v>120</v>
      </c>
    </row>
    <row r="121" spans="1:27" ht="13.4" customHeight="1">
      <c r="A121" s="17" t="str">
        <f>$A91</f>
        <v>Mortgage B</v>
      </c>
      <c r="B121" s="178">
        <f>-(B119+SUM(B122:B125,B120))</f>
        <v>-35633.46400181565</v>
      </c>
      <c r="C121" s="178">
        <f t="shared" ref="C121:D121" si="52">-(C119+SUM(C122:C125,C120))</f>
        <v>-23343.634399096132</v>
      </c>
      <c r="D121" s="178">
        <f t="shared" si="52"/>
        <v>-10127.955264867633</v>
      </c>
      <c r="E121" s="178">
        <v>0</v>
      </c>
      <c r="F121" s="178">
        <v>0</v>
      </c>
      <c r="G121" s="13"/>
      <c r="H121" s="13"/>
      <c r="I121" s="13"/>
      <c r="J121" s="13"/>
      <c r="K121" s="13"/>
      <c r="N121" s="3575"/>
      <c r="O121" s="3577"/>
      <c r="Z121" s="2498" t="s">
        <v>4357</v>
      </c>
      <c r="AA121" s="2499">
        <v>121</v>
      </c>
    </row>
    <row r="122" spans="1:27" ht="13.4"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575"/>
      <c r="O122" s="3577"/>
      <c r="Z122" s="2498" t="s">
        <v>4357</v>
      </c>
      <c r="AA122" s="2499">
        <v>122</v>
      </c>
    </row>
    <row r="123" spans="1:27" ht="13.4"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575"/>
      <c r="O123" s="3577"/>
      <c r="Z123" s="2498" t="s">
        <v>4357</v>
      </c>
      <c r="AA123" s="2499">
        <v>123</v>
      </c>
    </row>
    <row r="124" spans="1:27" ht="13.4" customHeight="1">
      <c r="A124" s="17" t="s">
        <v>710</v>
      </c>
      <c r="B124" s="138"/>
      <c r="C124" s="138"/>
      <c r="D124" s="138"/>
      <c r="E124" s="138"/>
      <c r="F124" s="138"/>
      <c r="G124" s="13"/>
      <c r="H124" s="13"/>
      <c r="I124" s="13"/>
      <c r="J124" s="13"/>
      <c r="K124" s="13"/>
      <c r="N124" s="3575"/>
      <c r="O124" s="3577"/>
      <c r="Z124" s="2498" t="s">
        <v>4357</v>
      </c>
      <c r="AA124" s="2499">
        <v>124</v>
      </c>
    </row>
    <row r="125" spans="1:27" ht="13.4" customHeight="1">
      <c r="A125" s="17" t="s">
        <v>1094</v>
      </c>
      <c r="B125" s="179"/>
      <c r="C125" s="179"/>
      <c r="D125" s="179"/>
      <c r="E125" s="179"/>
      <c r="F125" s="179"/>
      <c r="G125" s="13"/>
      <c r="H125" s="13"/>
      <c r="I125" s="13"/>
      <c r="J125" s="13"/>
      <c r="K125" s="13"/>
      <c r="N125" s="3575"/>
      <c r="O125" s="3577"/>
      <c r="Z125" s="2498" t="s">
        <v>4357</v>
      </c>
      <c r="AA125" s="2499">
        <v>125</v>
      </c>
    </row>
    <row r="126" spans="1:27" ht="13.4" customHeight="1">
      <c r="A126" s="17" t="s">
        <v>1095</v>
      </c>
      <c r="B126" s="18">
        <f>SUM(B119:B125)</f>
        <v>0</v>
      </c>
      <c r="C126" s="18">
        <f>SUM(C119:C125)</f>
        <v>0</v>
      </c>
      <c r="D126" s="18">
        <f>SUM(D119:D125)</f>
        <v>0</v>
      </c>
      <c r="E126" s="18">
        <f>SUM(E119:E125)</f>
        <v>-4051.4679796877317</v>
      </c>
      <c r="F126" s="19">
        <f>SUM(F119:F125)</f>
        <v>-19236.799532605044</v>
      </c>
      <c r="G126" s="13"/>
      <c r="H126" s="13"/>
      <c r="I126" s="13"/>
      <c r="J126" s="13"/>
      <c r="K126" s="13"/>
      <c r="N126" s="3575"/>
      <c r="O126" s="3577"/>
      <c r="Z126" s="2498" t="s">
        <v>4357</v>
      </c>
      <c r="AA126" s="2499">
        <v>126</v>
      </c>
    </row>
    <row r="127" spans="1:27" ht="13.4" customHeight="1">
      <c r="A127" s="17" t="str">
        <f>$A97</f>
        <v>DCR Mortgage A</v>
      </c>
      <c r="B127" s="20">
        <f>IF(B120=0,"",-B119/B120)</f>
        <v>1.0737806410921067</v>
      </c>
      <c r="C127" s="20">
        <f>IF(C120=0,"",-C119/C120)</f>
        <v>1.0483340129743577</v>
      </c>
      <c r="D127" s="20">
        <f>IF(D120=0,"",-D119/D120)</f>
        <v>1.0209703730278941</v>
      </c>
      <c r="E127" s="20">
        <f>IF(E120=0,"",-E119/E120)</f>
        <v>0.99161125887479618</v>
      </c>
      <c r="F127" s="21">
        <f>IF(F120=0,"",-F119/F120)</f>
        <v>0.96016936770436856</v>
      </c>
      <c r="G127" s="13"/>
      <c r="H127" s="13"/>
      <c r="I127" s="13"/>
      <c r="J127" s="13"/>
      <c r="K127" s="13"/>
      <c r="N127" s="3575"/>
      <c r="O127" s="3577"/>
      <c r="Z127" s="2498" t="s">
        <v>4357</v>
      </c>
      <c r="AA127" s="2499">
        <v>127</v>
      </c>
    </row>
    <row r="128" spans="1:27" ht="13.4" customHeight="1">
      <c r="A128" s="17" t="str">
        <f>$A98</f>
        <v>DCR Mortgage B</v>
      </c>
      <c r="B128" s="20">
        <f>IF(B121=0,"",-(B119+B120)/B121)</f>
        <v>1</v>
      </c>
      <c r="C128" s="20">
        <f>IF(C121=0,"",-(C119+C120)/C121)</f>
        <v>1</v>
      </c>
      <c r="D128" s="20">
        <f>IF(D121=0,"",-(D119+D120)/D121)</f>
        <v>1</v>
      </c>
      <c r="E128" s="20" t="str">
        <f>IF(E121=0,"",-(E119+E120)/E121)</f>
        <v/>
      </c>
      <c r="F128" s="21" t="str">
        <f>IF(F121=0,"",-(F119+F120)/F121)</f>
        <v/>
      </c>
      <c r="G128" s="13"/>
      <c r="H128" s="13"/>
      <c r="I128" s="13"/>
      <c r="J128" s="13"/>
      <c r="K128" s="13"/>
      <c r="N128" s="3575"/>
      <c r="O128" s="3577"/>
      <c r="Z128" s="2498" t="s">
        <v>4357</v>
      </c>
      <c r="AA128" s="2499">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2498" t="s">
        <v>4357</v>
      </c>
      <c r="AA129" s="2499">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2498" t="s">
        <v>4357</v>
      </c>
      <c r="AA130" s="2499">
        <v>130</v>
      </c>
    </row>
    <row r="131" spans="1:27" ht="13.4" customHeight="1">
      <c r="A131" s="340" t="s">
        <v>3130</v>
      </c>
      <c r="B131" s="20">
        <f>IF(AND(B120=0,B121=0,B122=0,B123=0),"",-B119/(B120+B121+B122+B123))</f>
        <v>1</v>
      </c>
      <c r="C131" s="20">
        <f>IF(AND(C120=0,C121=0,C122=0,C123=0),"",-C119/(C120+C121+C122+C123))</f>
        <v>1</v>
      </c>
      <c r="D131" s="20">
        <f>IF(AND(D120=0,D121=0,D122=0,D123=0),"",-D119/(D120+D121+D122+D123))</f>
        <v>1</v>
      </c>
      <c r="E131" s="20">
        <f>IF(AND(E120=0,E121=0,E122=0,E123=0),"",-E119/(E120+E121+E122+E123))</f>
        <v>0.99161125887479618</v>
      </c>
      <c r="F131" s="21">
        <f>IF(AND(F120=0,F121=0,F122=0,F123=0),"",-F119/(F120+F121+F122+F123))</f>
        <v>0.96016936770436856</v>
      </c>
      <c r="G131" s="13"/>
      <c r="H131" s="13"/>
      <c r="I131" s="13"/>
      <c r="J131" s="13"/>
      <c r="K131" s="13"/>
      <c r="N131" s="3575"/>
      <c r="O131" s="3577"/>
      <c r="Z131" s="2498" t="s">
        <v>4357</v>
      </c>
      <c r="AA131" s="2499">
        <v>131</v>
      </c>
    </row>
    <row r="132" spans="1:27" ht="13.4" customHeight="1">
      <c r="A132" s="17" t="s">
        <v>717</v>
      </c>
      <c r="B132" s="220">
        <f>IF(OR(B116="Choose mgt fee",B116="Choose One!"),"",(B109+B110+B111+B112+B113) / -(B115+B116+B117))</f>
        <v>1.2288430792601046</v>
      </c>
      <c r="C132" s="220">
        <f>IF(OR(C116="Choose mgt fee",C116="Choose One!"),"",(C109+C110+C111+C112+C113) / -(C115+C116+C117))</f>
        <v>1.2169125378600198</v>
      </c>
      <c r="D132" s="220">
        <f>IF(OR(D116="Choose mgt fee",D116="Choose One!"),"",(D109+D110+D111+D112+D113) / -(D115+D116+D117))</f>
        <v>1.205097727713923</v>
      </c>
      <c r="E132" s="220">
        <f>IF(OR(E116="Choose mgt fee",E116="Choose One!"),"",(E109+E110+E111+E112+E113) / -(E115+E116+E117))</f>
        <v>1.1933980244726612</v>
      </c>
      <c r="F132" s="496">
        <f>IF(OR(F116="Choose mgt fee",F116="Choose One!"),"",(F109+F110+F111+F112+F113) / -(F115+F116+F117))</f>
        <v>1.1818114042122814</v>
      </c>
      <c r="G132" s="13"/>
      <c r="H132" s="13"/>
      <c r="I132" s="13"/>
      <c r="J132" s="13"/>
      <c r="K132" s="13"/>
      <c r="N132" s="3575"/>
      <c r="O132" s="3577"/>
      <c r="Z132" s="2498" t="s">
        <v>4357</v>
      </c>
      <c r="AA132" s="2499">
        <v>132</v>
      </c>
    </row>
    <row r="133" spans="1:27" ht="13.4" customHeight="1">
      <c r="A133" s="340" t="s">
        <v>2399</v>
      </c>
      <c r="B133" s="177">
        <f>IF('Part II-Sources of Funds'!$I$42="","",-FV('Part II-Sources of Funds'!$K$42/12,12,B120/12,K103))</f>
        <v>3328958.1469757371</v>
      </c>
      <c r="C133" s="177">
        <f>IF('Part II-Sources of Funds'!$I$42="","",-FV('Part II-Sources of Funds'!$K$42/12,12,C120/12,B133))</f>
        <v>3043404.4120505443</v>
      </c>
      <c r="D133" s="177">
        <f>IF('Part II-Sources of Funds'!$I$42="","",-FV('Part II-Sources of Funds'!$K$42/12,12,D120/12,C133))</f>
        <v>2739725.1315971124</v>
      </c>
      <c r="E133" s="177">
        <f>IF('Part II-Sources of Funds'!$I$42="","",-FV('Part II-Sources of Funds'!$K$42/12,12,E120/12,D133))</f>
        <v>2416769.7852036445</v>
      </c>
      <c r="F133" s="177">
        <f>IF('Part II-Sources of Funds'!$I$42="","",-FV('Part II-Sources of Funds'!$K$42/12,12,F120/12,E133))</f>
        <v>2073314.8230857439</v>
      </c>
      <c r="G133" s="13"/>
      <c r="H133" s="13"/>
      <c r="I133" s="13"/>
      <c r="J133" s="13"/>
      <c r="K133" s="13"/>
      <c r="N133" s="3575"/>
      <c r="O133" s="3577"/>
      <c r="Z133" s="2498" t="s">
        <v>4357</v>
      </c>
      <c r="AA133" s="2499">
        <v>133</v>
      </c>
    </row>
    <row r="134" spans="1:27" ht="13.4" customHeight="1">
      <c r="A134" s="340" t="s">
        <v>2400</v>
      </c>
      <c r="B134" s="178">
        <f>IF('Part II-Sources of Funds'!$I$43="","",-FV('Part II-Sources of Funds'!$K$43/12,12,B121/12,K104))</f>
        <v>72044644.380097985</v>
      </c>
      <c r="C134" s="178">
        <f>IF('Part II-Sources of Funds'!$I$43="","",-FV('Part II-Sources of Funds'!$K$43/12,12,C121/12,B134))</f>
        <v>77228650.215905607</v>
      </c>
      <c r="D134" s="178">
        <f>IF('Part II-Sources of Funds'!$I$43="","",-FV('Part II-Sources of Funds'!$K$43/12,12,D121/12,C134))</f>
        <v>82801056.28864558</v>
      </c>
      <c r="E134" s="178">
        <f>IF('Part II-Sources of Funds'!$I$43="","",-FV('Part II-Sources of Funds'!$K$43/12,12,E121/12,D134))</f>
        <v>88786751.342733502</v>
      </c>
      <c r="F134" s="178">
        <f>IF('Part II-Sources of Funds'!$I$43="","",-FV('Part II-Sources of Funds'!$K$43/12,12,F121/12,E134))</f>
        <v>95205152.776262224</v>
      </c>
      <c r="G134" s="13"/>
      <c r="H134" s="13"/>
      <c r="I134" s="13"/>
      <c r="J134" s="13"/>
      <c r="K134" s="13"/>
      <c r="N134" s="3575"/>
      <c r="O134" s="3577"/>
      <c r="Z134" s="2498" t="s">
        <v>4357</v>
      </c>
      <c r="AA134" s="2499">
        <v>134</v>
      </c>
    </row>
    <row r="135" spans="1:27" ht="13.4" customHeight="1">
      <c r="A135" s="340" t="s">
        <v>2401</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575"/>
      <c r="O135" s="3577"/>
      <c r="Z135" s="2498" t="s">
        <v>4357</v>
      </c>
      <c r="AA135" s="2499">
        <v>135</v>
      </c>
    </row>
    <row r="136" spans="1:27" ht="13.4"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72"/>
      <c r="O136" s="3574"/>
      <c r="Z136" s="2498" t="s">
        <v>4357</v>
      </c>
      <c r="AA136" s="2499">
        <v>136</v>
      </c>
    </row>
    <row r="137" spans="1:27" ht="4.4000000000000004" customHeight="1">
      <c r="AA137" s="2499">
        <v>137</v>
      </c>
    </row>
    <row r="138" spans="1:27" ht="12" customHeight="1">
      <c r="A138" s="10" t="s">
        <v>528</v>
      </c>
      <c r="B138" s="10"/>
      <c r="G138" s="10" t="s">
        <v>966</v>
      </c>
      <c r="AA138" s="2499">
        <v>138</v>
      </c>
    </row>
    <row r="139" spans="1:27" ht="12" customHeight="1">
      <c r="B139" s="10"/>
      <c r="AA139" s="2499">
        <v>139</v>
      </c>
    </row>
    <row r="140" spans="1:27" ht="409.5" customHeight="1">
      <c r="A140" s="3168" t="s">
        <v>3003</v>
      </c>
      <c r="B140" s="3708"/>
      <c r="C140" s="3708"/>
      <c r="D140" s="3708"/>
      <c r="E140" s="3708"/>
      <c r="F140" s="3709"/>
      <c r="G140" s="3710"/>
      <c r="H140" s="3711"/>
      <c r="I140" s="3711"/>
      <c r="J140" s="3711"/>
      <c r="K140" s="3712"/>
      <c r="N140" s="3321" t="s">
        <v>2445</v>
      </c>
      <c r="O140" s="3321"/>
      <c r="AA140" s="2499">
        <v>140</v>
      </c>
    </row>
    <row r="141" spans="1:27" ht="11.25" customHeight="1">
      <c r="AA141" s="2499">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2500"/>
      <c r="AA145" s="2501"/>
    </row>
    <row r="146" spans="12:27" s="1" customFormat="1" ht="12" customHeight="1">
      <c r="L146" s="6"/>
      <c r="M146" s="6"/>
      <c r="N146" s="6"/>
      <c r="O146" s="6"/>
      <c r="Z146" s="2500"/>
      <c r="AA146" s="2501"/>
    </row>
    <row r="147" spans="12:27" s="1" customFormat="1" ht="12" customHeight="1">
      <c r="L147" s="6"/>
      <c r="M147" s="6"/>
      <c r="N147" s="6"/>
      <c r="O147" s="6"/>
      <c r="Q147" s="6"/>
      <c r="R147" s="6"/>
      <c r="Z147" s="2500"/>
      <c r="AA147" s="2501"/>
    </row>
    <row r="148" spans="12:27" s="1" customFormat="1" ht="12" customHeight="1">
      <c r="L148" s="6"/>
      <c r="M148" s="6"/>
      <c r="N148" s="6"/>
      <c r="O148" s="6"/>
      <c r="S148" s="6"/>
      <c r="Z148" s="2500"/>
      <c r="AA148" s="2501"/>
    </row>
    <row r="149" spans="12:27" ht="12" customHeight="1">
      <c r="Q149" s="1"/>
      <c r="R149" s="1"/>
      <c r="S149" s="1"/>
    </row>
    <row r="150" spans="12:27" s="1" customFormat="1" ht="12" customHeight="1">
      <c r="L150" s="6"/>
      <c r="M150" s="6"/>
      <c r="N150" s="6"/>
      <c r="O150" s="6"/>
      <c r="Q150" s="6"/>
      <c r="R150" s="6"/>
      <c r="Z150" s="2500"/>
      <c r="AA150" s="2501"/>
    </row>
    <row r="151" spans="12:27" s="1" customFormat="1" ht="12" customHeight="1">
      <c r="L151" s="6"/>
      <c r="M151" s="6"/>
      <c r="N151" s="6"/>
      <c r="O151" s="6"/>
      <c r="S151" s="6"/>
      <c r="Z151" s="2500"/>
      <c r="AA151" s="2501"/>
    </row>
    <row r="152" spans="12:27" ht="12" customHeight="1">
      <c r="Q152" s="1"/>
      <c r="R152" s="1"/>
      <c r="S152" s="1"/>
    </row>
    <row r="153" spans="12:27" s="1" customFormat="1" ht="12" customHeight="1">
      <c r="L153" s="6"/>
      <c r="M153" s="6"/>
      <c r="N153" s="6"/>
      <c r="O153" s="6"/>
      <c r="Z153" s="2500"/>
      <c r="AA153" s="2501"/>
    </row>
    <row r="154" spans="12:27" s="1" customFormat="1" ht="12" customHeight="1">
      <c r="L154" s="6"/>
      <c r="M154" s="6"/>
      <c r="N154" s="6"/>
      <c r="O154" s="6"/>
      <c r="Z154" s="2500"/>
      <c r="AA154" s="2501"/>
    </row>
    <row r="155" spans="12:27" s="1" customFormat="1" ht="12" customHeight="1">
      <c r="L155" s="6"/>
      <c r="M155" s="6"/>
      <c r="N155" s="6"/>
      <c r="O155" s="6"/>
      <c r="Z155" s="2500"/>
      <c r="AA155" s="2501"/>
    </row>
    <row r="156" spans="12:27" s="1" customFormat="1" ht="12" customHeight="1">
      <c r="L156" s="6"/>
      <c r="M156" s="6"/>
      <c r="N156" s="6"/>
      <c r="O156" s="6"/>
      <c r="Z156" s="2500"/>
      <c r="AA156" s="2501"/>
    </row>
    <row r="157" spans="12:27" s="1" customFormat="1" ht="12" customHeight="1">
      <c r="L157" s="6"/>
      <c r="M157" s="6"/>
      <c r="N157" s="6"/>
      <c r="O157" s="6"/>
      <c r="Z157" s="2500"/>
      <c r="AA157" s="2501"/>
    </row>
    <row r="158" spans="12:27" s="1" customFormat="1" ht="12" customHeight="1">
      <c r="L158" s="6"/>
      <c r="M158" s="6"/>
      <c r="N158" s="6"/>
      <c r="O158" s="6"/>
      <c r="Q158" s="6"/>
      <c r="R158" s="6"/>
      <c r="Z158" s="2500"/>
      <c r="AA158" s="2501"/>
    </row>
    <row r="159" spans="12:27" s="1" customFormat="1" ht="12" customHeight="1">
      <c r="L159" s="6"/>
      <c r="M159" s="6"/>
      <c r="N159" s="6"/>
      <c r="O159" s="6"/>
      <c r="S159" s="6"/>
      <c r="Z159" s="2500"/>
      <c r="AA159" s="2501"/>
    </row>
    <row r="160" spans="12:27" ht="12" customHeight="1">
      <c r="Q160" s="1"/>
      <c r="R160" s="1"/>
      <c r="S160" s="1"/>
    </row>
    <row r="161" spans="12:27" s="1" customFormat="1" ht="12" customHeight="1">
      <c r="L161" s="6"/>
      <c r="M161" s="6"/>
      <c r="N161" s="6"/>
      <c r="O161" s="6"/>
      <c r="Z161" s="2500"/>
      <c r="AA161" s="2501"/>
    </row>
    <row r="162" spans="12:27" s="1" customFormat="1" ht="12" customHeight="1">
      <c r="L162" s="6"/>
      <c r="M162" s="6"/>
      <c r="N162" s="6"/>
      <c r="O162" s="6"/>
      <c r="Z162" s="2500"/>
      <c r="AA162" s="2501"/>
    </row>
    <row r="163" spans="12:27" s="1" customFormat="1" ht="12" customHeight="1">
      <c r="L163" s="6"/>
      <c r="M163" s="6"/>
      <c r="N163" s="6"/>
      <c r="O163" s="6"/>
      <c r="Z163" s="2500"/>
      <c r="AA163" s="2501"/>
    </row>
    <row r="164" spans="12:27" s="1" customFormat="1" ht="12" customHeight="1">
      <c r="L164" s="6"/>
      <c r="M164" s="6"/>
      <c r="N164" s="6"/>
      <c r="O164" s="6"/>
      <c r="Z164" s="2500"/>
      <c r="AA164" s="2501"/>
    </row>
    <row r="165" spans="12:27" s="1" customFormat="1" ht="12" customHeight="1">
      <c r="L165" s="6"/>
      <c r="M165" s="6"/>
      <c r="N165" s="6"/>
      <c r="O165" s="6"/>
      <c r="Z165" s="2500"/>
      <c r="AA165" s="2501"/>
    </row>
    <row r="166" spans="12:27" s="1" customFormat="1" ht="12" customHeight="1">
      <c r="L166" s="6"/>
      <c r="M166" s="6"/>
      <c r="N166" s="6"/>
      <c r="O166" s="6"/>
      <c r="Z166" s="2500"/>
      <c r="AA166" s="2501"/>
    </row>
    <row r="167" spans="12:27" s="1" customFormat="1" ht="12" customHeight="1">
      <c r="L167" s="6"/>
      <c r="M167" s="6"/>
      <c r="N167" s="6"/>
      <c r="O167" s="6"/>
      <c r="Z167" s="2500"/>
      <c r="AA167" s="2501"/>
    </row>
    <row r="168" spans="12:27" s="1" customFormat="1" ht="12" customHeight="1">
      <c r="L168" s="6"/>
      <c r="M168" s="6"/>
      <c r="N168" s="6"/>
      <c r="O168" s="6"/>
      <c r="Z168" s="2500"/>
      <c r="AA168" s="2501"/>
    </row>
    <row r="169" spans="12:27" s="1" customFormat="1" ht="12" customHeight="1">
      <c r="L169" s="6"/>
      <c r="M169" s="6"/>
      <c r="N169" s="6"/>
      <c r="O169" s="6"/>
      <c r="Z169" s="2500"/>
      <c r="AA169" s="2501"/>
    </row>
    <row r="170" spans="12:27" s="1" customFormat="1" ht="12" customHeight="1">
      <c r="L170" s="6"/>
      <c r="M170" s="6"/>
      <c r="N170" s="6"/>
      <c r="O170" s="6"/>
      <c r="Q170" s="6"/>
      <c r="R170" s="6"/>
      <c r="Z170" s="2500"/>
      <c r="AA170" s="2501"/>
    </row>
    <row r="171" spans="12:27" s="1" customFormat="1" ht="12" customHeight="1">
      <c r="L171" s="6"/>
      <c r="M171" s="6"/>
      <c r="N171" s="6"/>
      <c r="O171" s="6"/>
      <c r="Q171" s="6"/>
      <c r="R171" s="6"/>
      <c r="S171" s="6"/>
      <c r="Z171" s="2500"/>
      <c r="AA171" s="2501"/>
    </row>
    <row r="172" spans="12:27" ht="12" customHeight="1"/>
    <row r="173" spans="12:27" ht="12" customHeight="1"/>
    <row r="174" spans="12:27" ht="12" customHeight="1"/>
    <row r="175" spans="12:27" ht="12" customHeight="1"/>
  </sheetData>
  <sheetProtection algorithmName="SHA-512" hashValue="8C7ewDdlndF8IK06etAHIGlCu4m6hxEavtc35n3HHdLsdRTxfTIWw5GNr7ZvJCg3tqVnfUkWK3B2lLhf07D4eg==" saltValue="+Yn42cj2Q5+H+C82L9l/vw==" spinCount="100000" sheet="1" objects="1" scenarios="1" formatRows="0"/>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topLeftCell="A119" workbookViewId="0">
      <selection activeCell="B79" sqref="B79:Q79"/>
    </sheetView>
  </sheetViews>
  <sheetFormatPr defaultColWidth="9.1796875" defaultRowHeight="14"/>
  <cols>
    <col min="1" max="1" width="5.81640625" style="1912" customWidth="1"/>
    <col min="2" max="2" width="3.7265625" style="1912" customWidth="1"/>
    <col min="3" max="3" width="2.1796875" style="1912" customWidth="1"/>
    <col min="4" max="10" width="8.81640625" style="1912" customWidth="1"/>
    <col min="11" max="11" width="7.54296875" style="1912" customWidth="1"/>
    <col min="12" max="14" width="9.1796875" style="1912"/>
    <col min="15" max="15" width="9.453125" style="1912" customWidth="1"/>
    <col min="16" max="17" width="10.1796875" style="1912" customWidth="1"/>
    <col min="18" max="26" width="9.1796875" style="2026"/>
    <col min="27" max="27" width="9.1796875" style="2491"/>
    <col min="28" max="28" width="9.1796875" style="2026"/>
    <col min="29" max="16384" width="9.1796875" style="1915"/>
  </cols>
  <sheetData>
    <row r="1" spans="1:28" s="1895" customFormat="1" ht="13">
      <c r="A1" s="3761" t="str">
        <f>CONCATENATE("PART SEVEN - THRESHOLD CRITERIA","  -  ",'Part I-Project Identification'!$O$7," ",'Part I-Project Identification'!$F$26,", ",'Part I-Project Identification'!F27,", ",'Part I-Project Identification'!J27," County")</f>
        <v>PART SEVEN - THRESHOLD CRITERIA  -  2025-5 Princeton Court, College Park, Fulton County</v>
      </c>
      <c r="B1" s="3761"/>
      <c r="C1" s="3761"/>
      <c r="D1" s="3761"/>
      <c r="E1" s="3761"/>
      <c r="F1" s="3761"/>
      <c r="G1" s="3761"/>
      <c r="H1" s="3761"/>
      <c r="I1" s="3761"/>
      <c r="J1" s="3761"/>
      <c r="K1" s="3761"/>
      <c r="L1" s="3761"/>
      <c r="M1" s="3761"/>
      <c r="N1" s="3761"/>
      <c r="O1" s="3761"/>
      <c r="P1" s="3761"/>
      <c r="Q1" s="3761"/>
      <c r="R1" s="2024"/>
      <c r="S1" s="2024"/>
      <c r="T1" s="2024"/>
      <c r="U1" s="2024"/>
      <c r="V1" s="2024"/>
      <c r="W1" s="2024"/>
      <c r="X1" s="2024"/>
      <c r="Y1" s="2024"/>
      <c r="Z1" s="2024"/>
      <c r="AA1" s="2489">
        <v>1</v>
      </c>
      <c r="AB1" s="2024"/>
    </row>
    <row r="2" spans="1:28" s="1895" customFormat="1" ht="12.5">
      <c r="R2" s="2024"/>
      <c r="S2" s="2024"/>
      <c r="T2" s="2024"/>
      <c r="U2" s="2024"/>
      <c r="V2" s="2024"/>
      <c r="W2" s="2024"/>
      <c r="X2" s="2024"/>
      <c r="Y2" s="2024"/>
      <c r="Z2" s="2024"/>
      <c r="AA2" s="2489">
        <v>2</v>
      </c>
      <c r="AB2" s="2024"/>
    </row>
    <row r="3" spans="1:28" s="1895" customFormat="1" ht="13">
      <c r="A3" s="3762"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762"/>
      <c r="C3" s="3762"/>
      <c r="D3" s="3762"/>
      <c r="E3" s="3762"/>
      <c r="F3" s="3762"/>
      <c r="G3" s="3762"/>
      <c r="H3" s="3762"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762"/>
      <c r="J3" s="3762"/>
      <c r="K3" s="3762"/>
      <c r="L3" s="3762"/>
      <c r="M3" s="3762"/>
      <c r="N3" s="3762"/>
      <c r="O3" s="1896"/>
      <c r="P3" s="3763" t="s">
        <v>4641</v>
      </c>
      <c r="Q3" s="3765" t="s">
        <v>4421</v>
      </c>
      <c r="R3" s="2024"/>
      <c r="S3" s="2024"/>
      <c r="T3" s="2024"/>
      <c r="U3" s="2024"/>
      <c r="V3" s="2024"/>
      <c r="W3" s="2024"/>
      <c r="X3" s="2024"/>
      <c r="Y3" s="2024"/>
      <c r="Z3" s="2024"/>
      <c r="AA3" s="2489">
        <v>3</v>
      </c>
      <c r="AB3" s="2024"/>
    </row>
    <row r="4" spans="1:28" s="1895" customFormat="1" ht="13">
      <c r="A4" s="1897"/>
      <c r="B4" s="3767"/>
      <c r="C4" s="3767"/>
      <c r="D4" s="3767"/>
      <c r="E4" s="1897"/>
      <c r="F4" s="1897"/>
      <c r="G4" s="1897"/>
      <c r="H4" s="1897"/>
      <c r="I4" s="1896"/>
      <c r="J4" s="1898"/>
      <c r="K4" s="1897"/>
      <c r="L4" s="1897"/>
      <c r="M4" s="1897"/>
      <c r="N4" s="1897"/>
      <c r="O4" s="1896"/>
      <c r="P4" s="3763"/>
      <c r="Q4" s="3765"/>
      <c r="R4" s="2024"/>
      <c r="S4" s="2024"/>
      <c r="T4" s="2024"/>
      <c r="U4" s="2024"/>
      <c r="V4" s="2024"/>
      <c r="W4" s="2024"/>
      <c r="X4" s="2024"/>
      <c r="Y4" s="2024"/>
      <c r="Z4" s="2024"/>
      <c r="AA4" s="2489">
        <v>4</v>
      </c>
      <c r="AB4" s="2024"/>
    </row>
    <row r="5" spans="1:28" s="1895" customFormat="1" ht="13">
      <c r="A5" s="1896"/>
      <c r="B5" s="1896"/>
      <c r="C5" s="1896"/>
      <c r="D5" s="1896"/>
      <c r="E5" s="3768" t="str">
        <f>'Part I-Project Identification'!$A$6</f>
        <v>August 11, 2025</v>
      </c>
      <c r="F5" s="3768"/>
      <c r="G5" s="3768"/>
      <c r="H5" s="3768"/>
      <c r="I5" s="3768"/>
      <c r="J5" s="1898"/>
      <c r="K5" s="1897"/>
      <c r="L5" s="1897"/>
      <c r="M5" s="1897"/>
      <c r="N5" s="1897"/>
      <c r="O5" s="1896"/>
      <c r="P5" s="3764"/>
      <c r="Q5" s="3766"/>
      <c r="R5" s="2024"/>
      <c r="S5" s="2024"/>
      <c r="T5" s="2024"/>
      <c r="U5" s="2024"/>
      <c r="V5" s="2024"/>
      <c r="W5" s="2024"/>
      <c r="X5" s="2024"/>
      <c r="Y5" s="2024"/>
      <c r="Z5" s="2024"/>
      <c r="AA5" s="2489">
        <v>5</v>
      </c>
      <c r="AB5" s="2024"/>
    </row>
    <row r="6" spans="1:28" s="1895" customFormat="1" ht="9" customHeight="1">
      <c r="A6" s="1896"/>
      <c r="B6" s="1896"/>
      <c r="C6" s="1896"/>
      <c r="D6" s="1896"/>
      <c r="E6" s="1899"/>
      <c r="F6" s="1899"/>
      <c r="G6" s="1899"/>
      <c r="H6" s="1899"/>
      <c r="I6" s="1899"/>
      <c r="J6" s="1898"/>
      <c r="K6" s="1896"/>
      <c r="L6" s="1900"/>
      <c r="M6" s="1898"/>
      <c r="N6" s="1897"/>
      <c r="O6" s="1896"/>
      <c r="P6" s="1901"/>
      <c r="Q6" s="1901"/>
      <c r="R6" s="2024"/>
      <c r="S6" s="2024"/>
      <c r="T6" s="2024"/>
      <c r="U6" s="2024"/>
      <c r="V6" s="2024"/>
      <c r="W6" s="2024"/>
      <c r="X6" s="2024"/>
      <c r="Y6" s="2024"/>
      <c r="Z6" s="2024"/>
      <c r="AA6" s="2489">
        <v>6</v>
      </c>
      <c r="AB6" s="2024"/>
    </row>
    <row r="7" spans="1:28" s="1895" customFormat="1" ht="30.75" customHeight="1">
      <c r="A7" s="3772" t="s">
        <v>5074</v>
      </c>
      <c r="B7" s="3772"/>
      <c r="C7" s="3772"/>
      <c r="D7" s="3772"/>
      <c r="E7" s="3772"/>
      <c r="F7" s="3772"/>
      <c r="G7" s="3772"/>
      <c r="H7" s="3772"/>
      <c r="I7" s="3772"/>
      <c r="J7" s="3772"/>
      <c r="K7" s="3772"/>
      <c r="L7" s="3772"/>
      <c r="M7" s="3772"/>
      <c r="N7" s="3772"/>
      <c r="O7" s="3772"/>
      <c r="P7" s="3772"/>
      <c r="Q7" s="3772"/>
      <c r="R7" s="2024"/>
      <c r="S7" s="2024"/>
      <c r="T7" s="2024"/>
      <c r="U7" s="2024"/>
      <c r="V7" s="2024"/>
      <c r="W7" s="2024"/>
      <c r="X7" s="2024"/>
      <c r="Y7" s="2024"/>
      <c r="Z7" s="2024"/>
      <c r="AA7" s="2489">
        <v>7</v>
      </c>
      <c r="AB7" s="2024"/>
    </row>
    <row r="8" spans="1:28" s="1895" customFormat="1" ht="9" customHeight="1">
      <c r="A8" s="1896"/>
      <c r="B8" s="1896"/>
      <c r="C8" s="1896"/>
      <c r="D8" s="1896"/>
      <c r="E8" s="1899"/>
      <c r="F8" s="1899"/>
      <c r="G8" s="1899"/>
      <c r="H8" s="1899"/>
      <c r="I8" s="1899"/>
      <c r="J8" s="1898"/>
      <c r="K8" s="1896"/>
      <c r="L8" s="1900"/>
      <c r="M8" s="1898"/>
      <c r="N8" s="1897"/>
      <c r="O8" s="1896"/>
      <c r="P8" s="1901"/>
      <c r="Q8" s="1901"/>
      <c r="R8" s="2024"/>
      <c r="S8" s="2024"/>
      <c r="T8" s="2024"/>
      <c r="U8" s="2024"/>
      <c r="V8" s="2024"/>
      <c r="W8" s="2024"/>
      <c r="X8" s="2024"/>
      <c r="Y8" s="2024"/>
      <c r="Z8" s="2024"/>
      <c r="AA8" s="2489">
        <v>8</v>
      </c>
      <c r="AB8" s="2024"/>
    </row>
    <row r="9" spans="1:28" s="1906" customFormat="1" ht="18" customHeight="1">
      <c r="A9" s="1902" t="s">
        <v>4642</v>
      </c>
      <c r="B9" s="1903"/>
      <c r="C9" s="1903"/>
      <c r="D9" s="1903"/>
      <c r="E9" s="1903"/>
      <c r="F9" s="1903"/>
      <c r="G9" s="1903"/>
      <c r="H9" s="1903"/>
      <c r="I9" s="1904"/>
      <c r="J9" s="1904"/>
      <c r="K9" s="1905"/>
      <c r="L9" s="1905"/>
      <c r="M9" s="1905"/>
      <c r="N9" s="1905"/>
      <c r="O9" s="1905"/>
      <c r="P9" s="3773"/>
      <c r="Q9" s="3774"/>
      <c r="R9" s="2025"/>
      <c r="S9" s="2025"/>
      <c r="T9" s="2025"/>
      <c r="U9" s="2025"/>
      <c r="V9" s="2025"/>
      <c r="W9" s="2025"/>
      <c r="X9" s="2025"/>
      <c r="Y9" s="2025"/>
      <c r="Z9" s="2025"/>
      <c r="AA9" s="2490">
        <v>9</v>
      </c>
      <c r="AB9" s="2025"/>
    </row>
    <row r="10" spans="1:28" s="1906" customFormat="1" ht="14.5">
      <c r="A10" s="1907" t="s">
        <v>2983</v>
      </c>
      <c r="B10" s="1903"/>
      <c r="C10" s="1903"/>
      <c r="D10" s="1903"/>
      <c r="E10" s="1903"/>
      <c r="F10" s="1903"/>
      <c r="G10" s="1903"/>
      <c r="H10" s="1908"/>
      <c r="I10" s="1909"/>
      <c r="J10" s="1909"/>
      <c r="K10" s="1908"/>
      <c r="L10" s="1908"/>
      <c r="M10" s="1910"/>
      <c r="N10" s="1910"/>
      <c r="O10" s="1903"/>
      <c r="P10" s="1903"/>
      <c r="Q10" s="1903"/>
      <c r="R10" s="2025"/>
      <c r="S10" s="2025"/>
      <c r="T10" s="2025"/>
      <c r="U10" s="2025"/>
      <c r="V10" s="2025"/>
      <c r="W10" s="2025"/>
      <c r="X10" s="2025"/>
      <c r="Y10" s="2025"/>
      <c r="Z10" s="2025"/>
      <c r="AA10" s="2489">
        <v>10</v>
      </c>
      <c r="AB10" s="2025"/>
    </row>
    <row r="11" spans="1:28" s="1906" customFormat="1">
      <c r="A11" s="3775" t="s">
        <v>1327</v>
      </c>
      <c r="B11" s="3776"/>
      <c r="C11" s="3776"/>
      <c r="D11" s="3776"/>
      <c r="E11" s="3776"/>
      <c r="F11" s="3776"/>
      <c r="G11" s="3776"/>
      <c r="H11" s="3776"/>
      <c r="I11" s="3776"/>
      <c r="J11" s="3776"/>
      <c r="K11" s="3776"/>
      <c r="L11" s="3776"/>
      <c r="M11" s="3776"/>
      <c r="N11" s="3776"/>
      <c r="O11" s="3776"/>
      <c r="P11" s="3776"/>
      <c r="Q11" s="3777"/>
      <c r="R11" s="2025"/>
      <c r="S11" s="2025"/>
      <c r="T11" s="2025"/>
      <c r="U11" s="2025"/>
      <c r="V11" s="2025"/>
      <c r="W11" s="2025"/>
      <c r="X11" s="2025"/>
      <c r="Y11" s="2025"/>
      <c r="Z11" s="2025"/>
      <c r="AA11" s="2489">
        <v>11</v>
      </c>
      <c r="AB11" s="2025"/>
    </row>
    <row r="12" spans="1:28" s="1906" customFormat="1">
      <c r="A12" s="3769" t="s">
        <v>218</v>
      </c>
      <c r="B12" s="3770"/>
      <c r="C12" s="3770"/>
      <c r="D12" s="3770"/>
      <c r="E12" s="3770"/>
      <c r="F12" s="3770"/>
      <c r="G12" s="3770"/>
      <c r="H12" s="3770"/>
      <c r="I12" s="3770"/>
      <c r="J12" s="3770"/>
      <c r="K12" s="3770"/>
      <c r="L12" s="3770"/>
      <c r="M12" s="3770"/>
      <c r="N12" s="3770"/>
      <c r="O12" s="3770"/>
      <c r="P12" s="3770"/>
      <c r="Q12" s="3771"/>
      <c r="R12" s="2025"/>
      <c r="S12" s="2025"/>
      <c r="T12" s="2025"/>
      <c r="U12" s="2025"/>
      <c r="V12" s="2025"/>
      <c r="W12" s="2025"/>
      <c r="X12" s="2025"/>
      <c r="Y12" s="2025"/>
      <c r="Z12" s="2025"/>
      <c r="AA12" s="2489">
        <v>12</v>
      </c>
      <c r="AB12" s="2025"/>
    </row>
    <row r="13" spans="1:28" s="1906" customFormat="1">
      <c r="A13" s="3769" t="s">
        <v>1323</v>
      </c>
      <c r="B13" s="3770"/>
      <c r="C13" s="3770"/>
      <c r="D13" s="3770"/>
      <c r="E13" s="3770"/>
      <c r="F13" s="3770"/>
      <c r="G13" s="3770"/>
      <c r="H13" s="3770"/>
      <c r="I13" s="3770"/>
      <c r="J13" s="3770"/>
      <c r="K13" s="3770"/>
      <c r="L13" s="3770"/>
      <c r="M13" s="3770"/>
      <c r="N13" s="3770"/>
      <c r="O13" s="3770"/>
      <c r="P13" s="3770"/>
      <c r="Q13" s="3771"/>
      <c r="R13" s="2025"/>
      <c r="S13" s="2025"/>
      <c r="T13" s="2025"/>
      <c r="U13" s="2025"/>
      <c r="V13" s="2025"/>
      <c r="W13" s="2025"/>
      <c r="X13" s="2025"/>
      <c r="Y13" s="2025"/>
      <c r="Z13" s="2025"/>
      <c r="AA13" s="2489">
        <v>13</v>
      </c>
      <c r="AB13" s="2025"/>
    </row>
    <row r="14" spans="1:28" s="1906" customFormat="1">
      <c r="A14" s="3769" t="s">
        <v>1324</v>
      </c>
      <c r="B14" s="3770"/>
      <c r="C14" s="3770"/>
      <c r="D14" s="3770"/>
      <c r="E14" s="3770"/>
      <c r="F14" s="3770"/>
      <c r="G14" s="3770"/>
      <c r="H14" s="3770"/>
      <c r="I14" s="3770"/>
      <c r="J14" s="3770"/>
      <c r="K14" s="3770"/>
      <c r="L14" s="3770"/>
      <c r="M14" s="3770"/>
      <c r="N14" s="3770"/>
      <c r="O14" s="3770"/>
      <c r="P14" s="3770"/>
      <c r="Q14" s="3771"/>
      <c r="R14" s="2025"/>
      <c r="S14" s="2025"/>
      <c r="T14" s="2025"/>
      <c r="U14" s="2025"/>
      <c r="V14" s="2025"/>
      <c r="W14" s="2025"/>
      <c r="X14" s="2025"/>
      <c r="Y14" s="2025"/>
      <c r="Z14" s="2025"/>
      <c r="AA14" s="2489">
        <v>14</v>
      </c>
      <c r="AB14" s="2025"/>
    </row>
    <row r="15" spans="1:28" s="1906" customFormat="1">
      <c r="A15" s="3769" t="s">
        <v>1325</v>
      </c>
      <c r="B15" s="3770"/>
      <c r="C15" s="3770"/>
      <c r="D15" s="3770"/>
      <c r="E15" s="3770"/>
      <c r="F15" s="3770"/>
      <c r="G15" s="3770"/>
      <c r="H15" s="3770"/>
      <c r="I15" s="3770"/>
      <c r="J15" s="3770"/>
      <c r="K15" s="3770"/>
      <c r="L15" s="3770"/>
      <c r="M15" s="3770"/>
      <c r="N15" s="3770"/>
      <c r="O15" s="3770"/>
      <c r="P15" s="3770"/>
      <c r="Q15" s="3771"/>
      <c r="R15" s="2025"/>
      <c r="S15" s="2025"/>
      <c r="T15" s="2025"/>
      <c r="U15" s="2025"/>
      <c r="V15" s="2025"/>
      <c r="W15" s="2025"/>
      <c r="X15" s="2025"/>
      <c r="Y15" s="2025"/>
      <c r="Z15" s="2025"/>
      <c r="AA15" s="2489">
        <v>15</v>
      </c>
      <c r="AB15" s="2025"/>
    </row>
    <row r="16" spans="1:28" s="1906" customFormat="1">
      <c r="A16" s="3769" t="s">
        <v>1326</v>
      </c>
      <c r="B16" s="3770"/>
      <c r="C16" s="3770"/>
      <c r="D16" s="3770"/>
      <c r="E16" s="3770"/>
      <c r="F16" s="3770"/>
      <c r="G16" s="3770"/>
      <c r="H16" s="3770"/>
      <c r="I16" s="3770"/>
      <c r="J16" s="3770"/>
      <c r="K16" s="3770"/>
      <c r="L16" s="3770"/>
      <c r="M16" s="3770"/>
      <c r="N16" s="3770"/>
      <c r="O16" s="3770"/>
      <c r="P16" s="3770"/>
      <c r="Q16" s="3771"/>
      <c r="R16" s="2025"/>
      <c r="S16" s="2025"/>
      <c r="T16" s="2025"/>
      <c r="U16" s="2025"/>
      <c r="V16" s="2025"/>
      <c r="W16" s="2025"/>
      <c r="X16" s="2025"/>
      <c r="Y16" s="2025"/>
      <c r="Z16" s="2025"/>
      <c r="AA16" s="2489">
        <v>16</v>
      </c>
      <c r="AB16" s="2025"/>
    </row>
    <row r="17" spans="1:28" s="1906" customFormat="1">
      <c r="A17" s="3769" t="s">
        <v>1328</v>
      </c>
      <c r="B17" s="3770"/>
      <c r="C17" s="3770"/>
      <c r="D17" s="3770"/>
      <c r="E17" s="3770"/>
      <c r="F17" s="3770"/>
      <c r="G17" s="3770"/>
      <c r="H17" s="3770"/>
      <c r="I17" s="3770"/>
      <c r="J17" s="3770"/>
      <c r="K17" s="3770"/>
      <c r="L17" s="3770"/>
      <c r="M17" s="3770"/>
      <c r="N17" s="3770"/>
      <c r="O17" s="3770"/>
      <c r="P17" s="3770"/>
      <c r="Q17" s="3771"/>
      <c r="R17" s="2025"/>
      <c r="S17" s="2025"/>
      <c r="T17" s="2025"/>
      <c r="U17" s="2025"/>
      <c r="V17" s="2025"/>
      <c r="W17" s="2025"/>
      <c r="X17" s="2025"/>
      <c r="Y17" s="2025"/>
      <c r="Z17" s="2025"/>
      <c r="AA17" s="2489">
        <v>17</v>
      </c>
      <c r="AB17" s="2025"/>
    </row>
    <row r="18" spans="1:28" s="1906" customFormat="1">
      <c r="A18" s="3769" t="s">
        <v>1867</v>
      </c>
      <c r="B18" s="3770"/>
      <c r="C18" s="3770"/>
      <c r="D18" s="3770"/>
      <c r="E18" s="3770"/>
      <c r="F18" s="3770"/>
      <c r="G18" s="3770"/>
      <c r="H18" s="3770"/>
      <c r="I18" s="3770"/>
      <c r="J18" s="3770"/>
      <c r="K18" s="3770"/>
      <c r="L18" s="3770"/>
      <c r="M18" s="3770"/>
      <c r="N18" s="3770"/>
      <c r="O18" s="3770"/>
      <c r="P18" s="3770"/>
      <c r="Q18" s="3771"/>
      <c r="R18" s="2025"/>
      <c r="S18" s="2025"/>
      <c r="T18" s="2025"/>
      <c r="U18" s="2025"/>
      <c r="V18" s="2025"/>
      <c r="W18" s="2025"/>
      <c r="X18" s="2025"/>
      <c r="Y18" s="2025"/>
      <c r="Z18" s="2025"/>
      <c r="AA18" s="2490">
        <v>18</v>
      </c>
      <c r="AB18" s="2025"/>
    </row>
    <row r="19" spans="1:28" s="1906" customFormat="1">
      <c r="A19" s="3769" t="s">
        <v>1868</v>
      </c>
      <c r="B19" s="3770"/>
      <c r="C19" s="3770"/>
      <c r="D19" s="3770"/>
      <c r="E19" s="3770"/>
      <c r="F19" s="3770"/>
      <c r="G19" s="3770"/>
      <c r="H19" s="3770"/>
      <c r="I19" s="3770"/>
      <c r="J19" s="3770"/>
      <c r="K19" s="3770"/>
      <c r="L19" s="3770"/>
      <c r="M19" s="3770"/>
      <c r="N19" s="3770"/>
      <c r="O19" s="3770"/>
      <c r="P19" s="3770"/>
      <c r="Q19" s="3771"/>
      <c r="R19" s="2025"/>
      <c r="S19" s="2025"/>
      <c r="T19" s="2025"/>
      <c r="U19" s="2025"/>
      <c r="V19" s="2025"/>
      <c r="W19" s="2025"/>
      <c r="X19" s="2025"/>
      <c r="Y19" s="2025"/>
      <c r="Z19" s="2025"/>
      <c r="AA19" s="2489">
        <v>19</v>
      </c>
      <c r="AB19" s="2025"/>
    </row>
    <row r="20" spans="1:28" s="1906" customFormat="1">
      <c r="A20" s="3769" t="s">
        <v>1869</v>
      </c>
      <c r="B20" s="3770"/>
      <c r="C20" s="3770"/>
      <c r="D20" s="3770"/>
      <c r="E20" s="3770"/>
      <c r="F20" s="3770"/>
      <c r="G20" s="3770"/>
      <c r="H20" s="3770"/>
      <c r="I20" s="3770"/>
      <c r="J20" s="3770"/>
      <c r="K20" s="3770"/>
      <c r="L20" s="3770"/>
      <c r="M20" s="3770"/>
      <c r="N20" s="3770"/>
      <c r="O20" s="3770"/>
      <c r="P20" s="3770"/>
      <c r="Q20" s="3771"/>
      <c r="R20" s="2025"/>
      <c r="S20" s="2025"/>
      <c r="T20" s="2025"/>
      <c r="U20" s="2025"/>
      <c r="V20" s="2025"/>
      <c r="W20" s="2025"/>
      <c r="X20" s="2025"/>
      <c r="Y20" s="2025"/>
      <c r="Z20" s="2025"/>
      <c r="AA20" s="2489">
        <v>20</v>
      </c>
      <c r="AB20" s="2025"/>
    </row>
    <row r="21" spans="1:28" s="1906" customFormat="1">
      <c r="A21" s="3769" t="s">
        <v>1870</v>
      </c>
      <c r="B21" s="3770"/>
      <c r="C21" s="3770"/>
      <c r="D21" s="3770"/>
      <c r="E21" s="3770"/>
      <c r="F21" s="3770"/>
      <c r="G21" s="3770"/>
      <c r="H21" s="3770"/>
      <c r="I21" s="3770"/>
      <c r="J21" s="3770"/>
      <c r="K21" s="3770"/>
      <c r="L21" s="3770"/>
      <c r="M21" s="3770"/>
      <c r="N21" s="3770"/>
      <c r="O21" s="3770"/>
      <c r="P21" s="3770"/>
      <c r="Q21" s="3771"/>
      <c r="R21" s="2025"/>
      <c r="S21" s="2025"/>
      <c r="T21" s="2025"/>
      <c r="U21" s="2025"/>
      <c r="V21" s="2025"/>
      <c r="W21" s="2025"/>
      <c r="X21" s="2025"/>
      <c r="Y21" s="2025"/>
      <c r="Z21" s="2025"/>
      <c r="AA21" s="2489">
        <v>21</v>
      </c>
      <c r="AB21" s="2025"/>
    </row>
    <row r="22" spans="1:28" s="1906" customFormat="1">
      <c r="A22" s="3769" t="s">
        <v>1871</v>
      </c>
      <c r="B22" s="3770"/>
      <c r="C22" s="3770"/>
      <c r="D22" s="3770"/>
      <c r="E22" s="3770"/>
      <c r="F22" s="3770"/>
      <c r="G22" s="3770"/>
      <c r="H22" s="3770"/>
      <c r="I22" s="3770"/>
      <c r="J22" s="3770"/>
      <c r="K22" s="3770"/>
      <c r="L22" s="3770"/>
      <c r="M22" s="3770"/>
      <c r="N22" s="3770"/>
      <c r="O22" s="3770"/>
      <c r="P22" s="3770"/>
      <c r="Q22" s="3771"/>
      <c r="R22" s="2025"/>
      <c r="S22" s="2025"/>
      <c r="T22" s="2025"/>
      <c r="U22" s="2025"/>
      <c r="V22" s="2025"/>
      <c r="W22" s="2025"/>
      <c r="X22" s="2025"/>
      <c r="Y22" s="2025"/>
      <c r="Z22" s="2025"/>
      <c r="AA22" s="2489">
        <v>22</v>
      </c>
      <c r="AB22" s="2025"/>
    </row>
    <row r="23" spans="1:28" s="1906" customFormat="1">
      <c r="A23" s="3769" t="s">
        <v>1872</v>
      </c>
      <c r="B23" s="3770"/>
      <c r="C23" s="3770"/>
      <c r="D23" s="3770"/>
      <c r="E23" s="3770"/>
      <c r="F23" s="3770"/>
      <c r="G23" s="3770"/>
      <c r="H23" s="3770"/>
      <c r="I23" s="3770"/>
      <c r="J23" s="3770"/>
      <c r="K23" s="3770"/>
      <c r="L23" s="3770"/>
      <c r="M23" s="3770"/>
      <c r="N23" s="3770"/>
      <c r="O23" s="3770"/>
      <c r="P23" s="3770"/>
      <c r="Q23" s="3771"/>
      <c r="R23" s="2025"/>
      <c r="S23" s="2025"/>
      <c r="T23" s="2025"/>
      <c r="U23" s="2025"/>
      <c r="V23" s="2025"/>
      <c r="W23" s="2025"/>
      <c r="X23" s="2025"/>
      <c r="Y23" s="2025"/>
      <c r="Z23" s="2025"/>
      <c r="AA23" s="2489">
        <v>23</v>
      </c>
      <c r="AB23" s="2025"/>
    </row>
    <row r="24" spans="1:28" s="1906" customFormat="1">
      <c r="A24" s="3769" t="s">
        <v>1873</v>
      </c>
      <c r="B24" s="3770"/>
      <c r="C24" s="3770"/>
      <c r="D24" s="3770"/>
      <c r="E24" s="3770"/>
      <c r="F24" s="3770"/>
      <c r="G24" s="3770"/>
      <c r="H24" s="3770"/>
      <c r="I24" s="3770"/>
      <c r="J24" s="3770"/>
      <c r="K24" s="3770"/>
      <c r="L24" s="3770"/>
      <c r="M24" s="3770"/>
      <c r="N24" s="3770"/>
      <c r="O24" s="3770"/>
      <c r="P24" s="3770"/>
      <c r="Q24" s="3771"/>
      <c r="R24" s="2025"/>
      <c r="S24" s="2025"/>
      <c r="T24" s="2025"/>
      <c r="U24" s="2025"/>
      <c r="V24" s="2025"/>
      <c r="W24" s="2025"/>
      <c r="X24" s="2025"/>
      <c r="Y24" s="2025"/>
      <c r="Z24" s="2025"/>
      <c r="AA24" s="2489">
        <v>24</v>
      </c>
      <c r="AB24" s="2025"/>
    </row>
    <row r="25" spans="1:28" s="1906" customFormat="1">
      <c r="A25" s="3778" t="s">
        <v>5073</v>
      </c>
      <c r="B25" s="3779"/>
      <c r="C25" s="3779"/>
      <c r="D25" s="3779"/>
      <c r="E25" s="3779"/>
      <c r="F25" s="3779"/>
      <c r="G25" s="3779"/>
      <c r="H25" s="3779"/>
      <c r="I25" s="3779"/>
      <c r="J25" s="3779"/>
      <c r="K25" s="3779"/>
      <c r="L25" s="3779"/>
      <c r="M25" s="3779"/>
      <c r="N25" s="3779"/>
      <c r="O25" s="3779"/>
      <c r="P25" s="3779"/>
      <c r="Q25" s="3780"/>
      <c r="R25" s="2025"/>
      <c r="S25" s="2025"/>
      <c r="T25" s="2025"/>
      <c r="U25" s="2025"/>
      <c r="V25" s="2025"/>
      <c r="W25" s="2025"/>
      <c r="X25" s="2025"/>
      <c r="Y25" s="2025"/>
      <c r="Z25" s="2025"/>
      <c r="AA25" s="2489">
        <v>25</v>
      </c>
      <c r="AB25" s="2025"/>
    </row>
    <row r="26" spans="1:28" s="1906" customFormat="1" ht="12.75" customHeight="1">
      <c r="A26" s="1903"/>
      <c r="B26" s="1903"/>
      <c r="C26" s="1903"/>
      <c r="D26" s="1903"/>
      <c r="E26" s="1903"/>
      <c r="F26" s="1903"/>
      <c r="G26" s="1903"/>
      <c r="H26" s="1903"/>
      <c r="I26" s="1903"/>
      <c r="J26" s="1903"/>
      <c r="K26" s="1903"/>
      <c r="L26" s="1903"/>
      <c r="M26" s="1903"/>
      <c r="N26" s="1903"/>
      <c r="O26" s="1903"/>
      <c r="P26" s="1903"/>
      <c r="Q26" s="1903"/>
      <c r="R26" s="2025"/>
      <c r="S26" s="2025"/>
      <c r="T26" s="2025"/>
      <c r="U26" s="2025"/>
      <c r="V26" s="2025"/>
      <c r="W26" s="2025"/>
      <c r="X26" s="2025"/>
      <c r="Y26" s="2025"/>
      <c r="Z26" s="2025"/>
      <c r="AA26" s="2489">
        <v>26</v>
      </c>
      <c r="AB26" s="2025"/>
    </row>
    <row r="27" spans="1:28" ht="20.25" customHeight="1">
      <c r="A27" s="1919" t="s">
        <v>572</v>
      </c>
      <c r="B27" s="1911" t="s">
        <v>4523</v>
      </c>
      <c r="C27" s="1911"/>
      <c r="D27" s="1911"/>
      <c r="E27" s="1911"/>
      <c r="F27" s="1911"/>
      <c r="G27" s="1911"/>
      <c r="I27" s="1913"/>
      <c r="J27" s="1913"/>
      <c r="K27" s="1913"/>
      <c r="L27" s="1910"/>
      <c r="M27" s="1910"/>
      <c r="O27" s="1914" t="s">
        <v>1726</v>
      </c>
      <c r="P27" s="3781"/>
      <c r="Q27" s="3782"/>
      <c r="AA27" s="2489">
        <v>27</v>
      </c>
    </row>
    <row r="28" spans="1:28" ht="13.5" customHeight="1">
      <c r="B28" s="1916" t="s">
        <v>4643</v>
      </c>
      <c r="C28" s="1916"/>
      <c r="D28" s="1916"/>
      <c r="E28" s="1916"/>
      <c r="F28" s="1916"/>
      <c r="G28" s="1913"/>
      <c r="H28" s="1913"/>
      <c r="I28" s="1913"/>
      <c r="J28" s="1913"/>
      <c r="K28" s="1910"/>
      <c r="L28" s="1910"/>
      <c r="M28" s="1910"/>
      <c r="N28" s="1910"/>
      <c r="O28" s="1910"/>
      <c r="P28" s="1910"/>
      <c r="AA28" s="2489">
        <v>28</v>
      </c>
    </row>
    <row r="29" spans="1:28" ht="111" customHeight="1">
      <c r="A29" s="3731" t="s">
        <v>5236</v>
      </c>
      <c r="B29" s="3731"/>
      <c r="C29" s="3731"/>
      <c r="D29" s="3731"/>
      <c r="E29" s="3731"/>
      <c r="F29" s="3731"/>
      <c r="G29" s="3731"/>
      <c r="H29" s="3731"/>
      <c r="I29" s="3731"/>
      <c r="J29" s="3731"/>
      <c r="K29" s="3731"/>
      <c r="L29" s="3731"/>
      <c r="M29" s="3731"/>
      <c r="N29" s="3731"/>
      <c r="O29" s="3731"/>
      <c r="P29" s="3731"/>
      <c r="Q29" s="3754"/>
      <c r="AA29" s="2489">
        <v>29</v>
      </c>
    </row>
    <row r="30" spans="1:28" ht="15.75" customHeight="1">
      <c r="B30" s="1916" t="s">
        <v>1725</v>
      </c>
      <c r="C30" s="1917"/>
      <c r="D30" s="1918"/>
      <c r="E30" s="1918"/>
      <c r="F30" s="1918"/>
      <c r="G30" s="1918"/>
      <c r="H30" s="1918"/>
      <c r="I30" s="1918"/>
      <c r="J30" s="1918"/>
      <c r="K30" s="1918"/>
      <c r="L30" s="1918"/>
      <c r="M30" s="1918"/>
      <c r="N30" s="1918"/>
      <c r="O30" s="1918"/>
      <c r="P30" s="1918"/>
      <c r="AA30" s="2489">
        <v>30</v>
      </c>
    </row>
    <row r="31" spans="1:28" ht="30" customHeight="1">
      <c r="A31" s="3760"/>
      <c r="B31" s="3760"/>
      <c r="C31" s="3760"/>
      <c r="D31" s="3760"/>
      <c r="E31" s="3760"/>
      <c r="F31" s="3760"/>
      <c r="G31" s="3760"/>
      <c r="H31" s="3760"/>
      <c r="I31" s="3760"/>
      <c r="J31" s="3760"/>
      <c r="K31" s="3760"/>
      <c r="L31" s="3760"/>
      <c r="M31" s="3760"/>
      <c r="N31" s="3760"/>
      <c r="O31" s="3760"/>
      <c r="P31" s="3760"/>
      <c r="Q31" s="3760"/>
      <c r="AA31" s="2489">
        <v>31</v>
      </c>
    </row>
    <row r="32" spans="1:28" ht="11.25" customHeight="1">
      <c r="B32" s="1913"/>
      <c r="C32" s="1918"/>
      <c r="D32" s="1918"/>
      <c r="E32" s="1918"/>
      <c r="F32" s="1918"/>
      <c r="G32" s="1918"/>
      <c r="H32" s="1918"/>
      <c r="I32" s="1918"/>
      <c r="J32" s="1918"/>
      <c r="K32" s="1918"/>
      <c r="L32" s="1918"/>
      <c r="M32" s="1918"/>
      <c r="N32" s="1918"/>
      <c r="O32" s="1918"/>
      <c r="P32" s="1918"/>
      <c r="Q32" s="1910"/>
      <c r="AA32" s="2489">
        <v>32</v>
      </c>
    </row>
    <row r="33" spans="1:27" ht="20.25" customHeight="1">
      <c r="A33" s="1919" t="s">
        <v>688</v>
      </c>
      <c r="B33" s="1911" t="s">
        <v>1117</v>
      </c>
      <c r="C33" s="1911"/>
      <c r="D33" s="1911"/>
      <c r="E33" s="1918"/>
      <c r="F33" s="1918"/>
      <c r="G33" s="1920"/>
      <c r="O33" s="1914" t="s">
        <v>1726</v>
      </c>
      <c r="P33" s="3720"/>
      <c r="Q33" s="3783"/>
      <c r="AA33" s="2490">
        <v>33</v>
      </c>
    </row>
    <row r="34" spans="1:27" ht="18.75" customHeight="1">
      <c r="A34" s="1919"/>
      <c r="B34" s="3784" t="s">
        <v>4644</v>
      </c>
      <c r="C34" s="3784"/>
      <c r="D34" s="3784"/>
      <c r="E34" s="3784"/>
      <c r="F34" s="3784"/>
      <c r="G34" s="3784"/>
      <c r="H34" s="3784"/>
      <c r="I34" s="3784"/>
      <c r="J34" s="3784"/>
      <c r="K34" s="3784"/>
      <c r="L34" s="3784"/>
      <c r="M34" s="3784"/>
      <c r="N34" s="3784"/>
      <c r="O34" s="3784"/>
      <c r="P34" s="3785"/>
      <c r="Q34" s="3786"/>
      <c r="AA34" s="2489">
        <v>34</v>
      </c>
    </row>
    <row r="35" spans="1:27" ht="15.75" customHeight="1">
      <c r="B35" s="1922" t="s">
        <v>3157</v>
      </c>
      <c r="D35" s="1922"/>
      <c r="E35" s="1922"/>
      <c r="F35" s="1922"/>
      <c r="G35" s="1922"/>
      <c r="H35" s="1920"/>
      <c r="I35" s="1913"/>
      <c r="J35" s="1913"/>
      <c r="AA35" s="2489">
        <v>35</v>
      </c>
    </row>
    <row r="36" spans="1:27" ht="15" customHeight="1">
      <c r="A36" s="3742" t="s">
        <v>5236</v>
      </c>
      <c r="B36" s="3787"/>
      <c r="C36" s="3787"/>
      <c r="D36" s="3787"/>
      <c r="E36" s="3787"/>
      <c r="F36" s="3787"/>
      <c r="G36" s="3787"/>
      <c r="H36" s="3787"/>
      <c r="I36" s="3787"/>
      <c r="J36" s="3787"/>
      <c r="K36" s="3787"/>
      <c r="L36" s="3787"/>
      <c r="M36" s="3787"/>
      <c r="N36" s="3787"/>
      <c r="O36" s="3787"/>
      <c r="P36" s="3787"/>
      <c r="Q36" s="3788"/>
      <c r="AA36" s="2489">
        <v>36</v>
      </c>
    </row>
    <row r="37" spans="1:27" ht="15.75" customHeight="1">
      <c r="A37" s="1910"/>
      <c r="B37" s="1916" t="s">
        <v>1725</v>
      </c>
      <c r="C37" s="1910"/>
      <c r="D37" s="1910"/>
      <c r="E37" s="1910"/>
      <c r="F37" s="1910"/>
      <c r="G37" s="1910"/>
      <c r="H37" s="1910"/>
      <c r="I37" s="1918"/>
      <c r="J37" s="1918"/>
      <c r="K37" s="1918"/>
      <c r="L37" s="1918"/>
      <c r="M37" s="1918"/>
      <c r="N37" s="1918"/>
      <c r="O37" s="1918"/>
      <c r="P37" s="1918"/>
      <c r="Q37" s="1910"/>
      <c r="AA37" s="2489">
        <v>37</v>
      </c>
    </row>
    <row r="38" spans="1:27" ht="15" customHeight="1">
      <c r="A38" s="3760"/>
      <c r="B38" s="3760"/>
      <c r="C38" s="3760"/>
      <c r="D38" s="3760"/>
      <c r="E38" s="3760"/>
      <c r="F38" s="3760"/>
      <c r="G38" s="3760"/>
      <c r="H38" s="3760"/>
      <c r="I38" s="3760"/>
      <c r="J38" s="3760"/>
      <c r="K38" s="3760"/>
      <c r="L38" s="3760"/>
      <c r="M38" s="3760"/>
      <c r="N38" s="3760"/>
      <c r="O38" s="3760"/>
      <c r="P38" s="3760"/>
      <c r="Q38" s="3760"/>
      <c r="AA38" s="2489">
        <v>38</v>
      </c>
    </row>
    <row r="39" spans="1:27" ht="7.5" customHeight="1">
      <c r="A39" s="1910"/>
      <c r="B39" s="1918"/>
      <c r="C39" s="1918"/>
      <c r="D39" s="1918"/>
      <c r="E39" s="1918"/>
      <c r="F39" s="1918"/>
      <c r="G39" s="1918"/>
      <c r="H39" s="1918"/>
      <c r="I39" s="1918"/>
      <c r="J39" s="1918"/>
      <c r="K39" s="1918"/>
      <c r="L39" s="1918"/>
      <c r="M39" s="1918"/>
      <c r="N39" s="1918"/>
      <c r="O39" s="1918"/>
      <c r="P39" s="1918"/>
      <c r="Q39" s="1910"/>
      <c r="AA39" s="2489">
        <v>39</v>
      </c>
    </row>
    <row r="40" spans="1:27" ht="7.5" customHeight="1">
      <c r="A40" s="1915"/>
      <c r="B40" s="1913"/>
      <c r="C40" s="1918"/>
      <c r="D40" s="1918"/>
      <c r="E40" s="1918"/>
      <c r="F40" s="1918"/>
      <c r="G40" s="1918"/>
      <c r="H40" s="1918"/>
      <c r="I40" s="1918"/>
      <c r="J40" s="1918"/>
      <c r="K40" s="1918"/>
      <c r="L40" s="1918"/>
      <c r="M40" s="1918"/>
      <c r="N40" s="1918"/>
      <c r="O40" s="1918"/>
      <c r="P40" s="1918"/>
      <c r="Q40" s="1910"/>
      <c r="AA40" s="2489">
        <v>40</v>
      </c>
    </row>
    <row r="41" spans="1:27" ht="20.25" customHeight="1">
      <c r="A41" s="1919" t="s">
        <v>690</v>
      </c>
      <c r="B41" s="1919" t="s">
        <v>4774</v>
      </c>
      <c r="C41" s="1919"/>
      <c r="D41" s="1918"/>
      <c r="E41" s="1918"/>
      <c r="F41" s="1918"/>
      <c r="G41" s="1918"/>
      <c r="H41" s="1918"/>
      <c r="I41" s="1918"/>
      <c r="J41" s="1918"/>
      <c r="L41" s="1923"/>
      <c r="M41" s="1924"/>
      <c r="O41" s="1914" t="s">
        <v>1726</v>
      </c>
      <c r="P41" s="3720"/>
      <c r="Q41" s="3748"/>
      <c r="AA41" s="2489">
        <v>41</v>
      </c>
    </row>
    <row r="42" spans="1:27" ht="20.25" customHeight="1">
      <c r="A42" s="1925"/>
      <c r="B42" s="1920" t="s">
        <v>4970</v>
      </c>
      <c r="C42" s="1919"/>
      <c r="D42" s="1918"/>
      <c r="E42" s="1918"/>
      <c r="F42" s="1918"/>
      <c r="G42" s="1918"/>
      <c r="H42" s="1918"/>
      <c r="I42" s="1918"/>
      <c r="J42" s="1918"/>
      <c r="L42" s="1923"/>
      <c r="M42" s="1924"/>
      <c r="O42" s="1914"/>
      <c r="P42" s="3785"/>
      <c r="Q42" s="3786"/>
      <c r="AA42" s="2490">
        <v>42</v>
      </c>
    </row>
    <row r="43" spans="1:27" ht="15.75" customHeight="1">
      <c r="B43" s="1922" t="s">
        <v>3157</v>
      </c>
      <c r="D43" s="1922"/>
      <c r="E43" s="1922"/>
      <c r="F43" s="1922"/>
      <c r="G43" s="1922"/>
      <c r="H43" s="1920"/>
      <c r="I43" s="1913"/>
      <c r="J43" s="1913"/>
      <c r="AA43" s="2489">
        <v>43</v>
      </c>
    </row>
    <row r="44" spans="1:27" ht="30" customHeight="1">
      <c r="A44" s="3742" t="s">
        <v>5236</v>
      </c>
      <c r="B44" s="3787"/>
      <c r="C44" s="3787"/>
      <c r="D44" s="3787"/>
      <c r="E44" s="3787"/>
      <c r="F44" s="3787"/>
      <c r="G44" s="3787"/>
      <c r="H44" s="3787"/>
      <c r="I44" s="3787"/>
      <c r="J44" s="3787"/>
      <c r="K44" s="3787"/>
      <c r="L44" s="3787"/>
      <c r="M44" s="3787"/>
      <c r="N44" s="3787"/>
      <c r="O44" s="3787"/>
      <c r="P44" s="3787"/>
      <c r="Q44" s="3788"/>
      <c r="AA44" s="2489">
        <v>44</v>
      </c>
    </row>
    <row r="45" spans="1:27" ht="15.75" customHeight="1">
      <c r="A45" s="1910"/>
      <c r="B45" s="1916" t="s">
        <v>1725</v>
      </c>
      <c r="C45" s="1910"/>
      <c r="D45" s="1910"/>
      <c r="E45" s="1910"/>
      <c r="F45" s="1910"/>
      <c r="G45" s="1910"/>
      <c r="H45" s="1910"/>
      <c r="I45" s="1918"/>
      <c r="J45" s="1918"/>
      <c r="K45" s="1918"/>
      <c r="L45" s="1918"/>
      <c r="M45" s="1918"/>
      <c r="N45" s="1918"/>
      <c r="O45" s="1918"/>
      <c r="P45" s="1918"/>
      <c r="Q45" s="1910"/>
      <c r="AA45" s="2489">
        <v>45</v>
      </c>
    </row>
    <row r="46" spans="1:27" ht="15" customHeight="1">
      <c r="A46" s="3760"/>
      <c r="B46" s="3760"/>
      <c r="C46" s="3760"/>
      <c r="D46" s="3760"/>
      <c r="E46" s="3760"/>
      <c r="F46" s="3760"/>
      <c r="G46" s="3760"/>
      <c r="H46" s="3760"/>
      <c r="I46" s="3760"/>
      <c r="J46" s="3760"/>
      <c r="K46" s="3760"/>
      <c r="L46" s="3760"/>
      <c r="M46" s="3760"/>
      <c r="N46" s="3760"/>
      <c r="O46" s="3760"/>
      <c r="P46" s="3760"/>
      <c r="Q46" s="3760"/>
      <c r="AA46" s="2489">
        <v>46</v>
      </c>
    </row>
    <row r="47" spans="1:27" ht="7.5" customHeight="1">
      <c r="A47" s="1910"/>
      <c r="B47" s="1913"/>
      <c r="C47" s="1918"/>
      <c r="D47" s="1918"/>
      <c r="E47" s="1918"/>
      <c r="F47" s="1918"/>
      <c r="G47" s="1918"/>
      <c r="H47" s="1918"/>
      <c r="I47" s="1918"/>
      <c r="J47" s="1918"/>
      <c r="K47" s="1918"/>
      <c r="L47" s="1918"/>
      <c r="M47" s="1918"/>
      <c r="N47" s="1918"/>
      <c r="O47" s="1918"/>
      <c r="P47" s="1918"/>
      <c r="Q47" s="1910"/>
      <c r="AA47" s="2489">
        <v>47</v>
      </c>
    </row>
    <row r="48" spans="1:27" ht="7.5" customHeight="1">
      <c r="A48" s="1919"/>
      <c r="B48" s="1913"/>
      <c r="C48" s="1918"/>
      <c r="D48" s="1918"/>
      <c r="E48" s="1918"/>
      <c r="F48" s="1918"/>
      <c r="G48" s="1918"/>
      <c r="H48" s="1918"/>
      <c r="I48" s="1918"/>
      <c r="J48" s="1918"/>
      <c r="K48" s="1918"/>
      <c r="L48" s="1918"/>
      <c r="M48" s="1918"/>
      <c r="N48" s="1918"/>
      <c r="O48" s="1918"/>
      <c r="P48" s="1918"/>
      <c r="Q48" s="1910"/>
      <c r="AA48" s="2489">
        <v>48</v>
      </c>
    </row>
    <row r="49" spans="1:27" ht="20.25" customHeight="1">
      <c r="A49" s="1919" t="s">
        <v>1661</v>
      </c>
      <c r="B49" s="1919" t="s">
        <v>3888</v>
      </c>
      <c r="C49" s="1919"/>
      <c r="D49" s="1918"/>
      <c r="E49" s="1918"/>
      <c r="F49" s="1918"/>
      <c r="G49" s="1918"/>
      <c r="H49" s="1926"/>
      <c r="J49" s="1925"/>
      <c r="K49" s="1904"/>
      <c r="L49" s="1925"/>
      <c r="M49" s="1927"/>
      <c r="O49" s="1914" t="s">
        <v>1726</v>
      </c>
      <c r="P49" s="3720"/>
      <c r="Q49" s="3748"/>
      <c r="AA49" s="2489">
        <v>49</v>
      </c>
    </row>
    <row r="50" spans="1:27" ht="15.75" customHeight="1">
      <c r="A50" s="1925"/>
      <c r="B50" s="1912" t="s">
        <v>2258</v>
      </c>
      <c r="L50" s="3731" t="s">
        <v>5237</v>
      </c>
      <c r="M50" s="3732"/>
      <c r="N50" s="3732"/>
      <c r="O50" s="3732"/>
      <c r="P50" s="3732"/>
      <c r="Q50" s="3733"/>
      <c r="AA50" s="2489">
        <v>50</v>
      </c>
    </row>
    <row r="51" spans="1:27" ht="16" customHeight="1">
      <c r="A51" s="1925"/>
      <c r="B51" s="1912" t="s">
        <v>4645</v>
      </c>
      <c r="D51" s="1928"/>
      <c r="E51" s="1928"/>
      <c r="F51" s="1928"/>
      <c r="N51" s="1929"/>
      <c r="O51" s="1929"/>
      <c r="P51" s="3729">
        <v>0.97</v>
      </c>
      <c r="Q51" s="3730"/>
      <c r="AA51" s="2489">
        <v>51</v>
      </c>
    </row>
    <row r="52" spans="1:27" ht="15" customHeight="1">
      <c r="A52" s="1925"/>
      <c r="B52" s="1912" t="s">
        <v>5085</v>
      </c>
      <c r="D52" s="1928"/>
      <c r="E52" s="1928"/>
      <c r="F52" s="1928"/>
      <c r="L52" s="1920" t="s">
        <v>4646</v>
      </c>
      <c r="N52" s="1915"/>
      <c r="O52" s="1915"/>
      <c r="P52" s="3739">
        <v>7.6999999999999999E-2</v>
      </c>
      <c r="Q52" s="3740"/>
      <c r="AA52" s="2489">
        <v>52</v>
      </c>
    </row>
    <row r="53" spans="1:27" ht="15" customHeight="1">
      <c r="A53" s="1925"/>
      <c r="D53" s="1928"/>
      <c r="E53" s="1928"/>
      <c r="F53" s="1928"/>
      <c r="J53" s="1930"/>
      <c r="L53" s="2474" t="s">
        <v>5086</v>
      </c>
      <c r="N53" s="1915"/>
      <c r="O53" s="1915"/>
      <c r="P53" s="3737">
        <v>4.0000000000000001E-3</v>
      </c>
      <c r="Q53" s="3738"/>
      <c r="AA53" s="2489">
        <v>53</v>
      </c>
    </row>
    <row r="54" spans="1:27" ht="15.75" customHeight="1">
      <c r="B54" s="1931" t="s">
        <v>3157</v>
      </c>
      <c r="D54" s="1931"/>
      <c r="E54" s="1931"/>
      <c r="F54" s="1931"/>
      <c r="G54" s="1931"/>
      <c r="H54" s="1920"/>
      <c r="I54" s="1913"/>
      <c r="J54" s="1913"/>
      <c r="K54" s="1913"/>
      <c r="L54" s="1910"/>
      <c r="M54" s="1910"/>
      <c r="N54" s="1910"/>
      <c r="O54" s="1910"/>
      <c r="P54" s="1910"/>
      <c r="Q54" s="1910"/>
      <c r="AA54" s="2489">
        <v>54</v>
      </c>
    </row>
    <row r="55" spans="1:27" ht="193.5" customHeight="1">
      <c r="A55" s="3731" t="s">
        <v>5295</v>
      </c>
      <c r="B55" s="3731"/>
      <c r="C55" s="3731"/>
      <c r="D55" s="3731"/>
      <c r="E55" s="3731"/>
      <c r="F55" s="3731"/>
      <c r="G55" s="3731"/>
      <c r="H55" s="3731"/>
      <c r="I55" s="3731"/>
      <c r="J55" s="3731"/>
      <c r="K55" s="3731"/>
      <c r="L55" s="3731"/>
      <c r="M55" s="3731"/>
      <c r="N55" s="3731"/>
      <c r="O55" s="3731"/>
      <c r="P55" s="3731"/>
      <c r="Q55" s="3754"/>
      <c r="AA55" s="2489">
        <v>55</v>
      </c>
    </row>
    <row r="56" spans="1:27" ht="15.75" customHeight="1">
      <c r="B56" s="1916" t="s">
        <v>1725</v>
      </c>
      <c r="C56" s="1917"/>
      <c r="D56" s="1918"/>
      <c r="E56" s="1918"/>
      <c r="F56" s="1918"/>
      <c r="G56" s="1918"/>
      <c r="H56" s="1918"/>
      <c r="I56" s="1918"/>
      <c r="J56" s="1918"/>
      <c r="K56" s="1918"/>
      <c r="L56" s="1918"/>
      <c r="M56" s="1918"/>
      <c r="N56" s="1918"/>
      <c r="O56" s="1918"/>
      <c r="P56" s="1918"/>
      <c r="Q56" s="1918"/>
      <c r="AA56" s="2489">
        <v>56</v>
      </c>
    </row>
    <row r="57" spans="1:27" ht="15" customHeight="1">
      <c r="A57" s="3755"/>
      <c r="B57" s="3755"/>
      <c r="C57" s="3755"/>
      <c r="D57" s="3755"/>
      <c r="E57" s="3755"/>
      <c r="F57" s="3755"/>
      <c r="G57" s="3755"/>
      <c r="H57" s="3755"/>
      <c r="I57" s="3755"/>
      <c r="J57" s="3755"/>
      <c r="K57" s="3755"/>
      <c r="L57" s="3755"/>
      <c r="M57" s="3755"/>
      <c r="N57" s="3755"/>
      <c r="O57" s="3755"/>
      <c r="P57" s="3755"/>
      <c r="Q57" s="3756"/>
      <c r="AA57" s="2490">
        <v>57</v>
      </c>
    </row>
    <row r="58" spans="1:27" ht="7.5" customHeight="1">
      <c r="A58" s="1918"/>
      <c r="B58" s="1918"/>
      <c r="C58" s="1918"/>
      <c r="D58" s="1918"/>
      <c r="E58" s="1918"/>
      <c r="F58" s="1918"/>
      <c r="G58" s="1918"/>
      <c r="H58" s="1918"/>
      <c r="I58" s="1918"/>
      <c r="J58" s="1918"/>
      <c r="K58" s="1918"/>
      <c r="L58" s="1918"/>
      <c r="M58" s="1918"/>
      <c r="N58" s="1918"/>
      <c r="O58" s="1918"/>
      <c r="P58" s="1918"/>
      <c r="Q58" s="1918"/>
      <c r="AA58" s="2489">
        <v>58</v>
      </c>
    </row>
    <row r="59" spans="1:27" ht="7.5" customHeight="1">
      <c r="A59" s="1919"/>
      <c r="B59" s="1918"/>
      <c r="C59" s="1918"/>
      <c r="D59" s="1918"/>
      <c r="E59" s="1918"/>
      <c r="F59" s="1918"/>
      <c r="G59" s="1918"/>
      <c r="H59" s="1918"/>
      <c r="I59" s="1918"/>
      <c r="J59" s="1918"/>
      <c r="K59" s="1918"/>
      <c r="L59" s="1918"/>
      <c r="M59" s="1918"/>
      <c r="N59" s="1918"/>
      <c r="O59" s="1918"/>
      <c r="P59" s="1918"/>
      <c r="Q59" s="1918"/>
      <c r="AA59" s="2489">
        <v>59</v>
      </c>
    </row>
    <row r="60" spans="1:27" ht="20.25" customHeight="1">
      <c r="A60" s="1919" t="s">
        <v>1663</v>
      </c>
      <c r="B60" s="1919" t="s">
        <v>2416</v>
      </c>
      <c r="C60" s="1919"/>
      <c r="D60" s="1918"/>
      <c r="E60" s="1918"/>
      <c r="F60" s="1918"/>
      <c r="G60" s="1918"/>
      <c r="H60" s="1918"/>
      <c r="I60" s="1918"/>
      <c r="J60" s="1918"/>
      <c r="K60" s="1918"/>
      <c r="L60" s="1918"/>
      <c r="M60" s="1918"/>
      <c r="O60" s="1914" t="s">
        <v>1726</v>
      </c>
      <c r="P60" s="3757"/>
      <c r="Q60" s="3758"/>
      <c r="AA60" s="2489">
        <v>60</v>
      </c>
    </row>
    <row r="61" spans="1:27" ht="16" customHeight="1">
      <c r="A61" s="1925"/>
      <c r="B61" s="1912" t="s">
        <v>4647</v>
      </c>
      <c r="I61" s="1933"/>
      <c r="L61" s="3734"/>
      <c r="M61" s="3735"/>
      <c r="N61" s="3735"/>
      <c r="O61" s="3735"/>
      <c r="P61" s="3735"/>
      <c r="Q61" s="3736"/>
      <c r="AA61" s="2489">
        <v>61</v>
      </c>
    </row>
    <row r="62" spans="1:27" ht="16" customHeight="1">
      <c r="A62" s="1925"/>
      <c r="B62" s="1912" t="s">
        <v>3821</v>
      </c>
      <c r="O62" s="1921"/>
      <c r="P62" s="1939"/>
      <c r="Q62" s="1932"/>
      <c r="AA62" s="2489">
        <v>62</v>
      </c>
    </row>
    <row r="63" spans="1:27" ht="31.5" customHeight="1">
      <c r="B63" s="1919"/>
      <c r="C63" s="3741" t="s">
        <v>4775</v>
      </c>
      <c r="D63" s="3741"/>
      <c r="E63" s="3741"/>
      <c r="F63" s="3741"/>
      <c r="G63" s="3741"/>
      <c r="H63" s="3741"/>
      <c r="I63" s="3741"/>
      <c r="J63" s="3741"/>
      <c r="K63" s="3741"/>
      <c r="L63" s="3741"/>
      <c r="M63" s="3741"/>
      <c r="N63" s="3741"/>
      <c r="O63" s="3741"/>
      <c r="P63" s="2031"/>
      <c r="Q63" s="2054"/>
      <c r="AA63" s="2489">
        <v>63</v>
      </c>
    </row>
    <row r="64" spans="1:27" ht="15.75" customHeight="1">
      <c r="B64" s="1931" t="s">
        <v>4643</v>
      </c>
      <c r="D64" s="1931"/>
      <c r="E64" s="1931"/>
      <c r="F64" s="1931"/>
      <c r="G64" s="1931"/>
      <c r="H64" s="1920"/>
      <c r="I64" s="1913"/>
      <c r="J64" s="1913"/>
      <c r="K64" s="1913"/>
      <c r="L64" s="1910"/>
      <c r="M64" s="1910"/>
      <c r="N64" s="1910"/>
      <c r="O64" s="1910"/>
      <c r="P64" s="1910"/>
      <c r="Q64" s="1910"/>
      <c r="AA64" s="2489">
        <v>64</v>
      </c>
    </row>
    <row r="65" spans="1:28" ht="60" customHeight="1">
      <c r="A65" s="3742" t="s">
        <v>5238</v>
      </c>
      <c r="B65" s="3743"/>
      <c r="C65" s="3743"/>
      <c r="D65" s="3743"/>
      <c r="E65" s="3743"/>
      <c r="F65" s="3743"/>
      <c r="G65" s="3743"/>
      <c r="H65" s="3743"/>
      <c r="I65" s="3743"/>
      <c r="J65" s="3743"/>
      <c r="K65" s="3743"/>
      <c r="L65" s="3743"/>
      <c r="M65" s="3743"/>
      <c r="N65" s="3743"/>
      <c r="O65" s="3743"/>
      <c r="P65" s="3743"/>
      <c r="Q65" s="3744"/>
      <c r="AA65" s="2489">
        <v>65</v>
      </c>
    </row>
    <row r="66" spans="1:28" ht="15.75" customHeight="1">
      <c r="B66" s="1916" t="s">
        <v>1725</v>
      </c>
      <c r="C66" s="1917"/>
      <c r="D66" s="1918"/>
      <c r="E66" s="1918"/>
      <c r="F66" s="1918"/>
      <c r="G66" s="1918"/>
      <c r="H66" s="1918"/>
      <c r="I66" s="1918"/>
      <c r="J66" s="1918"/>
      <c r="K66" s="1918"/>
      <c r="L66" s="1918"/>
      <c r="M66" s="1918"/>
      <c r="N66" s="1918"/>
      <c r="O66" s="1918"/>
      <c r="P66" s="1918"/>
      <c r="Q66" s="1918"/>
      <c r="AA66" s="2490">
        <v>66</v>
      </c>
    </row>
    <row r="67" spans="1:28" ht="15" customHeight="1">
      <c r="A67" s="3745"/>
      <c r="B67" s="3746"/>
      <c r="C67" s="3746"/>
      <c r="D67" s="3746"/>
      <c r="E67" s="3746"/>
      <c r="F67" s="3746"/>
      <c r="G67" s="3746"/>
      <c r="H67" s="3746"/>
      <c r="I67" s="3746"/>
      <c r="J67" s="3746"/>
      <c r="K67" s="3746"/>
      <c r="L67" s="3746"/>
      <c r="M67" s="3746"/>
      <c r="N67" s="3746"/>
      <c r="O67" s="3746"/>
      <c r="P67" s="3746"/>
      <c r="Q67" s="3747"/>
      <c r="AA67" s="2489">
        <v>67</v>
      </c>
    </row>
    <row r="68" spans="1:28" ht="13.5" customHeight="1">
      <c r="AA68" s="2489">
        <v>68</v>
      </c>
    </row>
    <row r="69" spans="1:28" ht="13.5" customHeight="1">
      <c r="A69" s="1915"/>
      <c r="AA69" s="2489">
        <v>69</v>
      </c>
    </row>
    <row r="70" spans="1:28" ht="20.25" customHeight="1">
      <c r="A70" s="1919" t="s">
        <v>495</v>
      </c>
      <c r="B70" s="1919" t="s">
        <v>2417</v>
      </c>
      <c r="C70" s="1920"/>
      <c r="D70" s="1918"/>
      <c r="E70" s="1918"/>
      <c r="F70" s="1918"/>
      <c r="G70" s="1918"/>
      <c r="H70" s="1918"/>
      <c r="I70" s="1918"/>
      <c r="J70" s="1918"/>
      <c r="K70" s="1918"/>
      <c r="L70" s="1918"/>
      <c r="M70" s="1918"/>
      <c r="N70" s="1938"/>
      <c r="O70" s="1914" t="s">
        <v>1726</v>
      </c>
      <c r="P70" s="3720"/>
      <c r="Q70" s="3748"/>
      <c r="AA70" s="2489">
        <v>70</v>
      </c>
    </row>
    <row r="71" spans="1:28" ht="32.25" customHeight="1">
      <c r="A71" s="1925"/>
      <c r="B71" s="3741" t="s">
        <v>4959</v>
      </c>
      <c r="C71" s="3741"/>
      <c r="D71" s="3741"/>
      <c r="E71" s="3741"/>
      <c r="F71" s="3741"/>
      <c r="G71" s="3741"/>
      <c r="H71" s="3741"/>
      <c r="I71" s="3741"/>
      <c r="J71" s="3741"/>
      <c r="K71" s="3749"/>
      <c r="L71" s="3750" t="s">
        <v>5239</v>
      </c>
      <c r="M71" s="3751"/>
      <c r="N71" s="3751"/>
      <c r="O71" s="3751"/>
      <c r="P71" s="3752"/>
      <c r="Q71" s="3753"/>
      <c r="AA71" s="2489">
        <v>71</v>
      </c>
    </row>
    <row r="72" spans="1:28" ht="16.5" customHeight="1">
      <c r="B72" s="1912" t="s">
        <v>4648</v>
      </c>
      <c r="C72" s="1915"/>
      <c r="O72" s="1921"/>
      <c r="P72" s="1939" t="s">
        <v>2645</v>
      </c>
      <c r="Q72" s="1932"/>
      <c r="AA72" s="2489">
        <v>72</v>
      </c>
    </row>
    <row r="73" spans="1:28" ht="16.5" customHeight="1">
      <c r="A73" s="1925"/>
      <c r="B73" s="1912" t="s">
        <v>4521</v>
      </c>
      <c r="D73" s="1928"/>
      <c r="E73" s="1928"/>
      <c r="F73" s="1928"/>
      <c r="G73" s="1928"/>
      <c r="H73" s="1928"/>
      <c r="K73" s="1928"/>
      <c r="L73" s="1918"/>
      <c r="O73" s="1921"/>
      <c r="P73" s="1936" t="s">
        <v>2645</v>
      </c>
      <c r="Q73" s="1937"/>
      <c r="AA73" s="2489">
        <v>73</v>
      </c>
    </row>
    <row r="74" spans="1:28" ht="15" customHeight="1">
      <c r="A74" s="1925"/>
      <c r="B74" s="1912" t="s">
        <v>4649</v>
      </c>
      <c r="D74" s="1928"/>
      <c r="E74" s="1928"/>
      <c r="F74" s="1928"/>
      <c r="G74" s="1928"/>
      <c r="H74" s="1928"/>
      <c r="I74" s="1912" t="s">
        <v>4650</v>
      </c>
      <c r="K74" s="1928"/>
      <c r="L74" s="1918"/>
      <c r="M74" s="1918"/>
      <c r="N74" s="1918"/>
      <c r="O74" s="1921"/>
      <c r="P74" s="1939" t="s">
        <v>2645</v>
      </c>
      <c r="Q74" s="1932"/>
      <c r="AA74" s="2489">
        <v>74</v>
      </c>
    </row>
    <row r="75" spans="1:28" ht="16.5" customHeight="1">
      <c r="A75" s="1925"/>
      <c r="B75" s="1919"/>
      <c r="E75" s="1928"/>
      <c r="F75" s="1928"/>
      <c r="G75" s="1928"/>
      <c r="H75" s="1928"/>
      <c r="I75" s="1912" t="s">
        <v>4651</v>
      </c>
      <c r="K75" s="1928"/>
      <c r="L75" s="1918"/>
      <c r="M75" s="1918"/>
      <c r="O75" s="1921"/>
      <c r="P75" s="1934" t="s">
        <v>2645</v>
      </c>
      <c r="Q75" s="1935"/>
      <c r="AA75" s="2489">
        <v>75</v>
      </c>
    </row>
    <row r="76" spans="1:28" ht="16.5" customHeight="1">
      <c r="A76" s="1925"/>
      <c r="B76" s="1919"/>
      <c r="E76" s="1928"/>
      <c r="F76" s="1928"/>
      <c r="G76" s="1928"/>
      <c r="I76" s="1941"/>
      <c r="J76" s="1907" t="s">
        <v>4652</v>
      </c>
      <c r="K76" s="1928"/>
      <c r="L76" s="1918"/>
      <c r="M76" s="1918"/>
      <c r="O76" s="1921"/>
      <c r="P76" s="1947"/>
      <c r="Q76" s="1948"/>
      <c r="AA76" s="2489">
        <v>76</v>
      </c>
    </row>
    <row r="77" spans="1:28" s="1949" customFormat="1" ht="16.5" customHeight="1">
      <c r="A77" s="1940"/>
      <c r="B77" s="1941"/>
      <c r="E77" s="1942"/>
      <c r="F77" s="1942"/>
      <c r="G77" s="1907"/>
      <c r="H77" s="1907"/>
      <c r="I77" s="1912" t="s">
        <v>4653</v>
      </c>
      <c r="J77" s="1912"/>
      <c r="K77" s="1944"/>
      <c r="L77" s="1945"/>
      <c r="M77" s="1945"/>
      <c r="N77" s="1943"/>
      <c r="O77" s="1946"/>
      <c r="P77" s="1936" t="s">
        <v>2645</v>
      </c>
      <c r="Q77" s="1937"/>
      <c r="R77" s="2027"/>
      <c r="S77" s="2027"/>
      <c r="V77" s="2027"/>
      <c r="W77" s="2027"/>
      <c r="X77" s="2027"/>
      <c r="Y77" s="2027"/>
      <c r="Z77" s="2027"/>
      <c r="AA77" s="2489">
        <v>77</v>
      </c>
      <c r="AB77" s="2027"/>
    </row>
    <row r="78" spans="1:28" ht="32.25" customHeight="1">
      <c r="A78" s="1925"/>
      <c r="B78" s="3789" t="s">
        <v>4795</v>
      </c>
      <c r="C78" s="3789"/>
      <c r="D78" s="3789"/>
      <c r="E78" s="3789"/>
      <c r="F78" s="3789"/>
      <c r="G78" s="3789"/>
      <c r="H78" s="3789"/>
      <c r="I78" s="3789"/>
      <c r="J78" s="3789"/>
      <c r="K78" s="3789"/>
      <c r="L78" s="3789"/>
      <c r="M78" s="3789"/>
      <c r="N78" s="3789"/>
      <c r="O78" s="3789"/>
      <c r="P78" s="3789"/>
      <c r="Q78" s="3789"/>
      <c r="AA78" s="2489">
        <v>78</v>
      </c>
    </row>
    <row r="79" spans="1:28" ht="52.5" customHeight="1">
      <c r="B79" s="3731" t="s">
        <v>5296</v>
      </c>
      <c r="C79" s="3731"/>
      <c r="D79" s="3731"/>
      <c r="E79" s="3731"/>
      <c r="F79" s="3731"/>
      <c r="G79" s="3731"/>
      <c r="H79" s="3731"/>
      <c r="I79" s="3731"/>
      <c r="J79" s="3731"/>
      <c r="K79" s="3731"/>
      <c r="L79" s="3731"/>
      <c r="M79" s="3731"/>
      <c r="N79" s="3731"/>
      <c r="O79" s="3731"/>
      <c r="P79" s="3731"/>
      <c r="Q79" s="3759"/>
      <c r="AA79" s="2489">
        <v>79</v>
      </c>
    </row>
    <row r="80" spans="1:28" ht="15.75" customHeight="1">
      <c r="B80" s="1931" t="s">
        <v>3157</v>
      </c>
      <c r="D80" s="1931"/>
      <c r="E80" s="1931"/>
      <c r="F80" s="1931"/>
      <c r="G80" s="1931"/>
      <c r="H80" s="1920"/>
      <c r="I80" s="1913"/>
      <c r="J80" s="1913"/>
      <c r="K80" s="1913"/>
      <c r="L80" s="1910"/>
      <c r="M80" s="1910"/>
      <c r="N80" s="1910"/>
      <c r="O80" s="1910"/>
      <c r="P80" s="1910"/>
      <c r="Q80" s="1910"/>
      <c r="AA80" s="2489">
        <v>80</v>
      </c>
    </row>
    <row r="81" spans="1:27" ht="39" customHeight="1">
      <c r="A81" s="3731" t="s">
        <v>5240</v>
      </c>
      <c r="B81" s="3731"/>
      <c r="C81" s="3731"/>
      <c r="D81" s="3731"/>
      <c r="E81" s="3731"/>
      <c r="F81" s="3731"/>
      <c r="G81" s="3731"/>
      <c r="H81" s="3731"/>
      <c r="I81" s="3731"/>
      <c r="J81" s="3731"/>
      <c r="K81" s="3731"/>
      <c r="L81" s="3731"/>
      <c r="M81" s="3731"/>
      <c r="N81" s="3731"/>
      <c r="O81" s="3731"/>
      <c r="P81" s="3731"/>
      <c r="Q81" s="3754"/>
      <c r="AA81" s="2490">
        <v>81</v>
      </c>
    </row>
    <row r="82" spans="1:27" ht="15.75" customHeight="1">
      <c r="B82" s="1916" t="s">
        <v>1725</v>
      </c>
      <c r="C82" s="1917"/>
      <c r="D82" s="1918"/>
      <c r="E82" s="1918"/>
      <c r="F82" s="1918"/>
      <c r="G82" s="1918"/>
      <c r="H82" s="1918"/>
      <c r="I82" s="1918"/>
      <c r="J82" s="1918"/>
      <c r="K82" s="1918"/>
      <c r="L82" s="1918"/>
      <c r="M82" s="1918"/>
      <c r="N82" s="1918"/>
      <c r="O82" s="1918"/>
      <c r="P82" s="1918"/>
      <c r="Q82" s="1918"/>
      <c r="AA82" s="2489">
        <v>82</v>
      </c>
    </row>
    <row r="83" spans="1:27" ht="15" customHeight="1">
      <c r="A83" s="3755"/>
      <c r="B83" s="3755"/>
      <c r="C83" s="3755"/>
      <c r="D83" s="3755"/>
      <c r="E83" s="3755"/>
      <c r="F83" s="3755"/>
      <c r="G83" s="3755"/>
      <c r="H83" s="3755"/>
      <c r="I83" s="3755"/>
      <c r="J83" s="3755"/>
      <c r="K83" s="3755"/>
      <c r="L83" s="3755"/>
      <c r="M83" s="3755"/>
      <c r="N83" s="3755"/>
      <c r="O83" s="3755"/>
      <c r="P83" s="3755"/>
      <c r="Q83" s="3756"/>
      <c r="AA83" s="2489">
        <v>83</v>
      </c>
    </row>
    <row r="84" spans="1:27" ht="13.5" customHeight="1">
      <c r="A84" s="1910"/>
      <c r="B84" s="1913"/>
      <c r="C84" s="1918"/>
      <c r="D84" s="1918"/>
      <c r="E84" s="1918"/>
      <c r="F84" s="1918"/>
      <c r="G84" s="1918"/>
      <c r="H84" s="1918"/>
      <c r="I84" s="1918"/>
      <c r="J84" s="1918"/>
      <c r="K84" s="1918"/>
      <c r="L84" s="1918"/>
      <c r="M84" s="1918"/>
      <c r="N84" s="1918"/>
      <c r="O84" s="1918"/>
      <c r="P84" s="1918"/>
      <c r="Q84" s="1910"/>
      <c r="AA84" s="2489">
        <v>84</v>
      </c>
    </row>
    <row r="85" spans="1:27" ht="13.5" customHeight="1">
      <c r="A85" s="1915"/>
      <c r="B85" s="1913"/>
      <c r="C85" s="1918"/>
      <c r="D85" s="1918"/>
      <c r="E85" s="1918"/>
      <c r="F85" s="1918"/>
      <c r="G85" s="1918"/>
      <c r="H85" s="1918"/>
      <c r="I85" s="1918"/>
      <c r="J85" s="1918"/>
      <c r="K85" s="1918"/>
      <c r="L85" s="1918"/>
      <c r="M85" s="1918"/>
      <c r="N85" s="1918"/>
      <c r="O85" s="1918"/>
      <c r="P85" s="1918"/>
      <c r="Q85" s="1910"/>
      <c r="AA85" s="2489">
        <v>85</v>
      </c>
    </row>
    <row r="86" spans="1:27" ht="15.65" customHeight="1">
      <c r="A86" s="1919" t="s">
        <v>719</v>
      </c>
      <c r="B86" s="1919" t="s">
        <v>2418</v>
      </c>
      <c r="C86" s="1919"/>
      <c r="D86" s="1918"/>
      <c r="E86" s="1918"/>
      <c r="F86" s="1918"/>
      <c r="G86" s="1918"/>
      <c r="H86" s="1918"/>
      <c r="I86" s="1918"/>
      <c r="J86" s="1918"/>
      <c r="K86" s="1918"/>
      <c r="N86" s="1938"/>
      <c r="O86" s="1914" t="s">
        <v>1726</v>
      </c>
      <c r="P86" s="3720"/>
      <c r="Q86" s="3748"/>
      <c r="AA86" s="2489">
        <v>86</v>
      </c>
    </row>
    <row r="87" spans="1:27" ht="14.15" customHeight="1">
      <c r="A87" s="1925"/>
      <c r="B87" s="1912" t="s">
        <v>143</v>
      </c>
      <c r="F87" s="1969" t="str">
        <f>IF(L87="Ground lease/Option","Ground lease/Option:","")</f>
        <v/>
      </c>
      <c r="H87" s="1971" t="str">
        <f>IF(L87="Ground lease/Option","Annual Pymt:","")</f>
        <v/>
      </c>
      <c r="I87" s="1972" t="str">
        <f>IF(M127="Ground lease/Option",'Part V-Revenues &amp; Expenses'!$F$275,"")</f>
        <v/>
      </c>
      <c r="J87" s="1970" t="str">
        <f>IF(L87="Ground lease/Option","Term (yrs):","")</f>
        <v/>
      </c>
      <c r="K87" s="2023" t="str">
        <f>IF(M127="Ground lease/Option",'Part V-Revenues &amp; Expenses'!$L$275,"")</f>
        <v/>
      </c>
      <c r="L87" s="3790" t="s">
        <v>5241</v>
      </c>
      <c r="M87" s="3791"/>
      <c r="N87" s="3792"/>
      <c r="O87" s="3720" t="s">
        <v>1641</v>
      </c>
      <c r="P87" s="3721"/>
      <c r="Q87" s="3722"/>
      <c r="AA87" s="2489">
        <v>87</v>
      </c>
    </row>
    <row r="88" spans="1:27" ht="14.15" customHeight="1">
      <c r="A88" s="1925"/>
      <c r="B88" s="1912" t="s">
        <v>635</v>
      </c>
      <c r="L88" s="3734" t="s">
        <v>5242</v>
      </c>
      <c r="M88" s="3735"/>
      <c r="N88" s="3735"/>
      <c r="O88" s="3735"/>
      <c r="P88" s="3735"/>
      <c r="Q88" s="3736"/>
      <c r="AA88" s="2489">
        <v>88</v>
      </c>
    </row>
    <row r="89" spans="1:27" ht="15.75" customHeight="1">
      <c r="B89" s="1931" t="s">
        <v>3157</v>
      </c>
      <c r="D89" s="1931"/>
      <c r="E89" s="1931"/>
      <c r="F89" s="1931"/>
      <c r="G89" s="1931"/>
      <c r="H89" s="1920"/>
      <c r="I89" s="1913"/>
      <c r="J89" s="1913"/>
      <c r="K89" s="1913"/>
      <c r="L89" s="1910"/>
      <c r="M89" s="1910"/>
      <c r="N89" s="1910"/>
      <c r="O89" s="1910"/>
      <c r="P89" s="1910"/>
      <c r="Q89" s="1910"/>
      <c r="AA89" s="2489">
        <v>89</v>
      </c>
    </row>
    <row r="90" spans="1:27" ht="30" customHeight="1">
      <c r="A90" s="3731" t="s">
        <v>5243</v>
      </c>
      <c r="B90" s="3731"/>
      <c r="C90" s="3731"/>
      <c r="D90" s="3731"/>
      <c r="E90" s="3731"/>
      <c r="F90" s="3731"/>
      <c r="G90" s="3731"/>
      <c r="H90" s="3731"/>
      <c r="I90" s="3731"/>
      <c r="J90" s="3731"/>
      <c r="K90" s="3731"/>
      <c r="L90" s="3731"/>
      <c r="M90" s="3731"/>
      <c r="N90" s="3731"/>
      <c r="O90" s="3731"/>
      <c r="P90" s="3731"/>
      <c r="Q90" s="3759"/>
      <c r="AA90" s="2490">
        <v>90</v>
      </c>
    </row>
    <row r="91" spans="1:27" ht="15.75" customHeight="1">
      <c r="B91" s="1916" t="s">
        <v>1725</v>
      </c>
      <c r="C91" s="1917"/>
      <c r="D91" s="1918"/>
      <c r="E91" s="1918"/>
      <c r="F91" s="1918"/>
      <c r="G91" s="1918"/>
      <c r="H91" s="1918"/>
      <c r="I91" s="1918"/>
      <c r="J91" s="1918"/>
      <c r="K91" s="1918"/>
      <c r="L91" s="1918"/>
      <c r="M91" s="1918"/>
      <c r="N91" s="1918"/>
      <c r="O91" s="1918"/>
      <c r="P91" s="1918"/>
      <c r="Q91" s="1918"/>
      <c r="AA91" s="2489">
        <v>91</v>
      </c>
    </row>
    <row r="92" spans="1:27" ht="15" customHeight="1">
      <c r="A92" s="3755"/>
      <c r="B92" s="3755"/>
      <c r="C92" s="3755"/>
      <c r="D92" s="3755"/>
      <c r="E92" s="3755"/>
      <c r="F92" s="3755"/>
      <c r="G92" s="3755"/>
      <c r="H92" s="3755"/>
      <c r="I92" s="3755"/>
      <c r="J92" s="3755"/>
      <c r="K92" s="3755"/>
      <c r="L92" s="3755"/>
      <c r="M92" s="3755"/>
      <c r="N92" s="3755"/>
      <c r="O92" s="3755"/>
      <c r="P92" s="3755"/>
      <c r="Q92" s="3760"/>
      <c r="AA92" s="2489">
        <v>92</v>
      </c>
    </row>
    <row r="93" spans="1:27" ht="11.25" customHeight="1">
      <c r="A93" s="1910"/>
      <c r="B93" s="1913"/>
      <c r="C93" s="1918"/>
      <c r="D93" s="1918"/>
      <c r="E93" s="1918"/>
      <c r="F93" s="1918"/>
      <c r="G93" s="1918"/>
      <c r="H93" s="1918"/>
      <c r="I93" s="1918"/>
      <c r="J93" s="1918"/>
      <c r="K93" s="1918"/>
      <c r="L93" s="1918"/>
      <c r="M93" s="1918"/>
      <c r="Q93" s="1910"/>
      <c r="AA93" s="2489">
        <v>93</v>
      </c>
    </row>
    <row r="94" spans="1:27" ht="11.25" customHeight="1">
      <c r="A94" s="1915"/>
      <c r="B94" s="1913"/>
      <c r="C94" s="1918"/>
      <c r="D94" s="1918"/>
      <c r="E94" s="1918"/>
      <c r="F94" s="1918"/>
      <c r="G94" s="1918"/>
      <c r="H94" s="1918"/>
      <c r="I94" s="1918"/>
      <c r="J94" s="1918"/>
      <c r="K94" s="1918"/>
      <c r="L94" s="1918"/>
      <c r="M94" s="1918"/>
      <c r="Q94" s="1910"/>
      <c r="AA94" s="2489">
        <v>94</v>
      </c>
    </row>
    <row r="95" spans="1:27" ht="15.65" customHeight="1">
      <c r="A95" s="1919" t="s">
        <v>280</v>
      </c>
      <c r="B95" s="1919" t="s">
        <v>2419</v>
      </c>
      <c r="C95" s="1919"/>
      <c r="D95" s="1918"/>
      <c r="E95" s="1918"/>
      <c r="F95" s="1918"/>
      <c r="G95" s="1918"/>
      <c r="H95" s="1918"/>
      <c r="I95" s="1918"/>
      <c r="J95" s="1918"/>
      <c r="K95" s="1918"/>
      <c r="L95" s="1918"/>
      <c r="M95" s="1918"/>
      <c r="O95" s="1914" t="s">
        <v>1726</v>
      </c>
      <c r="P95" s="3720"/>
      <c r="Q95" s="3748"/>
      <c r="AA95" s="2489">
        <v>95</v>
      </c>
    </row>
    <row r="96" spans="1:27" ht="15.75" customHeight="1">
      <c r="B96" s="1931" t="s">
        <v>3157</v>
      </c>
      <c r="D96" s="1931"/>
      <c r="E96" s="1931"/>
      <c r="F96" s="1931"/>
      <c r="G96" s="1931"/>
      <c r="H96" s="1920"/>
      <c r="I96" s="1913"/>
      <c r="J96" s="1913"/>
      <c r="K96" s="1913"/>
      <c r="L96" s="1910"/>
      <c r="M96" s="1910"/>
      <c r="N96" s="1910"/>
      <c r="O96" s="1910"/>
      <c r="P96" s="1910"/>
      <c r="Q96" s="1910"/>
      <c r="AA96" s="2489">
        <v>96</v>
      </c>
    </row>
    <row r="97" spans="1:27" ht="26.25" customHeight="1">
      <c r="A97" s="3731" t="s">
        <v>5244</v>
      </c>
      <c r="B97" s="3731"/>
      <c r="C97" s="3731"/>
      <c r="D97" s="3731"/>
      <c r="E97" s="3731"/>
      <c r="F97" s="3731"/>
      <c r="G97" s="3731"/>
      <c r="H97" s="3731"/>
      <c r="I97" s="3731"/>
      <c r="J97" s="3731"/>
      <c r="K97" s="3731"/>
      <c r="L97" s="3731"/>
      <c r="M97" s="3731"/>
      <c r="N97" s="3731"/>
      <c r="O97" s="3731"/>
      <c r="P97" s="3731"/>
      <c r="Q97" s="3759"/>
      <c r="AA97" s="2489">
        <v>97</v>
      </c>
    </row>
    <row r="98" spans="1:27" ht="15.75" customHeight="1">
      <c r="B98" s="1916" t="s">
        <v>1725</v>
      </c>
      <c r="C98" s="1917"/>
      <c r="D98" s="1918"/>
      <c r="E98" s="1918"/>
      <c r="F98" s="1918"/>
      <c r="G98" s="1918"/>
      <c r="H98" s="1918"/>
      <c r="I98" s="1918"/>
      <c r="J98" s="1918"/>
      <c r="K98" s="1918"/>
      <c r="L98" s="1918"/>
      <c r="M98" s="1918"/>
      <c r="N98" s="1918"/>
      <c r="O98" s="1918"/>
      <c r="P98" s="1918"/>
      <c r="Q98" s="1918"/>
      <c r="AA98" s="2489">
        <v>98</v>
      </c>
    </row>
    <row r="99" spans="1:27" ht="15" customHeight="1">
      <c r="A99" s="3755"/>
      <c r="B99" s="3755"/>
      <c r="C99" s="3755"/>
      <c r="D99" s="3755"/>
      <c r="E99" s="3755"/>
      <c r="F99" s="3755"/>
      <c r="G99" s="3755"/>
      <c r="H99" s="3755"/>
      <c r="I99" s="3755"/>
      <c r="J99" s="3755"/>
      <c r="K99" s="3755"/>
      <c r="L99" s="3755"/>
      <c r="M99" s="3755"/>
      <c r="N99" s="3755"/>
      <c r="O99" s="3755"/>
      <c r="P99" s="3755"/>
      <c r="Q99" s="3760"/>
      <c r="AA99" s="2489">
        <v>99</v>
      </c>
    </row>
    <row r="100" spans="1:27" ht="11.25" customHeight="1">
      <c r="B100" s="1913"/>
      <c r="C100" s="1918"/>
      <c r="D100" s="1918"/>
      <c r="E100" s="1918"/>
      <c r="F100" s="1918"/>
      <c r="G100" s="1918"/>
      <c r="H100" s="1918"/>
      <c r="I100" s="1918"/>
      <c r="J100" s="1918"/>
      <c r="K100" s="1918"/>
      <c r="L100" s="1918"/>
      <c r="M100" s="1918"/>
      <c r="N100" s="1918"/>
      <c r="O100" s="1918"/>
      <c r="P100" s="1918"/>
      <c r="Q100" s="1910"/>
      <c r="AA100" s="2489">
        <v>100</v>
      </c>
    </row>
    <row r="101" spans="1:27" ht="11.25" customHeight="1">
      <c r="A101" s="1915"/>
      <c r="B101" s="1913"/>
      <c r="C101" s="1918"/>
      <c r="D101" s="1918"/>
      <c r="E101" s="1918"/>
      <c r="F101" s="1918"/>
      <c r="G101" s="1918"/>
      <c r="H101" s="1918"/>
      <c r="I101" s="1918"/>
      <c r="J101" s="1918"/>
      <c r="K101" s="1918"/>
      <c r="L101" s="1918"/>
      <c r="M101" s="1918"/>
      <c r="N101" s="1918"/>
      <c r="O101" s="1918"/>
      <c r="P101" s="1918"/>
      <c r="Q101" s="1910"/>
      <c r="AA101" s="2489">
        <v>101</v>
      </c>
    </row>
    <row r="102" spans="1:27" ht="15.65" customHeight="1">
      <c r="A102" s="1919" t="s">
        <v>400</v>
      </c>
      <c r="B102" s="3793" t="s">
        <v>2420</v>
      </c>
      <c r="C102" s="3793"/>
      <c r="D102" s="3793"/>
      <c r="N102" s="1938"/>
      <c r="O102" s="1914" t="s">
        <v>1726</v>
      </c>
      <c r="P102" s="3720"/>
      <c r="Q102" s="3748"/>
      <c r="AA102" s="2489">
        <v>102</v>
      </c>
    </row>
    <row r="103" spans="1:27" ht="15.75" customHeight="1">
      <c r="B103" s="1931" t="s">
        <v>3157</v>
      </c>
      <c r="D103" s="1931"/>
      <c r="E103" s="1931"/>
      <c r="F103" s="1931"/>
      <c r="G103" s="1931"/>
      <c r="H103" s="1920"/>
      <c r="I103" s="1913"/>
      <c r="J103" s="1913"/>
      <c r="K103" s="1913"/>
      <c r="L103" s="1910"/>
      <c r="M103" s="1910"/>
      <c r="N103" s="1910"/>
      <c r="O103" s="1910"/>
      <c r="P103" s="1910"/>
      <c r="Q103" s="1910"/>
      <c r="AA103" s="2489">
        <v>103</v>
      </c>
    </row>
    <row r="104" spans="1:27" ht="30" customHeight="1">
      <c r="A104" s="3731" t="s">
        <v>5245</v>
      </c>
      <c r="B104" s="3731"/>
      <c r="C104" s="3731"/>
      <c r="D104" s="3731"/>
      <c r="E104" s="3731"/>
      <c r="F104" s="3731"/>
      <c r="G104" s="3731"/>
      <c r="H104" s="3731"/>
      <c r="I104" s="3731"/>
      <c r="J104" s="3731"/>
      <c r="K104" s="3731"/>
      <c r="L104" s="3731"/>
      <c r="M104" s="3731"/>
      <c r="N104" s="3731"/>
      <c r="O104" s="3731"/>
      <c r="P104" s="3731"/>
      <c r="Q104" s="3759"/>
      <c r="AA104" s="2489">
        <v>104</v>
      </c>
    </row>
    <row r="105" spans="1:27" ht="15.75" customHeight="1">
      <c r="B105" s="1916" t="s">
        <v>1725</v>
      </c>
      <c r="C105" s="1917"/>
      <c r="D105" s="1918"/>
      <c r="E105" s="1918"/>
      <c r="F105" s="1918"/>
      <c r="G105" s="1918"/>
      <c r="H105" s="1918"/>
      <c r="I105" s="1918"/>
      <c r="J105" s="1918"/>
      <c r="K105" s="1918"/>
      <c r="L105" s="1918"/>
      <c r="M105" s="1918"/>
      <c r="N105" s="1918"/>
      <c r="O105" s="1918"/>
      <c r="P105" s="1918"/>
      <c r="Q105" s="1918"/>
      <c r="AA105" s="2490">
        <v>105</v>
      </c>
    </row>
    <row r="106" spans="1:27" ht="15" customHeight="1">
      <c r="A106" s="3755"/>
      <c r="B106" s="3755"/>
      <c r="C106" s="3755"/>
      <c r="D106" s="3755"/>
      <c r="E106" s="3755"/>
      <c r="F106" s="3755"/>
      <c r="G106" s="3755"/>
      <c r="H106" s="3755"/>
      <c r="I106" s="3755"/>
      <c r="J106" s="3755"/>
      <c r="K106" s="3755"/>
      <c r="L106" s="3755"/>
      <c r="M106" s="3755"/>
      <c r="N106" s="3755"/>
      <c r="O106" s="3755"/>
      <c r="P106" s="3755"/>
      <c r="Q106" s="3760"/>
      <c r="AA106" s="2489">
        <v>106</v>
      </c>
    </row>
    <row r="107" spans="1:27" ht="11.25" customHeight="1">
      <c r="A107" s="1910"/>
      <c r="B107" s="1913"/>
      <c r="C107" s="1918"/>
      <c r="D107" s="1918"/>
      <c r="E107" s="1918"/>
      <c r="F107" s="1918"/>
      <c r="G107" s="1918"/>
      <c r="H107" s="1918"/>
      <c r="I107" s="1918"/>
      <c r="J107" s="1918"/>
      <c r="K107" s="1918"/>
      <c r="L107" s="1918"/>
      <c r="M107" s="1918"/>
      <c r="N107" s="1918"/>
      <c r="O107" s="1918"/>
      <c r="P107" s="1918"/>
      <c r="Q107" s="1910"/>
      <c r="AA107" s="2489">
        <v>107</v>
      </c>
    </row>
    <row r="108" spans="1:27" ht="11.25" customHeight="1">
      <c r="A108" s="1915"/>
      <c r="B108" s="1913"/>
      <c r="C108" s="1918"/>
      <c r="D108" s="1918"/>
      <c r="E108" s="1918"/>
      <c r="F108" s="1918"/>
      <c r="G108" s="1918"/>
      <c r="H108" s="1918"/>
      <c r="I108" s="1918"/>
      <c r="J108" s="1918"/>
      <c r="K108" s="1918"/>
      <c r="L108" s="1918"/>
      <c r="M108" s="1918"/>
      <c r="N108" s="1918"/>
      <c r="O108" s="1918"/>
      <c r="P108" s="1918"/>
      <c r="Q108" s="1910"/>
      <c r="AA108" s="2489">
        <v>108</v>
      </c>
    </row>
    <row r="109" spans="1:27" ht="15.65" customHeight="1">
      <c r="A109" s="1919" t="s">
        <v>342</v>
      </c>
      <c r="B109" s="1919" t="s">
        <v>2421</v>
      </c>
      <c r="C109" s="1919"/>
      <c r="D109" s="1918"/>
      <c r="E109" s="1918"/>
      <c r="G109" s="1918"/>
      <c r="J109" s="1928"/>
      <c r="K109" s="1928"/>
      <c r="L109" s="1928"/>
      <c r="M109" s="1928"/>
      <c r="N109" s="1938"/>
      <c r="O109" s="1914" t="s">
        <v>1726</v>
      </c>
      <c r="P109" s="3757"/>
      <c r="Q109" s="3758"/>
      <c r="AA109" s="2489">
        <v>109</v>
      </c>
    </row>
    <row r="110" spans="1:27" ht="14.15" customHeight="1">
      <c r="A110" s="1925"/>
      <c r="B110" s="1912" t="s">
        <v>4654</v>
      </c>
      <c r="J110" s="1912" t="s">
        <v>4655</v>
      </c>
      <c r="M110" s="3726" t="s">
        <v>1705</v>
      </c>
      <c r="N110" s="3727"/>
      <c r="O110" s="3727"/>
      <c r="P110" s="3727"/>
      <c r="Q110" s="3728"/>
      <c r="AA110" s="2489">
        <v>110</v>
      </c>
    </row>
    <row r="111" spans="1:27" ht="14.15" customHeight="1">
      <c r="A111" s="1925"/>
      <c r="B111" s="1925"/>
      <c r="J111" s="1912" t="s">
        <v>4656</v>
      </c>
      <c r="M111" s="3723" t="s">
        <v>1705</v>
      </c>
      <c r="N111" s="3724"/>
      <c r="O111" s="3724"/>
      <c r="P111" s="3724"/>
      <c r="Q111" s="3725"/>
      <c r="AA111" s="2489">
        <v>111</v>
      </c>
    </row>
    <row r="112" spans="1:27" ht="15.75" customHeight="1">
      <c r="A112" s="1925"/>
      <c r="B112" s="1931" t="s">
        <v>3157</v>
      </c>
      <c r="C112" s="1950"/>
      <c r="D112" s="1950"/>
      <c r="E112" s="1950"/>
      <c r="F112" s="1950"/>
      <c r="H112" s="1915"/>
      <c r="I112" s="1915"/>
      <c r="J112" s="1915"/>
      <c r="K112" s="1915"/>
      <c r="L112" s="1915"/>
      <c r="M112" s="1915"/>
      <c r="N112" s="1915"/>
      <c r="O112" s="1915"/>
      <c r="P112" s="1915"/>
      <c r="Q112" s="1915"/>
      <c r="AA112" s="2489">
        <v>112</v>
      </c>
    </row>
    <row r="113" spans="1:27" ht="15" customHeight="1">
      <c r="A113" s="3731" t="s">
        <v>5245</v>
      </c>
      <c r="B113" s="3731"/>
      <c r="C113" s="3731"/>
      <c r="D113" s="3731"/>
      <c r="E113" s="3731"/>
      <c r="F113" s="3731"/>
      <c r="G113" s="3731"/>
      <c r="H113" s="3731"/>
      <c r="I113" s="3731"/>
      <c r="J113" s="3731"/>
      <c r="K113" s="3731"/>
      <c r="L113" s="3731"/>
      <c r="M113" s="3731"/>
      <c r="N113" s="3731"/>
      <c r="O113" s="3731"/>
      <c r="P113" s="3731"/>
      <c r="Q113" s="3759"/>
      <c r="AA113" s="2489">
        <v>113</v>
      </c>
    </row>
    <row r="114" spans="1:27" ht="15.75" customHeight="1">
      <c r="B114" s="1916" t="s">
        <v>1725</v>
      </c>
      <c r="C114" s="1917"/>
      <c r="D114" s="1918"/>
      <c r="E114" s="1918"/>
      <c r="F114" s="1918"/>
      <c r="G114" s="1918"/>
      <c r="H114" s="1918"/>
      <c r="I114" s="1918"/>
      <c r="J114" s="1918"/>
      <c r="K114" s="1918"/>
      <c r="L114" s="1918"/>
      <c r="M114" s="1918"/>
      <c r="N114" s="1918"/>
      <c r="O114" s="1918"/>
      <c r="P114" s="1918"/>
      <c r="Q114" s="1918"/>
      <c r="AA114" s="2490">
        <v>114</v>
      </c>
    </row>
    <row r="115" spans="1:27" ht="18.649999999999999" customHeight="1">
      <c r="A115" s="3755"/>
      <c r="B115" s="3755"/>
      <c r="C115" s="3755"/>
      <c r="D115" s="3755"/>
      <c r="E115" s="3755"/>
      <c r="F115" s="3755"/>
      <c r="G115" s="3755"/>
      <c r="H115" s="3755"/>
      <c r="I115" s="3755"/>
      <c r="J115" s="3755"/>
      <c r="K115" s="3755"/>
      <c r="L115" s="3755"/>
      <c r="M115" s="3755"/>
      <c r="N115" s="3755"/>
      <c r="O115" s="3755"/>
      <c r="P115" s="3755"/>
      <c r="Q115" s="3756"/>
      <c r="AA115" s="2489">
        <v>115</v>
      </c>
    </row>
    <row r="116" spans="1:27" ht="12.75" customHeight="1">
      <c r="B116" s="1913"/>
      <c r="C116" s="1918"/>
      <c r="D116" s="1918"/>
      <c r="E116" s="1918"/>
      <c r="F116" s="1918"/>
      <c r="G116" s="1918"/>
      <c r="H116" s="1918"/>
      <c r="I116" s="1918"/>
      <c r="J116" s="1918"/>
      <c r="K116" s="1918"/>
      <c r="L116" s="1918"/>
      <c r="M116" s="1918"/>
      <c r="Q116" s="1910"/>
      <c r="AA116" s="2489">
        <v>116</v>
      </c>
    </row>
    <row r="117" spans="1:27" ht="12.75" customHeight="1">
      <c r="A117" s="1915"/>
      <c r="B117" s="1913"/>
      <c r="C117" s="1918"/>
      <c r="D117" s="1918"/>
      <c r="E117" s="1918"/>
      <c r="F117" s="1918"/>
      <c r="G117" s="1918"/>
      <c r="H117" s="1918"/>
      <c r="I117" s="1918"/>
      <c r="J117" s="1918"/>
      <c r="K117" s="1918"/>
      <c r="L117" s="1918"/>
      <c r="M117" s="1918"/>
      <c r="Q117" s="1910"/>
      <c r="AA117" s="2489">
        <v>117</v>
      </c>
    </row>
    <row r="118" spans="1:27" ht="15" customHeight="1">
      <c r="A118" s="1919" t="s">
        <v>343</v>
      </c>
      <c r="B118" s="1911" t="s">
        <v>4657</v>
      </c>
      <c r="C118" s="1911"/>
      <c r="D118" s="1911"/>
      <c r="E118" s="1911"/>
      <c r="F118" s="1911"/>
      <c r="G118" s="1918"/>
      <c r="H118" s="1918"/>
      <c r="J118" s="1918"/>
      <c r="K118" s="1918"/>
      <c r="L118" s="1918"/>
      <c r="M118" s="1918"/>
      <c r="N118" s="1938"/>
      <c r="O118" s="1914" t="s">
        <v>1726</v>
      </c>
      <c r="P118" s="3757"/>
      <c r="Q118" s="3758"/>
      <c r="AA118" s="2489">
        <v>118</v>
      </c>
    </row>
    <row r="119" spans="1:27" ht="14.5" customHeight="1">
      <c r="A119" s="1925"/>
      <c r="B119" s="1912" t="s">
        <v>4658</v>
      </c>
      <c r="J119" s="1912" t="s">
        <v>4659</v>
      </c>
      <c r="M119" s="3726" t="s">
        <v>1705</v>
      </c>
      <c r="N119" s="3727"/>
      <c r="O119" s="3727"/>
      <c r="P119" s="3727"/>
      <c r="Q119" s="3728"/>
      <c r="R119" s="1951"/>
      <c r="AA119" s="2489">
        <v>119</v>
      </c>
    </row>
    <row r="120" spans="1:27" ht="14.5" customHeight="1">
      <c r="A120" s="1950"/>
      <c r="B120" s="1925"/>
      <c r="J120" s="1912" t="s">
        <v>4660</v>
      </c>
      <c r="M120" s="3723" t="s">
        <v>1705</v>
      </c>
      <c r="N120" s="3724"/>
      <c r="O120" s="3724"/>
      <c r="P120" s="3724"/>
      <c r="Q120" s="3725"/>
      <c r="R120" s="1951"/>
      <c r="AA120" s="2489">
        <v>120</v>
      </c>
    </row>
    <row r="121" spans="1:27" ht="15.75" customHeight="1">
      <c r="B121" s="1931" t="s">
        <v>3157</v>
      </c>
      <c r="D121" s="1931"/>
      <c r="E121" s="1931"/>
      <c r="F121" s="1931"/>
      <c r="G121" s="1931"/>
      <c r="H121" s="1920"/>
      <c r="I121" s="1913"/>
      <c r="J121" s="1913"/>
      <c r="K121" s="1913"/>
      <c r="L121" s="1910"/>
      <c r="M121" s="1910"/>
      <c r="N121" s="1910"/>
      <c r="O121" s="1910"/>
      <c r="P121" s="1910"/>
      <c r="Q121" s="1910"/>
      <c r="AA121" s="2489">
        <v>121</v>
      </c>
    </row>
    <row r="122" spans="1:27" ht="15" customHeight="1">
      <c r="A122" s="3731" t="s">
        <v>5245</v>
      </c>
      <c r="B122" s="3731"/>
      <c r="C122" s="3731"/>
      <c r="D122" s="3731"/>
      <c r="E122" s="3731"/>
      <c r="F122" s="3731"/>
      <c r="G122" s="3731"/>
      <c r="H122" s="3731"/>
      <c r="I122" s="3731"/>
      <c r="J122" s="3731"/>
      <c r="K122" s="3731"/>
      <c r="L122" s="3731"/>
      <c r="M122" s="3731"/>
      <c r="N122" s="3731"/>
      <c r="O122" s="3731"/>
      <c r="P122" s="3731"/>
      <c r="Q122" s="3759"/>
      <c r="AA122" s="2489">
        <v>122</v>
      </c>
    </row>
    <row r="123" spans="1:27" ht="15.75" customHeight="1">
      <c r="B123" s="1916" t="s">
        <v>1725</v>
      </c>
      <c r="C123" s="1917"/>
      <c r="D123" s="1918"/>
      <c r="E123" s="1918"/>
      <c r="F123" s="1918"/>
      <c r="G123" s="1918"/>
      <c r="H123" s="1918"/>
      <c r="I123" s="1918"/>
      <c r="J123" s="1918"/>
      <c r="K123" s="1918"/>
      <c r="L123" s="1918"/>
      <c r="M123" s="1918"/>
      <c r="N123" s="1918"/>
      <c r="O123" s="1918"/>
      <c r="P123" s="1918"/>
      <c r="Q123" s="1918"/>
      <c r="AA123" s="2489">
        <v>123</v>
      </c>
    </row>
    <row r="124" spans="1:27" ht="15" customHeight="1">
      <c r="A124" s="3755"/>
      <c r="B124" s="3755"/>
      <c r="C124" s="3755"/>
      <c r="D124" s="3755"/>
      <c r="E124" s="3755"/>
      <c r="F124" s="3755"/>
      <c r="G124" s="3755"/>
      <c r="H124" s="3755"/>
      <c r="I124" s="3755"/>
      <c r="J124" s="3755"/>
      <c r="K124" s="3755"/>
      <c r="L124" s="3755"/>
      <c r="M124" s="3755"/>
      <c r="N124" s="3755"/>
      <c r="O124" s="3755"/>
      <c r="P124" s="3755"/>
      <c r="Q124" s="3756"/>
      <c r="AA124" s="2489">
        <v>124</v>
      </c>
    </row>
    <row r="125" spans="1:27" ht="11.25" customHeight="1">
      <c r="A125" s="1910"/>
      <c r="B125" s="1913"/>
      <c r="C125" s="1918"/>
      <c r="D125" s="1918"/>
      <c r="E125" s="1918"/>
      <c r="F125" s="1918"/>
      <c r="G125" s="1918"/>
      <c r="H125" s="1918"/>
      <c r="I125" s="1918"/>
      <c r="J125" s="1918"/>
      <c r="K125" s="1918"/>
      <c r="L125" s="1918"/>
      <c r="M125" s="1918"/>
      <c r="Q125" s="1910"/>
      <c r="AA125" s="2489">
        <v>125</v>
      </c>
    </row>
    <row r="126" spans="1:27" ht="11.25" customHeight="1">
      <c r="A126" s="1915"/>
      <c r="B126" s="1913"/>
      <c r="C126" s="1918"/>
      <c r="D126" s="1918"/>
      <c r="E126" s="1918"/>
      <c r="F126" s="1918"/>
      <c r="G126" s="1918"/>
      <c r="H126" s="1918"/>
      <c r="I126" s="1918"/>
      <c r="J126" s="1918"/>
      <c r="K126" s="1918"/>
      <c r="L126" s="1918"/>
      <c r="M126" s="1918"/>
      <c r="Q126" s="1910"/>
      <c r="AA126" s="2489">
        <v>126</v>
      </c>
    </row>
    <row r="127" spans="1:27" ht="20.25" customHeight="1">
      <c r="A127" s="1919" t="s">
        <v>344</v>
      </c>
      <c r="B127" s="1919" t="s">
        <v>2423</v>
      </c>
      <c r="C127" s="1919"/>
      <c r="D127" s="1918"/>
      <c r="E127" s="1918"/>
      <c r="F127" s="1918"/>
      <c r="G127" s="1918"/>
      <c r="H127" s="1918"/>
      <c r="I127" s="1918"/>
      <c r="J127" s="1918"/>
      <c r="K127" s="1918"/>
      <c r="L127" s="1918"/>
      <c r="M127" s="1918"/>
      <c r="O127" s="1914" t="s">
        <v>1726</v>
      </c>
      <c r="P127" s="3720"/>
      <c r="Q127" s="3748"/>
      <c r="AA127" s="2489">
        <v>127</v>
      </c>
    </row>
    <row r="128" spans="1:27" ht="27.65" customHeight="1">
      <c r="A128" s="1915"/>
      <c r="B128" s="3741" t="s">
        <v>5048</v>
      </c>
      <c r="C128" s="3741"/>
      <c r="D128" s="3741"/>
      <c r="E128" s="3741"/>
      <c r="F128" s="3741"/>
      <c r="G128" s="3741"/>
      <c r="H128" s="3741"/>
      <c r="I128" s="3741"/>
      <c r="J128" s="3741"/>
      <c r="K128" s="3741"/>
      <c r="L128" s="3741"/>
      <c r="M128" s="3741"/>
      <c r="N128" s="3741"/>
      <c r="O128" s="3749"/>
      <c r="P128" s="3785"/>
      <c r="Q128" s="3786"/>
      <c r="AA128" s="2489">
        <v>128</v>
      </c>
    </row>
    <row r="129" spans="1:27" ht="20.25" customHeight="1">
      <c r="A129" s="1925" t="s">
        <v>1836</v>
      </c>
      <c r="B129" s="1912" t="s">
        <v>4661</v>
      </c>
      <c r="O129" s="1921"/>
      <c r="P129" s="1915"/>
      <c r="Q129" s="1915"/>
      <c r="AA129" s="2490">
        <v>129</v>
      </c>
    </row>
    <row r="130" spans="1:27" ht="15" customHeight="1">
      <c r="A130" s="1925"/>
      <c r="B130" s="1920"/>
      <c r="C130" s="1912" t="s">
        <v>1787</v>
      </c>
      <c r="J130" s="1921"/>
      <c r="K130" s="1915"/>
      <c r="L130" s="1915"/>
      <c r="M130" s="3807" t="s">
        <v>1641</v>
      </c>
      <c r="N130" s="3808"/>
      <c r="O130" s="3808"/>
      <c r="P130" s="3808"/>
      <c r="Q130" s="3809"/>
      <c r="AA130" s="2489">
        <v>130</v>
      </c>
    </row>
    <row r="131" spans="1:27" ht="15" customHeight="1">
      <c r="A131" s="1925"/>
      <c r="B131" s="1920"/>
      <c r="C131" s="1920" t="s">
        <v>4601</v>
      </c>
      <c r="E131" s="1920"/>
      <c r="F131" s="1920"/>
      <c r="G131" s="1920"/>
      <c r="H131" s="1920"/>
      <c r="J131" s="1921"/>
      <c r="K131" s="1915"/>
      <c r="L131" s="1915"/>
      <c r="M131" s="3794" t="s">
        <v>1641</v>
      </c>
      <c r="N131" s="3795"/>
      <c r="O131" s="3795"/>
      <c r="P131" s="3795"/>
      <c r="Q131" s="3796"/>
      <c r="AA131" s="2489">
        <v>131</v>
      </c>
    </row>
    <row r="132" spans="1:27" ht="15" customHeight="1">
      <c r="A132" s="1925"/>
      <c r="B132" s="1920"/>
      <c r="C132" s="3797" t="s">
        <v>4086</v>
      </c>
      <c r="D132" s="3798"/>
      <c r="E132" s="3798"/>
      <c r="F132" s="3798"/>
      <c r="G132" s="3798"/>
      <c r="H132" s="3798"/>
      <c r="I132" s="3798"/>
      <c r="J132" s="3798"/>
      <c r="K132" s="3798"/>
      <c r="L132" s="3798"/>
      <c r="M132" s="3799"/>
      <c r="N132" s="3799"/>
      <c r="O132" s="3799"/>
      <c r="P132" s="3799"/>
      <c r="Q132" s="3800"/>
      <c r="AA132" s="2489">
        <v>132</v>
      </c>
    </row>
    <row r="133" spans="1:27" ht="15" customHeight="1">
      <c r="A133" s="1925"/>
      <c r="B133" s="1920"/>
      <c r="C133" s="1920" t="s">
        <v>3662</v>
      </c>
      <c r="E133" s="1920"/>
      <c r="F133" s="1920"/>
      <c r="G133" s="1920"/>
      <c r="H133" s="1920"/>
      <c r="J133" s="1921"/>
      <c r="K133" s="1915"/>
      <c r="L133" s="1915"/>
      <c r="M133" s="3723" t="s">
        <v>1641</v>
      </c>
      <c r="N133" s="3724"/>
      <c r="O133" s="3724"/>
      <c r="P133" s="3724"/>
      <c r="Q133" s="3725"/>
      <c r="AA133" s="2489">
        <v>133</v>
      </c>
    </row>
    <row r="134" spans="1:27" ht="20.25" customHeight="1">
      <c r="A134" s="1925" t="s">
        <v>1838</v>
      </c>
      <c r="B134" s="3741" t="s">
        <v>4662</v>
      </c>
      <c r="C134" s="3741"/>
      <c r="D134" s="3741"/>
      <c r="E134" s="3741"/>
      <c r="F134" s="3741"/>
      <c r="G134" s="3741"/>
      <c r="H134" s="3741"/>
      <c r="I134" s="3741"/>
      <c r="J134" s="3741"/>
      <c r="K134" s="3741"/>
      <c r="L134" s="3741"/>
      <c r="M134" s="3741"/>
      <c r="N134" s="3741"/>
      <c r="O134" s="1921"/>
      <c r="P134" s="1952"/>
      <c r="Q134" s="1910"/>
      <c r="AA134" s="2489">
        <v>134</v>
      </c>
    </row>
    <row r="135" spans="1:27" ht="27.65" customHeight="1">
      <c r="A135" s="1940"/>
      <c r="B135" s="1918"/>
      <c r="C135" s="3741" t="s">
        <v>4663</v>
      </c>
      <c r="D135" s="3741"/>
      <c r="E135" s="3741"/>
      <c r="F135" s="3741"/>
      <c r="G135" s="3741"/>
      <c r="H135" s="3741"/>
      <c r="I135" s="3741"/>
      <c r="J135" s="3741"/>
      <c r="K135" s="3741"/>
      <c r="L135" s="3741"/>
      <c r="M135" s="3741"/>
      <c r="N135" s="3741"/>
      <c r="O135" s="3741"/>
      <c r="P135" s="3741"/>
      <c r="Q135" s="3741"/>
      <c r="AA135" s="2489">
        <v>135</v>
      </c>
    </row>
    <row r="136" spans="1:27" ht="15" customHeight="1">
      <c r="A136" s="1910"/>
      <c r="B136" s="1946" t="s">
        <v>1611</v>
      </c>
      <c r="C136" s="3801" t="s">
        <v>949</v>
      </c>
      <c r="D136" s="3802"/>
      <c r="E136" s="3802"/>
      <c r="F136" s="3802"/>
      <c r="G136" s="3802"/>
      <c r="H136" s="3803"/>
      <c r="I136" s="1915"/>
      <c r="J136" s="3804" t="s">
        <v>5087</v>
      </c>
      <c r="K136" s="3805"/>
      <c r="L136" s="3805"/>
      <c r="M136" s="3805"/>
      <c r="N136" s="3805"/>
      <c r="O136" s="3805"/>
      <c r="P136" s="3805"/>
      <c r="Q136" s="3806"/>
      <c r="AA136" s="2489">
        <v>136</v>
      </c>
    </row>
    <row r="137" spans="1:27" ht="15" customHeight="1">
      <c r="A137" s="1910"/>
      <c r="B137" s="1946" t="s">
        <v>1612</v>
      </c>
      <c r="C137" s="3812" t="s">
        <v>949</v>
      </c>
      <c r="D137" s="3813"/>
      <c r="E137" s="3813"/>
      <c r="F137" s="3813"/>
      <c r="G137" s="3813"/>
      <c r="H137" s="3814"/>
      <c r="I137" s="1915"/>
      <c r="J137" s="3815" t="s">
        <v>5087</v>
      </c>
      <c r="K137" s="3816"/>
      <c r="L137" s="3816"/>
      <c r="M137" s="3816"/>
      <c r="N137" s="3816"/>
      <c r="O137" s="3816"/>
      <c r="P137" s="3816"/>
      <c r="Q137" s="3817"/>
      <c r="AA137" s="2489">
        <v>137</v>
      </c>
    </row>
    <row r="138" spans="1:27" ht="15" customHeight="1">
      <c r="A138" s="1910"/>
      <c r="B138" s="1946" t="s">
        <v>1613</v>
      </c>
      <c r="C138" s="3812" t="s">
        <v>949</v>
      </c>
      <c r="D138" s="3813"/>
      <c r="E138" s="3813"/>
      <c r="F138" s="3813"/>
      <c r="G138" s="3813"/>
      <c r="H138" s="3814"/>
      <c r="I138" s="1915"/>
      <c r="J138" s="3815" t="s">
        <v>5087</v>
      </c>
      <c r="K138" s="3816"/>
      <c r="L138" s="3816"/>
      <c r="M138" s="3816"/>
      <c r="N138" s="3816"/>
      <c r="O138" s="3816"/>
      <c r="P138" s="3816"/>
      <c r="Q138" s="3817"/>
      <c r="AA138" s="2490">
        <v>138</v>
      </c>
    </row>
    <row r="139" spans="1:27" ht="15" customHeight="1">
      <c r="A139" s="1910"/>
      <c r="B139" s="1946" t="s">
        <v>2176</v>
      </c>
      <c r="C139" s="3818" t="s">
        <v>949</v>
      </c>
      <c r="D139" s="3819"/>
      <c r="E139" s="3819"/>
      <c r="F139" s="3819"/>
      <c r="G139" s="3819"/>
      <c r="H139" s="3820"/>
      <c r="I139" s="1915"/>
      <c r="J139" s="3821" t="s">
        <v>5087</v>
      </c>
      <c r="K139" s="3822"/>
      <c r="L139" s="3822"/>
      <c r="M139" s="3822"/>
      <c r="N139" s="3822"/>
      <c r="O139" s="3822"/>
      <c r="P139" s="3822"/>
      <c r="Q139" s="3823"/>
      <c r="AA139" s="2489">
        <v>139</v>
      </c>
    </row>
    <row r="140" spans="1:27" ht="15.75" customHeight="1">
      <c r="B140" s="1922" t="s">
        <v>3157</v>
      </c>
      <c r="D140" s="1922"/>
      <c r="E140" s="1922"/>
      <c r="F140" s="1922"/>
      <c r="G140" s="1922"/>
      <c r="H140" s="1920"/>
      <c r="I140" s="1913"/>
      <c r="J140" s="1913"/>
      <c r="K140" s="1913"/>
      <c r="L140" s="1910"/>
      <c r="M140" s="1910"/>
      <c r="N140" s="1910"/>
      <c r="O140" s="1910"/>
      <c r="P140" s="1915"/>
      <c r="Q140" s="1915"/>
      <c r="AA140" s="2489">
        <v>140</v>
      </c>
    </row>
    <row r="141" spans="1:27" ht="15" customHeight="1">
      <c r="A141" s="3731" t="s">
        <v>5246</v>
      </c>
      <c r="B141" s="3731"/>
      <c r="C141" s="3731"/>
      <c r="D141" s="3731"/>
      <c r="E141" s="3731"/>
      <c r="F141" s="3731"/>
      <c r="G141" s="3731"/>
      <c r="H141" s="3731"/>
      <c r="I141" s="3731"/>
      <c r="J141" s="3731"/>
      <c r="K141" s="3731"/>
      <c r="L141" s="3731"/>
      <c r="M141" s="3731"/>
      <c r="N141" s="3731"/>
      <c r="O141" s="3731"/>
      <c r="P141" s="3731"/>
      <c r="Q141" s="3759"/>
      <c r="AA141" s="2489">
        <v>141</v>
      </c>
    </row>
    <row r="142" spans="1:27" ht="15.75" customHeight="1">
      <c r="B142" s="1916" t="s">
        <v>1725</v>
      </c>
      <c r="C142" s="1917"/>
      <c r="D142" s="1918"/>
      <c r="E142" s="1918"/>
      <c r="F142" s="1918"/>
      <c r="G142" s="1918"/>
      <c r="H142" s="1918"/>
      <c r="I142" s="1918"/>
      <c r="J142" s="1918"/>
      <c r="K142" s="1918"/>
      <c r="L142" s="1918"/>
      <c r="M142" s="1918"/>
      <c r="N142" s="1918"/>
      <c r="O142" s="1918"/>
      <c r="P142" s="1918"/>
      <c r="Q142" s="1918"/>
      <c r="AA142" s="2489">
        <v>142</v>
      </c>
    </row>
    <row r="143" spans="1:27" ht="15" customHeight="1">
      <c r="A143" s="3755"/>
      <c r="B143" s="3755"/>
      <c r="C143" s="3755"/>
      <c r="D143" s="3755"/>
      <c r="E143" s="3755"/>
      <c r="F143" s="3755"/>
      <c r="G143" s="3755"/>
      <c r="H143" s="3755"/>
      <c r="I143" s="3755"/>
      <c r="J143" s="3755"/>
      <c r="K143" s="3755"/>
      <c r="L143" s="3755"/>
      <c r="M143" s="3755"/>
      <c r="N143" s="3755"/>
      <c r="O143" s="3755"/>
      <c r="P143" s="3755"/>
      <c r="Q143" s="3760"/>
      <c r="AA143" s="2489">
        <v>143</v>
      </c>
    </row>
    <row r="144" spans="1:27" ht="11.25" customHeight="1">
      <c r="A144" s="1910"/>
      <c r="B144" s="1913"/>
      <c r="C144" s="1918"/>
      <c r="D144" s="1918"/>
      <c r="E144" s="1918"/>
      <c r="F144" s="1918"/>
      <c r="G144" s="1918"/>
      <c r="H144" s="1918"/>
      <c r="I144" s="1918"/>
      <c r="J144" s="1918"/>
      <c r="K144" s="1918"/>
      <c r="L144" s="1918"/>
      <c r="M144" s="1918"/>
      <c r="Q144" s="1910"/>
      <c r="AA144" s="2489">
        <v>144</v>
      </c>
    </row>
    <row r="145" spans="1:27" ht="11.25" customHeight="1">
      <c r="A145" s="1915"/>
      <c r="B145" s="1913"/>
      <c r="C145" s="1918"/>
      <c r="D145" s="1918"/>
      <c r="E145" s="1918"/>
      <c r="F145" s="1918"/>
      <c r="G145" s="1918"/>
      <c r="H145" s="1918"/>
      <c r="I145" s="1918"/>
      <c r="J145" s="1918"/>
      <c r="K145" s="1918"/>
      <c r="L145" s="1918"/>
      <c r="M145" s="1918"/>
      <c r="Q145" s="1910"/>
      <c r="AA145" s="2489">
        <v>145</v>
      </c>
    </row>
    <row r="146" spans="1:27" ht="20.25" customHeight="1">
      <c r="A146" s="1919" t="s">
        <v>1602</v>
      </c>
      <c r="B146" s="1911" t="s">
        <v>3824</v>
      </c>
      <c r="C146" s="1911"/>
      <c r="D146" s="1911"/>
      <c r="E146" s="1911"/>
      <c r="F146" s="1911"/>
      <c r="G146" s="1911"/>
      <c r="H146" s="1918"/>
      <c r="I146" s="1918"/>
      <c r="J146" s="1918"/>
      <c r="K146" s="1918"/>
      <c r="L146" s="1953"/>
      <c r="M146" s="1954"/>
      <c r="O146" s="1914" t="s">
        <v>1726</v>
      </c>
      <c r="P146" s="3757"/>
      <c r="Q146" s="3758"/>
      <c r="AA146" s="2489">
        <v>146</v>
      </c>
    </row>
    <row r="147" spans="1:27" ht="15" customHeight="1">
      <c r="A147" s="1915"/>
      <c r="B147" s="1912" t="s">
        <v>4664</v>
      </c>
      <c r="C147" s="1915"/>
      <c r="D147" s="1915"/>
      <c r="E147" s="1915"/>
      <c r="F147" s="1915"/>
      <c r="G147" s="1915"/>
      <c r="H147" s="1915"/>
      <c r="I147" s="1915"/>
      <c r="J147" s="1915"/>
      <c r="K147" s="1915"/>
      <c r="L147" s="1915"/>
      <c r="M147" s="1915"/>
      <c r="N147" s="1913"/>
      <c r="O147" s="1915"/>
      <c r="P147" s="3810"/>
      <c r="Q147" s="3811"/>
      <c r="AA147" s="2489">
        <v>147</v>
      </c>
    </row>
    <row r="148" spans="1:27" ht="15" customHeight="1">
      <c r="A148" s="1925"/>
      <c r="B148" s="1912" t="s">
        <v>1190</v>
      </c>
      <c r="G148" s="1915"/>
      <c r="M148" s="3716" t="s">
        <v>1641</v>
      </c>
      <c r="N148" s="3717"/>
      <c r="O148" s="3717"/>
      <c r="P148" s="3718"/>
      <c r="Q148" s="3719"/>
      <c r="R148" s="1933"/>
      <c r="AA148" s="2489">
        <v>148</v>
      </c>
    </row>
    <row r="149" spans="1:27" ht="15" customHeight="1">
      <c r="A149" s="1925"/>
      <c r="B149" s="1912" t="s">
        <v>1801</v>
      </c>
      <c r="G149" s="1915"/>
      <c r="M149" s="3713"/>
      <c r="N149" s="3714"/>
      <c r="O149" s="3714"/>
      <c r="P149" s="3714"/>
      <c r="Q149" s="3715"/>
      <c r="R149" s="1933"/>
      <c r="AA149" s="2489">
        <v>149</v>
      </c>
    </row>
    <row r="150" spans="1:27" ht="15.75" customHeight="1">
      <c r="B150" s="1931" t="s">
        <v>3157</v>
      </c>
      <c r="D150" s="1931"/>
      <c r="E150" s="1931"/>
      <c r="F150" s="1931"/>
      <c r="G150" s="1931"/>
      <c r="H150" s="1920"/>
      <c r="I150" s="1913"/>
      <c r="J150" s="1913"/>
      <c r="K150" s="1913"/>
      <c r="L150" s="1910"/>
      <c r="M150" s="1910"/>
      <c r="N150" s="1910"/>
      <c r="O150" s="1910"/>
      <c r="P150" s="1910"/>
      <c r="Q150" s="1910"/>
      <c r="AA150" s="2489">
        <v>150</v>
      </c>
    </row>
    <row r="151" spans="1:27" ht="45" customHeight="1">
      <c r="A151" s="3731" t="s">
        <v>5246</v>
      </c>
      <c r="B151" s="3731"/>
      <c r="C151" s="3731"/>
      <c r="D151" s="3731"/>
      <c r="E151" s="3731"/>
      <c r="F151" s="3731"/>
      <c r="G151" s="3731"/>
      <c r="H151" s="3731"/>
      <c r="I151" s="3731"/>
      <c r="J151" s="3731"/>
      <c r="K151" s="3731"/>
      <c r="L151" s="3731"/>
      <c r="M151" s="3731"/>
      <c r="N151" s="3731"/>
      <c r="O151" s="3731"/>
      <c r="P151" s="3731"/>
      <c r="Q151" s="3759"/>
      <c r="AA151" s="2489">
        <v>151</v>
      </c>
    </row>
    <row r="152" spans="1:27" ht="15.75" customHeight="1">
      <c r="B152" s="1916" t="s">
        <v>1725</v>
      </c>
      <c r="C152" s="1917"/>
      <c r="D152" s="1918"/>
      <c r="E152" s="1918"/>
      <c r="F152" s="1918"/>
      <c r="G152" s="1918"/>
      <c r="H152" s="1918"/>
      <c r="I152" s="1918"/>
      <c r="J152" s="1918"/>
      <c r="K152" s="1918"/>
      <c r="L152" s="1918"/>
      <c r="M152" s="1918"/>
      <c r="N152" s="1918"/>
      <c r="O152" s="1918"/>
      <c r="P152" s="1918"/>
      <c r="Q152" s="1918"/>
      <c r="AA152" s="2489">
        <v>152</v>
      </c>
    </row>
    <row r="153" spans="1:27" ht="15" customHeight="1">
      <c r="A153" s="3755"/>
      <c r="B153" s="3755"/>
      <c r="C153" s="3755"/>
      <c r="D153" s="3755"/>
      <c r="E153" s="3755"/>
      <c r="F153" s="3755"/>
      <c r="G153" s="3755"/>
      <c r="H153" s="3755"/>
      <c r="I153" s="3755"/>
      <c r="J153" s="3755"/>
      <c r="K153" s="3755"/>
      <c r="L153" s="3755"/>
      <c r="M153" s="3755"/>
      <c r="N153" s="3755"/>
      <c r="O153" s="3755"/>
      <c r="P153" s="3755"/>
      <c r="Q153" s="3760"/>
      <c r="AA153" s="2490">
        <v>153</v>
      </c>
    </row>
    <row r="154" spans="1:27" ht="11.25" customHeight="1">
      <c r="A154" s="1910"/>
      <c r="B154" s="1913"/>
      <c r="C154" s="1918"/>
      <c r="D154" s="1918"/>
      <c r="E154" s="1918"/>
      <c r="F154" s="1918"/>
      <c r="G154" s="1918"/>
      <c r="H154" s="1918"/>
      <c r="I154" s="1918"/>
      <c r="J154" s="1918"/>
      <c r="K154" s="1918"/>
      <c r="L154" s="1918"/>
      <c r="M154" s="1918"/>
      <c r="Q154" s="1910"/>
      <c r="AA154" s="2489">
        <v>154</v>
      </c>
    </row>
    <row r="155" spans="1:27" ht="11.25" customHeight="1">
      <c r="A155" s="1915"/>
      <c r="B155" s="1913"/>
      <c r="C155" s="1918"/>
      <c r="D155" s="1918"/>
      <c r="E155" s="1918"/>
      <c r="F155" s="1918"/>
      <c r="G155" s="1918"/>
      <c r="H155" s="1918"/>
      <c r="I155" s="1918"/>
      <c r="J155" s="1918"/>
      <c r="K155" s="1918"/>
      <c r="L155" s="1918"/>
      <c r="M155" s="1918"/>
      <c r="Q155" s="1910"/>
      <c r="AA155" s="2489">
        <v>155</v>
      </c>
    </row>
    <row r="156" spans="1:27" ht="20.25" customHeight="1">
      <c r="A156" s="1919" t="s">
        <v>2489</v>
      </c>
      <c r="B156" s="1911" t="s">
        <v>2424</v>
      </c>
      <c r="C156" s="1911"/>
      <c r="D156" s="1911"/>
      <c r="E156" s="1911"/>
      <c r="F156" s="1911"/>
      <c r="G156" s="1911"/>
      <c r="H156" s="1918"/>
      <c r="I156" s="1918"/>
      <c r="J156" s="1918"/>
      <c r="K156" s="1918"/>
      <c r="L156" s="1918"/>
      <c r="M156" s="1918"/>
      <c r="O156" s="1914" t="s">
        <v>1726</v>
      </c>
      <c r="P156" s="3720"/>
      <c r="Q156" s="3748"/>
      <c r="AA156" s="2489">
        <v>156</v>
      </c>
    </row>
    <row r="157" spans="1:27" ht="15.75" customHeight="1">
      <c r="B157" s="1931" t="s">
        <v>3157</v>
      </c>
      <c r="D157" s="1931"/>
      <c r="E157" s="1931"/>
      <c r="F157" s="1931"/>
      <c r="G157" s="1931"/>
      <c r="H157" s="1920"/>
      <c r="I157" s="1913"/>
      <c r="J157" s="1913"/>
      <c r="K157" s="1913"/>
      <c r="L157" s="1910"/>
      <c r="M157" s="1910"/>
      <c r="N157" s="1910"/>
      <c r="O157" s="1910"/>
      <c r="P157" s="1910"/>
      <c r="Q157" s="1910"/>
      <c r="AA157" s="2489">
        <v>157</v>
      </c>
    </row>
    <row r="158" spans="1:27" ht="30" customHeight="1">
      <c r="A158" s="3731" t="s">
        <v>5247</v>
      </c>
      <c r="B158" s="3731"/>
      <c r="C158" s="3731"/>
      <c r="D158" s="3731"/>
      <c r="E158" s="3731"/>
      <c r="F158" s="3731"/>
      <c r="G158" s="3731"/>
      <c r="H158" s="3731"/>
      <c r="I158" s="3731"/>
      <c r="J158" s="3731"/>
      <c r="K158" s="3731"/>
      <c r="L158" s="3731"/>
      <c r="M158" s="3731"/>
      <c r="N158" s="3731"/>
      <c r="O158" s="3731"/>
      <c r="P158" s="3731"/>
      <c r="Q158" s="3759"/>
      <c r="AA158" s="2489">
        <v>158</v>
      </c>
    </row>
    <row r="159" spans="1:27" ht="15.75" customHeight="1">
      <c r="B159" s="1916" t="s">
        <v>1725</v>
      </c>
      <c r="C159" s="1917"/>
      <c r="D159" s="1918"/>
      <c r="E159" s="1918"/>
      <c r="F159" s="1918"/>
      <c r="G159" s="1918"/>
      <c r="H159" s="1918"/>
      <c r="I159" s="1918"/>
      <c r="J159" s="1918"/>
      <c r="K159" s="1918"/>
      <c r="L159" s="1918"/>
      <c r="M159" s="1918"/>
      <c r="N159" s="1918"/>
      <c r="O159" s="1918"/>
      <c r="P159" s="1918"/>
      <c r="Q159" s="1918"/>
      <c r="AA159" s="2489">
        <v>159</v>
      </c>
    </row>
    <row r="160" spans="1:27" ht="15" customHeight="1">
      <c r="A160" s="3755"/>
      <c r="B160" s="3755"/>
      <c r="C160" s="3755"/>
      <c r="D160" s="3755"/>
      <c r="E160" s="3755"/>
      <c r="F160" s="3755"/>
      <c r="G160" s="3755"/>
      <c r="H160" s="3755"/>
      <c r="I160" s="3755"/>
      <c r="J160" s="3755"/>
      <c r="K160" s="3755"/>
      <c r="L160" s="3755"/>
      <c r="M160" s="3755"/>
      <c r="N160" s="3755"/>
      <c r="O160" s="3755"/>
      <c r="P160" s="3755"/>
      <c r="Q160" s="3760"/>
      <c r="AA160" s="2489">
        <v>160</v>
      </c>
    </row>
    <row r="161" spans="1:27" ht="11.25" customHeight="1">
      <c r="AA161" s="2489">
        <v>161</v>
      </c>
    </row>
    <row r="162" spans="1:27" ht="11.25" customHeight="1">
      <c r="A162" s="1915"/>
      <c r="AA162" s="2490">
        <v>162</v>
      </c>
    </row>
    <row r="163" spans="1:27" ht="17.149999999999999" customHeight="1">
      <c r="A163" s="1919" t="s">
        <v>2075</v>
      </c>
      <c r="B163" s="1919" t="s">
        <v>2425</v>
      </c>
      <c r="C163" s="1919"/>
      <c r="D163" s="1918"/>
      <c r="E163" s="1918"/>
      <c r="F163" s="1918"/>
      <c r="G163" s="1918"/>
      <c r="H163" s="1918"/>
      <c r="I163" s="1918"/>
      <c r="J163" s="1918"/>
      <c r="K163" s="1918"/>
      <c r="L163" s="1918"/>
      <c r="M163" s="1918"/>
      <c r="O163" s="1914" t="s">
        <v>1726</v>
      </c>
      <c r="P163" s="3720"/>
      <c r="Q163" s="3748"/>
      <c r="AA163" s="2489">
        <v>163</v>
      </c>
    </row>
    <row r="164" spans="1:27" ht="15" customHeight="1">
      <c r="A164" s="1925" t="s">
        <v>1836</v>
      </c>
      <c r="B164" s="1911" t="s">
        <v>4091</v>
      </c>
      <c r="G164" s="1915"/>
      <c r="J164" s="1915"/>
      <c r="K164" s="1915"/>
      <c r="L164" s="1915"/>
      <c r="M164" s="1915"/>
      <c r="N164" s="1915"/>
      <c r="O164" s="1921"/>
      <c r="P164" s="1915"/>
      <c r="Q164" s="1915"/>
      <c r="AA164" s="2489">
        <v>164</v>
      </c>
    </row>
    <row r="165" spans="1:27" ht="29.5" customHeight="1">
      <c r="B165" s="3824" t="s">
        <v>5049</v>
      </c>
      <c r="C165" s="3824"/>
      <c r="D165" s="3824"/>
      <c r="E165" s="3824"/>
      <c r="F165" s="3824"/>
      <c r="G165" s="3824"/>
      <c r="H165" s="3824"/>
      <c r="I165" s="3824"/>
      <c r="J165" s="3824"/>
      <c r="K165" s="3824"/>
      <c r="L165" s="3824"/>
      <c r="M165" s="3824"/>
      <c r="N165" s="3824"/>
      <c r="O165" s="3825"/>
      <c r="P165" s="3826"/>
      <c r="Q165" s="3827"/>
      <c r="AA165" s="2489">
        <v>165</v>
      </c>
    </row>
    <row r="166" spans="1:27" ht="17.149999999999999" customHeight="1">
      <c r="A166" s="1925" t="s">
        <v>1838</v>
      </c>
      <c r="B166" s="1911" t="s">
        <v>297</v>
      </c>
      <c r="G166" s="1915"/>
      <c r="L166" s="3829" t="s">
        <v>3249</v>
      </c>
      <c r="M166" s="3830"/>
      <c r="N166" s="3830"/>
      <c r="O166" s="3830"/>
      <c r="P166" s="3830"/>
      <c r="Q166" s="3831"/>
      <c r="AA166" s="2489">
        <v>166</v>
      </c>
    </row>
    <row r="167" spans="1:27" ht="15.75" customHeight="1">
      <c r="B167" s="1931" t="s">
        <v>3157</v>
      </c>
      <c r="M167" s="1913"/>
      <c r="N167" s="1913"/>
      <c r="O167" s="1955"/>
      <c r="P167" s="1910"/>
      <c r="AA167" s="2489">
        <v>167</v>
      </c>
    </row>
    <row r="168" spans="1:27" ht="15" customHeight="1">
      <c r="A168" s="3731" t="s">
        <v>5238</v>
      </c>
      <c r="B168" s="3731"/>
      <c r="C168" s="3731"/>
      <c r="D168" s="3731"/>
      <c r="E168" s="3731"/>
      <c r="F168" s="3731"/>
      <c r="G168" s="3731"/>
      <c r="H168" s="3731"/>
      <c r="I168" s="3731"/>
      <c r="J168" s="3731"/>
      <c r="K168" s="3731"/>
      <c r="L168" s="3731"/>
      <c r="M168" s="3731"/>
      <c r="N168" s="3731"/>
      <c r="O168" s="3731"/>
      <c r="P168" s="3731"/>
      <c r="Q168" s="3759"/>
      <c r="AA168" s="2489">
        <v>168</v>
      </c>
    </row>
    <row r="169" spans="1:27" ht="15.75" customHeight="1">
      <c r="B169" s="1916" t="s">
        <v>1725</v>
      </c>
      <c r="C169" s="1917"/>
      <c r="D169" s="1918"/>
      <c r="E169" s="1918"/>
      <c r="F169" s="1918"/>
      <c r="G169" s="1918"/>
      <c r="H169" s="1918"/>
      <c r="I169" s="1918"/>
      <c r="J169" s="1918"/>
      <c r="K169" s="1918"/>
      <c r="L169" s="1918"/>
      <c r="M169" s="1918"/>
      <c r="N169" s="1918"/>
      <c r="O169" s="1918"/>
      <c r="P169" s="1918"/>
      <c r="Q169" s="1918"/>
      <c r="AA169" s="2489">
        <v>169</v>
      </c>
    </row>
    <row r="170" spans="1:27" ht="15" customHeight="1">
      <c r="A170" s="3755"/>
      <c r="B170" s="3755"/>
      <c r="C170" s="3755"/>
      <c r="D170" s="3755"/>
      <c r="E170" s="3755"/>
      <c r="F170" s="3755"/>
      <c r="G170" s="3755"/>
      <c r="H170" s="3755"/>
      <c r="I170" s="3755"/>
      <c r="J170" s="3755"/>
      <c r="K170" s="3755"/>
      <c r="L170" s="3755"/>
      <c r="M170" s="3755"/>
      <c r="N170" s="3755"/>
      <c r="O170" s="3755"/>
      <c r="P170" s="3755"/>
      <c r="Q170" s="3756"/>
      <c r="AA170" s="2489">
        <v>170</v>
      </c>
    </row>
    <row r="171" spans="1:27" ht="11.25" customHeight="1">
      <c r="F171" s="1910"/>
      <c r="G171" s="1910"/>
      <c r="H171" s="1910"/>
      <c r="I171" s="1910"/>
      <c r="J171" s="1920"/>
      <c r="K171" s="1920"/>
      <c r="L171" s="1920"/>
      <c r="M171" s="1913"/>
      <c r="N171" s="1910"/>
      <c r="O171" s="1910"/>
      <c r="P171" s="1955"/>
      <c r="AA171" s="2489">
        <v>171</v>
      </c>
    </row>
    <row r="172" spans="1:27" ht="11.25" customHeight="1">
      <c r="A172" s="1915"/>
      <c r="F172" s="1910"/>
      <c r="G172" s="1910"/>
      <c r="H172" s="1910"/>
      <c r="I172" s="1910"/>
      <c r="J172" s="1920"/>
      <c r="K172" s="1920"/>
      <c r="L172" s="1920"/>
      <c r="M172" s="1913"/>
      <c r="N172" s="1910"/>
      <c r="O172" s="1910"/>
      <c r="P172" s="1955"/>
      <c r="AA172" s="2489">
        <v>172</v>
      </c>
    </row>
    <row r="173" spans="1:27" ht="17.149999999999999" customHeight="1">
      <c r="A173" s="1919" t="s">
        <v>3282</v>
      </c>
      <c r="B173" s="1919" t="s">
        <v>2426</v>
      </c>
      <c r="C173" s="1956"/>
      <c r="D173" s="1956"/>
      <c r="E173" s="1918"/>
      <c r="F173" s="1918"/>
      <c r="G173" s="1918"/>
      <c r="H173" s="1918"/>
      <c r="I173" s="1918"/>
      <c r="J173" s="1918"/>
      <c r="K173" s="1918"/>
      <c r="L173" s="1918"/>
      <c r="M173" s="1918"/>
      <c r="O173" s="1914" t="s">
        <v>1726</v>
      </c>
      <c r="P173" s="3757"/>
      <c r="Q173" s="3828"/>
      <c r="AA173" s="2489">
        <v>173</v>
      </c>
    </row>
    <row r="174" spans="1:27" ht="15" customHeight="1">
      <c r="A174" s="1915"/>
      <c r="B174" s="1912" t="s">
        <v>4664</v>
      </c>
      <c r="C174" s="1915"/>
      <c r="D174" s="1915"/>
      <c r="E174" s="1915"/>
      <c r="F174" s="1915"/>
      <c r="G174" s="1915"/>
      <c r="H174" s="1915"/>
      <c r="I174" s="1915"/>
      <c r="J174" s="1915"/>
      <c r="K174" s="1915"/>
      <c r="L174" s="1915"/>
      <c r="M174" s="1915"/>
      <c r="N174" s="1913"/>
      <c r="O174" s="1915"/>
      <c r="P174" s="3810"/>
      <c r="Q174" s="3839"/>
      <c r="AA174" s="2489">
        <v>174</v>
      </c>
    </row>
    <row r="175" spans="1:27" ht="30.65" customHeight="1">
      <c r="A175" s="1915"/>
      <c r="B175" s="3741" t="s">
        <v>5050</v>
      </c>
      <c r="C175" s="3741"/>
      <c r="D175" s="3741"/>
      <c r="E175" s="3741"/>
      <c r="F175" s="3741"/>
      <c r="G175" s="3741"/>
      <c r="H175" s="3741"/>
      <c r="I175" s="3741"/>
      <c r="J175" s="3741"/>
      <c r="K175" s="3741"/>
      <c r="L175" s="3741"/>
      <c r="M175" s="3741"/>
      <c r="N175" s="3741"/>
      <c r="O175" s="3741"/>
      <c r="P175" s="3840"/>
      <c r="Q175" s="3841"/>
      <c r="AA175" s="2489">
        <v>175</v>
      </c>
    </row>
    <row r="176" spans="1:27">
      <c r="A176" s="1925" t="s">
        <v>1836</v>
      </c>
      <c r="B176" s="1919" t="s">
        <v>4973</v>
      </c>
      <c r="C176" s="1918"/>
      <c r="D176" s="1918"/>
      <c r="E176" s="1918"/>
      <c r="F176" s="1918"/>
      <c r="G176" s="1918"/>
      <c r="H176" s="1918"/>
      <c r="I176" s="1918"/>
      <c r="J176" s="1918"/>
      <c r="K176" s="1915"/>
      <c r="L176" s="2056"/>
      <c r="M176" s="1960"/>
      <c r="N176" s="2055"/>
      <c r="O176" s="1921"/>
      <c r="P176" s="1921"/>
      <c r="Q176" s="1921"/>
      <c r="AA176" s="2489">
        <v>176</v>
      </c>
    </row>
    <row r="177" spans="1:27" ht="45" customHeight="1">
      <c r="A177" s="1915"/>
      <c r="B177" s="3842" t="s">
        <v>5051</v>
      </c>
      <c r="C177" s="3842"/>
      <c r="D177" s="3842"/>
      <c r="E177" s="3842"/>
      <c r="F177" s="3842"/>
      <c r="G177" s="3842"/>
      <c r="H177" s="3842"/>
      <c r="I177" s="3842"/>
      <c r="J177" s="3842"/>
      <c r="K177" s="3842"/>
      <c r="L177" s="3842"/>
      <c r="M177" s="3842"/>
      <c r="N177" s="3842"/>
      <c r="O177" s="3842"/>
      <c r="P177" s="1921"/>
      <c r="Q177" s="1921"/>
      <c r="AA177" s="2490">
        <v>177</v>
      </c>
    </row>
    <row r="178" spans="1:27" ht="28.5" customHeight="1">
      <c r="A178" s="1915"/>
      <c r="B178" s="1915"/>
      <c r="C178" s="1944"/>
      <c r="D178" s="3824" t="s">
        <v>4985</v>
      </c>
      <c r="E178" s="3824"/>
      <c r="F178" s="3824"/>
      <c r="G178" s="3824"/>
      <c r="H178" s="3824"/>
      <c r="I178" s="3824"/>
      <c r="J178" s="3824"/>
      <c r="K178" s="3824"/>
      <c r="L178" s="3824"/>
      <c r="M178" s="3824"/>
      <c r="N178" s="3824"/>
      <c r="O178" s="3824"/>
      <c r="P178" s="3844">
        <f>'Part VIII Scoring Criteria'!O105</f>
        <v>12</v>
      </c>
      <c r="Q178" s="3845"/>
      <c r="AA178" s="2489">
        <v>178</v>
      </c>
    </row>
    <row r="179" spans="1:27" ht="12" customHeight="1">
      <c r="A179" s="1915"/>
      <c r="C179" s="1915"/>
      <c r="D179" s="1915"/>
      <c r="E179" s="1915"/>
      <c r="F179" s="1915"/>
      <c r="G179" s="1915"/>
      <c r="H179" s="1915"/>
      <c r="I179" s="1915"/>
      <c r="J179" s="1915"/>
      <c r="K179" s="1915"/>
      <c r="L179" s="3843" t="s">
        <v>4665</v>
      </c>
      <c r="M179" s="3843"/>
      <c r="N179" s="1913"/>
      <c r="O179" s="1915"/>
      <c r="P179" s="1952"/>
      <c r="Q179" s="1910"/>
      <c r="AA179" s="2489">
        <v>179</v>
      </c>
    </row>
    <row r="180" spans="1:27" ht="17.149999999999999" customHeight="1">
      <c r="A180" s="1925" t="s">
        <v>1838</v>
      </c>
      <c r="B180" s="1919" t="s">
        <v>4776</v>
      </c>
      <c r="D180" s="1957"/>
      <c r="E180" s="1957"/>
      <c r="F180" s="1957"/>
      <c r="G180" s="1957"/>
      <c r="H180" s="1957"/>
      <c r="I180" s="1957"/>
      <c r="J180" s="1957"/>
      <c r="K180" s="1957"/>
      <c r="L180" s="1912" t="s">
        <v>4666</v>
      </c>
      <c r="M180" s="1913" t="s">
        <v>4667</v>
      </c>
      <c r="N180" s="1957"/>
      <c r="O180" s="1921"/>
      <c r="P180" s="3846" t="s">
        <v>4998</v>
      </c>
      <c r="Q180" s="3846"/>
      <c r="AA180" s="2489">
        <v>180</v>
      </c>
    </row>
    <row r="181" spans="1:27" ht="15" customHeight="1">
      <c r="A181" s="1925"/>
      <c r="B181" s="1912" t="s">
        <v>4668</v>
      </c>
      <c r="C181" s="1915"/>
      <c r="D181" s="1928"/>
      <c r="E181" s="1928"/>
      <c r="F181" s="1928"/>
      <c r="G181" s="1928"/>
      <c r="H181" s="1915"/>
      <c r="K181" s="1958"/>
      <c r="L181" s="1959">
        <f>ROUNDUP('Part V-Revenues &amp; Expenses'!$P$76*M181,0)</f>
        <v>6</v>
      </c>
      <c r="M181" s="1960">
        <f>'DCA Underwriting Assumptions'!$Q$148</f>
        <v>0.05</v>
      </c>
      <c r="N181" s="2055" t="s">
        <v>4777</v>
      </c>
      <c r="O181" s="1921"/>
      <c r="P181" s="3810"/>
      <c r="Q181" s="3839"/>
      <c r="R181" s="2471" t="str">
        <f>IF(P181&lt;L181,"Check Actual against Minimum!","")</f>
        <v>Check Actual against Minimum!</v>
      </c>
      <c r="AA181" s="2489">
        <v>181</v>
      </c>
    </row>
    <row r="182" spans="1:27" ht="15" customHeight="1">
      <c r="A182" s="1925"/>
      <c r="B182" s="1920"/>
      <c r="D182" s="3741" t="s">
        <v>5052</v>
      </c>
      <c r="E182" s="3741"/>
      <c r="F182" s="3741"/>
      <c r="G182" s="3741"/>
      <c r="H182" s="3741"/>
      <c r="I182" s="3741"/>
      <c r="J182" s="3741"/>
      <c r="K182" s="1958"/>
      <c r="L182" s="1961">
        <f>ROUNDUP(L181*M182,0)</f>
        <v>3</v>
      </c>
      <c r="M182" s="1960">
        <f>'DCA Underwriting Assumptions'!$Q$149</f>
        <v>0.4</v>
      </c>
      <c r="N182" s="2055" t="s">
        <v>4778</v>
      </c>
      <c r="O182" s="1921"/>
      <c r="P182" s="3832"/>
      <c r="Q182" s="3833"/>
      <c r="R182" s="2471" t="str">
        <f t="shared" ref="R182:R183" si="0">IF(P182&lt;L182,"Check Actual against Minimum!","")</f>
        <v>Check Actual against Minimum!</v>
      </c>
      <c r="AA182" s="2489">
        <v>182</v>
      </c>
    </row>
    <row r="183" spans="1:27" ht="15" customHeight="1">
      <c r="A183" s="1925"/>
      <c r="B183" s="3741" t="s">
        <v>4669</v>
      </c>
      <c r="C183" s="3741"/>
      <c r="D183" s="3741"/>
      <c r="E183" s="3741"/>
      <c r="F183" s="3741"/>
      <c r="G183" s="3741"/>
      <c r="H183" s="3741"/>
      <c r="I183" s="3741"/>
      <c r="J183" s="3741"/>
      <c r="K183" s="1915"/>
      <c r="L183" s="1962">
        <f>ROUNDUP('Part V-Revenues &amp; Expenses'!$P$76*M183,0)</f>
        <v>3</v>
      </c>
      <c r="M183" s="1960">
        <f>'DCA Underwriting Assumptions'!$Q$150</f>
        <v>0.02</v>
      </c>
      <c r="N183" s="2055" t="s">
        <v>4777</v>
      </c>
      <c r="O183" s="1921"/>
      <c r="P183" s="3834"/>
      <c r="Q183" s="3835"/>
      <c r="R183" s="2471" t="str">
        <f t="shared" si="0"/>
        <v>Check Actual against Minimum!</v>
      </c>
      <c r="AA183" s="2489">
        <v>183</v>
      </c>
    </row>
    <row r="184" spans="1:27" ht="15" customHeight="1">
      <c r="A184" s="1925" t="s">
        <v>697</v>
      </c>
      <c r="B184" s="1919" t="s">
        <v>4779</v>
      </c>
      <c r="C184" s="1918"/>
      <c r="D184" s="1918"/>
      <c r="E184" s="1918"/>
      <c r="F184" s="1918"/>
      <c r="G184" s="1918"/>
      <c r="H184" s="1918"/>
      <c r="I184" s="1918"/>
      <c r="J184" s="1918"/>
      <c r="K184" s="1915"/>
      <c r="L184" s="2056"/>
      <c r="M184" s="1960"/>
      <c r="N184" s="2055"/>
      <c r="O184" s="1921"/>
      <c r="P184" s="1921"/>
      <c r="Q184" s="1921"/>
      <c r="AA184" s="2489">
        <v>184</v>
      </c>
    </row>
    <row r="185" spans="1:27" ht="15.65" customHeight="1">
      <c r="A185" s="1925"/>
      <c r="B185" s="1912" t="s">
        <v>4782</v>
      </c>
      <c r="G185" s="1915"/>
      <c r="M185" s="3836"/>
      <c r="N185" s="3837"/>
      <c r="O185" s="3837"/>
      <c r="P185" s="3837"/>
      <c r="Q185" s="3838"/>
      <c r="AA185" s="2489">
        <v>185</v>
      </c>
    </row>
    <row r="186" spans="1:27" ht="15.65" customHeight="1">
      <c r="A186" s="1925"/>
      <c r="C186" s="1915"/>
      <c r="D186" s="1912" t="s">
        <v>4780</v>
      </c>
      <c r="O186" s="1921"/>
      <c r="P186" s="1939"/>
      <c r="Q186" s="1932"/>
      <c r="R186" s="1921"/>
      <c r="AA186" s="2490">
        <v>186</v>
      </c>
    </row>
    <row r="187" spans="1:27" ht="15.65" customHeight="1">
      <c r="A187" s="1925"/>
      <c r="C187" s="1915"/>
      <c r="D187" s="1912" t="s">
        <v>4781</v>
      </c>
      <c r="O187" s="1921"/>
      <c r="P187" s="1936"/>
      <c r="Q187" s="1937"/>
      <c r="R187" s="1921"/>
      <c r="AA187" s="2489">
        <v>187</v>
      </c>
    </row>
    <row r="188" spans="1:27" ht="15.75" customHeight="1">
      <c r="B188" s="1931" t="s">
        <v>3157</v>
      </c>
      <c r="D188" s="1931"/>
      <c r="E188" s="1931"/>
      <c r="F188" s="1931"/>
      <c r="G188" s="1931"/>
      <c r="H188" s="1920"/>
      <c r="I188" s="1913"/>
      <c r="J188" s="1913"/>
      <c r="K188" s="1913"/>
      <c r="L188" s="1910"/>
      <c r="M188" s="1910"/>
      <c r="N188" s="1910"/>
      <c r="O188" s="1910"/>
      <c r="P188" s="1910"/>
      <c r="Q188" s="1910"/>
      <c r="AA188" s="2489">
        <v>188</v>
      </c>
    </row>
    <row r="189" spans="1:27" ht="17.149999999999999" customHeight="1">
      <c r="A189" s="3731" t="s">
        <v>5238</v>
      </c>
      <c r="B189" s="3731"/>
      <c r="C189" s="3731"/>
      <c r="D189" s="3731"/>
      <c r="E189" s="3731"/>
      <c r="F189" s="3731"/>
      <c r="G189" s="3731"/>
      <c r="H189" s="3731"/>
      <c r="I189" s="3731"/>
      <c r="J189" s="3731"/>
      <c r="K189" s="3731"/>
      <c r="L189" s="3731"/>
      <c r="M189" s="3731"/>
      <c r="N189" s="3731"/>
      <c r="O189" s="3731"/>
      <c r="P189" s="3731"/>
      <c r="Q189" s="3754"/>
      <c r="AA189" s="2489">
        <v>189</v>
      </c>
    </row>
    <row r="190" spans="1:27" ht="15.75" customHeight="1">
      <c r="B190" s="1916" t="s">
        <v>1725</v>
      </c>
      <c r="C190" s="1917"/>
      <c r="D190" s="1918"/>
      <c r="E190" s="1918"/>
      <c r="F190" s="1918"/>
      <c r="G190" s="1918"/>
      <c r="H190" s="1918"/>
      <c r="I190" s="1918"/>
      <c r="J190" s="1918"/>
      <c r="K190" s="1918"/>
      <c r="L190" s="1918"/>
      <c r="M190" s="1918"/>
      <c r="N190" s="1918"/>
      <c r="O190" s="1918"/>
      <c r="P190" s="1918"/>
      <c r="Q190" s="1918"/>
      <c r="AA190" s="2489">
        <v>190</v>
      </c>
    </row>
    <row r="191" spans="1:27" ht="15" customHeight="1">
      <c r="A191" s="3755"/>
      <c r="B191" s="3755"/>
      <c r="C191" s="3755"/>
      <c r="D191" s="3755"/>
      <c r="E191" s="3755"/>
      <c r="F191" s="3755"/>
      <c r="G191" s="3755"/>
      <c r="H191" s="3755"/>
      <c r="I191" s="3755"/>
      <c r="J191" s="3755"/>
      <c r="K191" s="3755"/>
      <c r="L191" s="3755"/>
      <c r="M191" s="3755"/>
      <c r="N191" s="3755"/>
      <c r="O191" s="3755"/>
      <c r="P191" s="3755"/>
      <c r="Q191" s="3756"/>
      <c r="AA191" s="2489">
        <v>191</v>
      </c>
    </row>
    <row r="192" spans="1:27" ht="11.25" customHeight="1">
      <c r="A192" s="1918"/>
      <c r="B192" s="1918"/>
      <c r="C192" s="1918"/>
      <c r="D192" s="1918"/>
      <c r="E192" s="1918"/>
      <c r="F192" s="1918"/>
      <c r="G192" s="1918"/>
      <c r="H192" s="1918"/>
      <c r="I192" s="1918"/>
      <c r="J192" s="1918"/>
      <c r="K192" s="1918"/>
      <c r="L192" s="1918"/>
      <c r="M192" s="1918"/>
      <c r="N192" s="1918"/>
      <c r="O192" s="1918"/>
      <c r="P192" s="1918"/>
      <c r="Q192" s="1918"/>
      <c r="AA192" s="2489">
        <v>192</v>
      </c>
    </row>
    <row r="193" spans="1:27" ht="11.25" customHeight="1">
      <c r="A193" s="1915"/>
      <c r="B193" s="1918"/>
      <c r="C193" s="1918"/>
      <c r="D193" s="1918"/>
      <c r="E193" s="1918"/>
      <c r="F193" s="1918"/>
      <c r="G193" s="1918"/>
      <c r="H193" s="1918"/>
      <c r="I193" s="1918"/>
      <c r="J193" s="1918"/>
      <c r="K193" s="1918"/>
      <c r="L193" s="1918"/>
      <c r="M193" s="1918"/>
      <c r="N193" s="1918"/>
      <c r="O193" s="1918"/>
      <c r="P193" s="2030"/>
      <c r="Q193" s="2030"/>
      <c r="AA193" s="2489">
        <v>193</v>
      </c>
    </row>
    <row r="194" spans="1:27" ht="20.25" customHeight="1">
      <c r="A194" s="1919" t="s">
        <v>3283</v>
      </c>
      <c r="B194" s="1911" t="s">
        <v>2427</v>
      </c>
      <c r="C194" s="1911"/>
      <c r="D194" s="1911"/>
      <c r="E194" s="1911"/>
      <c r="F194" s="1911"/>
      <c r="G194" s="1911"/>
      <c r="H194" s="1918"/>
      <c r="I194" s="1918"/>
      <c r="J194" s="1918"/>
      <c r="K194" s="1918"/>
      <c r="L194" s="1918"/>
      <c r="M194" s="1918"/>
      <c r="O194" s="1914" t="s">
        <v>1726</v>
      </c>
      <c r="P194" s="3720"/>
      <c r="Q194" s="3783"/>
      <c r="AA194" s="2489">
        <v>194</v>
      </c>
    </row>
    <row r="195" spans="1:27" ht="15" customHeight="1">
      <c r="B195" s="1912" t="s">
        <v>4664</v>
      </c>
      <c r="P195" s="3810"/>
      <c r="Q195" s="3839"/>
      <c r="AA195" s="2489">
        <v>195</v>
      </c>
    </row>
    <row r="196" spans="1:27" ht="28.5" customHeight="1">
      <c r="B196" s="3741" t="s">
        <v>5053</v>
      </c>
      <c r="C196" s="3741"/>
      <c r="D196" s="3741"/>
      <c r="E196" s="3741"/>
      <c r="F196" s="3741"/>
      <c r="G196" s="3741"/>
      <c r="H196" s="3741"/>
      <c r="I196" s="3741"/>
      <c r="J196" s="3741"/>
      <c r="K196" s="3741"/>
      <c r="L196" s="3741"/>
      <c r="M196" s="3741"/>
      <c r="N196" s="3741"/>
      <c r="P196" s="3834"/>
      <c r="Q196" s="3835"/>
      <c r="AA196" s="2489">
        <v>196</v>
      </c>
    </row>
    <row r="197" spans="1:27" ht="20.25" customHeight="1">
      <c r="A197" s="1925" t="s">
        <v>1836</v>
      </c>
      <c r="B197" s="1911" t="s">
        <v>432</v>
      </c>
      <c r="D197" s="1911"/>
      <c r="E197" s="1911"/>
      <c r="F197" s="1911"/>
      <c r="G197" s="1911"/>
      <c r="H197" s="1911"/>
      <c r="I197" s="1911"/>
      <c r="J197" s="1911"/>
      <c r="K197" s="1911"/>
      <c r="L197" s="1911"/>
      <c r="M197" s="1911"/>
      <c r="O197" s="1921"/>
      <c r="P197" s="1910"/>
      <c r="Q197" s="1910"/>
      <c r="AA197" s="2489">
        <v>197</v>
      </c>
    </row>
    <row r="198" spans="1:27" ht="59.25" customHeight="1">
      <c r="B198" s="1946" t="s">
        <v>1611</v>
      </c>
      <c r="C198" s="3824" t="s">
        <v>4719</v>
      </c>
      <c r="D198" s="3824"/>
      <c r="E198" s="3824"/>
      <c r="F198" s="3804" t="s">
        <v>2141</v>
      </c>
      <c r="G198" s="3805"/>
      <c r="H198" s="3805"/>
      <c r="I198" s="3805"/>
      <c r="J198" s="3805"/>
      <c r="K198" s="3805"/>
      <c r="L198" s="3805"/>
      <c r="M198" s="3805"/>
      <c r="N198" s="3805"/>
      <c r="O198" s="3805"/>
      <c r="P198" s="3805"/>
      <c r="Q198" s="3806"/>
      <c r="AA198" s="2489">
        <v>198</v>
      </c>
    </row>
    <row r="199" spans="1:27" ht="60" customHeight="1">
      <c r="B199" s="1946" t="s">
        <v>1612</v>
      </c>
      <c r="C199" s="3824" t="s">
        <v>5082</v>
      </c>
      <c r="D199" s="3824"/>
      <c r="E199" s="3824"/>
      <c r="F199" s="3849" t="s">
        <v>1017</v>
      </c>
      <c r="G199" s="3849"/>
      <c r="H199" s="3849"/>
      <c r="I199" s="3849"/>
      <c r="J199" s="3849"/>
      <c r="K199" s="3849"/>
      <c r="L199" s="3849"/>
      <c r="M199" s="3849"/>
      <c r="N199" s="3849"/>
      <c r="O199" s="3849"/>
      <c r="P199" s="3849"/>
      <c r="Q199" s="3849"/>
      <c r="AA199" s="2489">
        <v>199</v>
      </c>
    </row>
    <row r="200" spans="1:27" ht="20.25" customHeight="1">
      <c r="A200" s="1925"/>
      <c r="B200" s="1946" t="s">
        <v>1613</v>
      </c>
      <c r="C200" s="3741" t="s">
        <v>4670</v>
      </c>
      <c r="D200" s="3741"/>
      <c r="E200" s="3741"/>
      <c r="F200" s="3741"/>
      <c r="G200" s="3741"/>
      <c r="H200" s="3741"/>
      <c r="I200" s="3741"/>
      <c r="J200" s="3741"/>
      <c r="K200" s="3741"/>
      <c r="L200" s="3741"/>
      <c r="M200" s="3741"/>
      <c r="N200" s="3741"/>
      <c r="O200" s="3741"/>
      <c r="P200" s="3741"/>
      <c r="Q200" s="3741"/>
      <c r="AA200" s="2489">
        <v>200</v>
      </c>
    </row>
    <row r="201" spans="1:27" ht="15.65" customHeight="1">
      <c r="A201" s="1925"/>
      <c r="B201" s="1921"/>
      <c r="C201" s="3716"/>
      <c r="D201" s="3716"/>
      <c r="E201" s="3716"/>
      <c r="F201" s="3716"/>
      <c r="G201" s="3716"/>
      <c r="H201" s="3716"/>
      <c r="I201" s="3716"/>
      <c r="J201" s="3716"/>
      <c r="K201" s="3716"/>
      <c r="L201" s="3716"/>
      <c r="M201" s="3716"/>
      <c r="N201" s="3716"/>
      <c r="O201" s="3716"/>
      <c r="P201" s="3716"/>
      <c r="Q201" s="3847"/>
      <c r="AA201" s="2490">
        <v>201</v>
      </c>
    </row>
    <row r="202" spans="1:27" ht="15.65" customHeight="1">
      <c r="A202" s="1925"/>
      <c r="B202" s="1921"/>
      <c r="C202" s="3713"/>
      <c r="D202" s="3713"/>
      <c r="E202" s="3713"/>
      <c r="F202" s="3713"/>
      <c r="G202" s="3713"/>
      <c r="H202" s="3713"/>
      <c r="I202" s="3713"/>
      <c r="J202" s="3713"/>
      <c r="K202" s="3713"/>
      <c r="L202" s="3713"/>
      <c r="M202" s="3713"/>
      <c r="N202" s="3713"/>
      <c r="O202" s="3713"/>
      <c r="P202" s="3713"/>
      <c r="Q202" s="3848"/>
      <c r="AA202" s="2489">
        <v>202</v>
      </c>
    </row>
    <row r="203" spans="1:27" ht="15.75" customHeight="1">
      <c r="B203" s="1931" t="s">
        <v>3157</v>
      </c>
      <c r="D203" s="1931"/>
      <c r="E203" s="1931"/>
      <c r="F203" s="1931"/>
      <c r="G203" s="1931"/>
      <c r="H203" s="1920"/>
      <c r="I203" s="1913"/>
      <c r="J203" s="1913"/>
      <c r="K203" s="1913"/>
      <c r="L203" s="1910"/>
      <c r="M203" s="1910"/>
      <c r="N203" s="1910"/>
      <c r="O203" s="1910"/>
      <c r="P203" s="1910"/>
      <c r="Q203" s="1910"/>
      <c r="AA203" s="2489">
        <v>203</v>
      </c>
    </row>
    <row r="204" spans="1:27" ht="15" customHeight="1">
      <c r="A204" s="3731" t="s">
        <v>5238</v>
      </c>
      <c r="B204" s="3731"/>
      <c r="C204" s="3731"/>
      <c r="D204" s="3731"/>
      <c r="E204" s="3731"/>
      <c r="F204" s="3731"/>
      <c r="G204" s="3731"/>
      <c r="H204" s="3731"/>
      <c r="I204" s="3731"/>
      <c r="J204" s="3731"/>
      <c r="K204" s="3731"/>
      <c r="L204" s="3731"/>
      <c r="M204" s="3731"/>
      <c r="N204" s="3731"/>
      <c r="O204" s="3731"/>
      <c r="P204" s="3731"/>
      <c r="Q204" s="3754"/>
      <c r="AA204" s="2489">
        <v>204</v>
      </c>
    </row>
    <row r="205" spans="1:27" ht="15.75" customHeight="1">
      <c r="B205" s="1916" t="s">
        <v>1725</v>
      </c>
      <c r="C205" s="1917"/>
      <c r="D205" s="1918"/>
      <c r="E205" s="1918"/>
      <c r="F205" s="1918"/>
      <c r="G205" s="1918"/>
      <c r="H205" s="1918"/>
      <c r="I205" s="1918"/>
      <c r="J205" s="1918"/>
      <c r="K205" s="1918"/>
      <c r="L205" s="1918"/>
      <c r="M205" s="1918"/>
      <c r="N205" s="1918"/>
      <c r="O205" s="1918"/>
      <c r="P205" s="1918"/>
      <c r="Q205" s="1918"/>
      <c r="AA205" s="2489">
        <v>205</v>
      </c>
    </row>
    <row r="206" spans="1:27" ht="15" customHeight="1">
      <c r="A206" s="3755"/>
      <c r="B206" s="3755"/>
      <c r="C206" s="3755"/>
      <c r="D206" s="3755"/>
      <c r="E206" s="3755"/>
      <c r="F206" s="3755"/>
      <c r="G206" s="3755"/>
      <c r="H206" s="3755"/>
      <c r="I206" s="3755"/>
      <c r="J206" s="3755"/>
      <c r="K206" s="3755"/>
      <c r="L206" s="3755"/>
      <c r="M206" s="3755"/>
      <c r="N206" s="3755"/>
      <c r="O206" s="3755"/>
      <c r="P206" s="3755"/>
      <c r="Q206" s="3756"/>
      <c r="AA206" s="2489">
        <v>206</v>
      </c>
    </row>
    <row r="207" spans="1:27" ht="11.25" customHeight="1">
      <c r="A207" s="1918"/>
      <c r="B207" s="1918"/>
      <c r="C207" s="1918"/>
      <c r="D207" s="1918"/>
      <c r="E207" s="1918"/>
      <c r="F207" s="1918"/>
      <c r="G207" s="1918"/>
      <c r="H207" s="1918"/>
      <c r="I207" s="1918"/>
      <c r="J207" s="1918"/>
      <c r="K207" s="1918"/>
      <c r="L207" s="1918"/>
      <c r="M207" s="1918"/>
      <c r="N207" s="1918"/>
      <c r="O207" s="1918"/>
      <c r="P207" s="1963"/>
      <c r="Q207" s="1963"/>
      <c r="AA207" s="2489">
        <v>207</v>
      </c>
    </row>
    <row r="208" spans="1:27" ht="11.25" customHeight="1">
      <c r="A208" s="1915"/>
      <c r="B208" s="1918"/>
      <c r="C208" s="1918"/>
      <c r="D208" s="1918"/>
      <c r="E208" s="1918"/>
      <c r="F208" s="1918"/>
      <c r="G208" s="1918"/>
      <c r="H208" s="1918"/>
      <c r="I208" s="1918"/>
      <c r="J208" s="1918"/>
      <c r="K208" s="1918"/>
      <c r="L208" s="1918"/>
      <c r="M208" s="1918"/>
      <c r="N208" s="1918"/>
      <c r="O208" s="1918"/>
      <c r="P208" s="2030"/>
      <c r="Q208" s="2030"/>
      <c r="AA208" s="2489">
        <v>208</v>
      </c>
    </row>
    <row r="209" spans="1:28" ht="20.25" customHeight="1">
      <c r="A209" s="1919" t="s">
        <v>3281</v>
      </c>
      <c r="B209" s="1919" t="s">
        <v>4783</v>
      </c>
      <c r="C209" s="1919"/>
      <c r="D209" s="1918"/>
      <c r="E209" s="1918"/>
      <c r="F209" s="1918"/>
      <c r="G209" s="1918"/>
      <c r="H209" s="1918"/>
      <c r="N209" s="1938"/>
      <c r="O209" s="1914" t="s">
        <v>1726</v>
      </c>
      <c r="P209" s="3757"/>
      <c r="Q209" s="3828"/>
      <c r="AA209" s="2489">
        <v>209</v>
      </c>
    </row>
    <row r="210" spans="1:28" ht="15" customHeight="1">
      <c r="A210" s="1925"/>
      <c r="B210" s="1912" t="s">
        <v>5054</v>
      </c>
      <c r="O210" s="1921"/>
      <c r="P210" s="3810" t="s">
        <v>5248</v>
      </c>
      <c r="Q210" s="3839"/>
      <c r="AA210" s="2490">
        <v>210</v>
      </c>
    </row>
    <row r="211" spans="1:28" ht="15" customHeight="1">
      <c r="A211" s="1925"/>
      <c r="B211" s="1912" t="s">
        <v>5055</v>
      </c>
      <c r="O211" s="1921"/>
      <c r="P211" s="3832" t="s">
        <v>5248</v>
      </c>
      <c r="Q211" s="3833"/>
      <c r="AA211" s="2489">
        <v>211</v>
      </c>
    </row>
    <row r="212" spans="1:28" ht="15" customHeight="1">
      <c r="A212" s="1925"/>
      <c r="B212" s="1912" t="s">
        <v>5056</v>
      </c>
      <c r="C212" s="1915"/>
      <c r="K212" s="1913"/>
      <c r="M212" s="1921"/>
      <c r="O212" s="1964"/>
      <c r="P212" s="3832" t="s">
        <v>2645</v>
      </c>
      <c r="Q212" s="3833"/>
      <c r="AA212" s="2489">
        <v>212</v>
      </c>
    </row>
    <row r="213" spans="1:28" ht="29.5" customHeight="1">
      <c r="A213" s="1925"/>
      <c r="B213" s="3741" t="s">
        <v>5057</v>
      </c>
      <c r="C213" s="3741"/>
      <c r="D213" s="3741"/>
      <c r="E213" s="3741"/>
      <c r="F213" s="3741"/>
      <c r="G213" s="3741"/>
      <c r="H213" s="3741"/>
      <c r="I213" s="3741"/>
      <c r="J213" s="3741"/>
      <c r="K213" s="3741"/>
      <c r="L213" s="3741"/>
      <c r="M213" s="3741"/>
      <c r="N213" s="3741"/>
      <c r="O213" s="3741"/>
      <c r="P213" s="3851" t="s">
        <v>2645</v>
      </c>
      <c r="Q213" s="3852"/>
      <c r="AA213" s="2489">
        <v>213</v>
      </c>
    </row>
    <row r="214" spans="1:28" ht="15.65" customHeight="1">
      <c r="A214" s="1925"/>
      <c r="B214" s="1912" t="s">
        <v>5058</v>
      </c>
      <c r="M214" s="1915"/>
      <c r="N214" s="1915"/>
      <c r="O214" s="3785" t="s">
        <v>4994</v>
      </c>
      <c r="P214" s="3850"/>
      <c r="Q214" s="3786"/>
      <c r="AA214" s="2489">
        <v>214</v>
      </c>
    </row>
    <row r="215" spans="1:28" ht="15.65" customHeight="1">
      <c r="A215" s="1925"/>
      <c r="B215" s="1911" t="s">
        <v>4671</v>
      </c>
      <c r="I215" s="3720" t="s">
        <v>1641</v>
      </c>
      <c r="J215" s="3721"/>
      <c r="K215" s="3721"/>
      <c r="L215" s="3722"/>
      <c r="M215" s="1915"/>
      <c r="N215" s="1915"/>
      <c r="O215" s="1915"/>
      <c r="P215" s="1915"/>
      <c r="Q215" s="1915"/>
      <c r="AA215" s="2489">
        <v>215</v>
      </c>
    </row>
    <row r="216" spans="1:28" ht="15.75" customHeight="1">
      <c r="B216" s="1931" t="s">
        <v>3157</v>
      </c>
      <c r="D216" s="1931"/>
      <c r="E216" s="1931"/>
      <c r="F216" s="1931"/>
      <c r="G216" s="1931"/>
      <c r="H216" s="1920"/>
      <c r="I216" s="1913"/>
      <c r="J216" s="1913"/>
      <c r="K216" s="1913"/>
      <c r="L216" s="1910"/>
      <c r="M216" s="1910"/>
      <c r="N216" s="1910"/>
      <c r="O216" s="1910"/>
      <c r="P216" s="1910"/>
      <c r="Q216" s="1910"/>
      <c r="AA216" s="2489">
        <v>216</v>
      </c>
    </row>
    <row r="217" spans="1:28" ht="30" customHeight="1">
      <c r="A217" s="3742" t="s">
        <v>5249</v>
      </c>
      <c r="B217" s="3743"/>
      <c r="C217" s="3743"/>
      <c r="D217" s="3743"/>
      <c r="E217" s="3743"/>
      <c r="F217" s="3743"/>
      <c r="G217" s="3743"/>
      <c r="H217" s="3743"/>
      <c r="I217" s="3743"/>
      <c r="J217" s="3743"/>
      <c r="K217" s="3743"/>
      <c r="L217" s="3743"/>
      <c r="M217" s="3743"/>
      <c r="N217" s="3743"/>
      <c r="O217" s="3743"/>
      <c r="P217" s="3743"/>
      <c r="Q217" s="3744"/>
      <c r="AA217" s="2489">
        <v>217</v>
      </c>
    </row>
    <row r="218" spans="1:28" ht="15.75" customHeight="1">
      <c r="B218" s="1916" t="s">
        <v>1725</v>
      </c>
      <c r="C218" s="1917"/>
      <c r="D218" s="1918"/>
      <c r="E218" s="1918"/>
      <c r="F218" s="1918"/>
      <c r="G218" s="1918"/>
      <c r="H218" s="1918"/>
      <c r="I218" s="1918"/>
      <c r="J218" s="1918"/>
      <c r="K218" s="1918"/>
      <c r="L218" s="1918"/>
      <c r="M218" s="1918"/>
      <c r="N218" s="1918"/>
      <c r="O218" s="1915"/>
      <c r="P218" s="1918"/>
      <c r="Q218" s="1918"/>
      <c r="AA218" s="2489">
        <v>218</v>
      </c>
    </row>
    <row r="219" spans="1:28" ht="15" customHeight="1">
      <c r="A219" s="3745"/>
      <c r="B219" s="3746"/>
      <c r="C219" s="3746"/>
      <c r="D219" s="3746"/>
      <c r="E219" s="3746"/>
      <c r="F219" s="3746"/>
      <c r="G219" s="3746"/>
      <c r="H219" s="3746"/>
      <c r="I219" s="3746"/>
      <c r="J219" s="3746"/>
      <c r="K219" s="3746"/>
      <c r="L219" s="3746"/>
      <c r="M219" s="3746"/>
      <c r="N219" s="3746"/>
      <c r="O219" s="3746"/>
      <c r="P219" s="3746"/>
      <c r="Q219" s="3747"/>
      <c r="AA219" s="2489">
        <v>219</v>
      </c>
    </row>
    <row r="220" spans="1:28" ht="11.25" customHeight="1">
      <c r="A220" s="1910"/>
      <c r="B220" s="1913"/>
      <c r="C220" s="1918"/>
      <c r="D220" s="1918"/>
      <c r="E220" s="1918"/>
      <c r="F220" s="1918"/>
      <c r="G220" s="1918"/>
      <c r="H220" s="1918"/>
      <c r="I220" s="1918"/>
      <c r="J220" s="1918"/>
      <c r="K220" s="1918"/>
      <c r="L220" s="1918"/>
      <c r="M220" s="1918"/>
      <c r="N220" s="1918"/>
      <c r="O220" s="1918"/>
      <c r="P220" s="1918"/>
      <c r="Q220" s="1910"/>
      <c r="AA220" s="2489">
        <v>220</v>
      </c>
    </row>
    <row r="221" spans="1:28" ht="11.25" customHeight="1">
      <c r="A221" s="1915"/>
      <c r="B221" s="1913"/>
      <c r="C221" s="1918"/>
      <c r="D221" s="1918"/>
      <c r="E221" s="1918"/>
      <c r="F221" s="1918"/>
      <c r="G221" s="1918"/>
      <c r="H221" s="1918"/>
      <c r="I221" s="1918"/>
      <c r="J221" s="1918"/>
      <c r="K221" s="1918"/>
      <c r="L221" s="1918"/>
      <c r="M221" s="1918"/>
      <c r="N221" s="1918"/>
      <c r="O221" s="1918"/>
      <c r="P221" s="1918"/>
      <c r="Q221" s="1910"/>
      <c r="AA221" s="2489">
        <v>221</v>
      </c>
    </row>
    <row r="222" spans="1:28" ht="20.25" customHeight="1">
      <c r="A222" s="1919" t="s">
        <v>3284</v>
      </c>
      <c r="B222" s="1911" t="s">
        <v>4429</v>
      </c>
      <c r="C222" s="1911"/>
      <c r="D222" s="1911"/>
      <c r="E222" s="1911"/>
      <c r="F222" s="1911"/>
      <c r="G222" s="1911"/>
      <c r="H222" s="1918"/>
      <c r="I222" s="1918"/>
      <c r="J222" s="1918"/>
      <c r="K222" s="1918"/>
      <c r="L222" s="1918"/>
      <c r="M222" s="1918"/>
      <c r="N222" s="1965"/>
      <c r="O222" s="1914" t="s">
        <v>1726</v>
      </c>
      <c r="P222" s="3720"/>
      <c r="Q222" s="3783"/>
      <c r="AA222" s="2489">
        <v>222</v>
      </c>
    </row>
    <row r="223" spans="1:28" ht="33.75" customHeight="1">
      <c r="A223" s="1919"/>
      <c r="B223" s="3741" t="s">
        <v>4672</v>
      </c>
      <c r="C223" s="3741"/>
      <c r="D223" s="3741"/>
      <c r="E223" s="3741"/>
      <c r="F223" s="3741"/>
      <c r="G223" s="3741"/>
      <c r="H223" s="3741"/>
      <c r="I223" s="3741"/>
      <c r="J223" s="3741"/>
      <c r="K223" s="3741"/>
      <c r="L223" s="3741"/>
      <c r="M223" s="3741"/>
      <c r="N223" s="3741"/>
      <c r="O223" s="3749"/>
      <c r="P223" s="3785" t="s">
        <v>5250</v>
      </c>
      <c r="Q223" s="3786"/>
      <c r="AA223" s="2489">
        <v>223</v>
      </c>
    </row>
    <row r="224" spans="1:28" s="1966" customFormat="1">
      <c r="A224" s="1940" t="s">
        <v>1836</v>
      </c>
      <c r="B224" s="2057" t="s">
        <v>4785</v>
      </c>
      <c r="C224" s="2057"/>
      <c r="D224" s="2057"/>
      <c r="E224" s="2057"/>
      <c r="F224" s="2057"/>
      <c r="G224" s="2057"/>
      <c r="H224" s="2057"/>
      <c r="I224" s="2057"/>
      <c r="J224" s="2057"/>
      <c r="K224" s="2057"/>
      <c r="L224" s="2057"/>
      <c r="M224" s="2057"/>
      <c r="N224" s="2057"/>
      <c r="O224" s="2057"/>
      <c r="P224" s="2057"/>
      <c r="Q224" s="2057"/>
      <c r="R224" s="2057"/>
      <c r="S224" s="2028"/>
      <c r="T224" s="2028"/>
      <c r="U224" s="2028"/>
      <c r="V224" s="2028"/>
      <c r="W224" s="2028"/>
      <c r="X224" s="2028"/>
      <c r="Y224" s="2028"/>
      <c r="Z224" s="2028"/>
      <c r="AA224" s="2489">
        <v>224</v>
      </c>
      <c r="AB224" s="2028"/>
    </row>
    <row r="225" spans="1:28" s="1966" customFormat="1" ht="30.75" customHeight="1">
      <c r="A225" s="1940"/>
      <c r="C225" s="2448" t="s">
        <v>4784</v>
      </c>
      <c r="D225" s="2449"/>
      <c r="E225" s="2449"/>
      <c r="F225" s="2450"/>
      <c r="G225" s="3856" t="s">
        <v>4960</v>
      </c>
      <c r="H225" s="3856"/>
      <c r="I225" s="3856"/>
      <c r="J225" s="3856"/>
      <c r="K225" s="3856"/>
      <c r="L225" s="3856"/>
      <c r="M225" s="3856"/>
      <c r="N225" s="3856"/>
      <c r="O225" s="3857"/>
      <c r="P225" s="2058"/>
      <c r="Q225" s="1932"/>
      <c r="R225" s="2028"/>
      <c r="S225" s="2028"/>
      <c r="T225" s="2028"/>
      <c r="U225" s="2028"/>
      <c r="V225" s="2028"/>
      <c r="W225" s="2028"/>
      <c r="X225" s="2028"/>
      <c r="Y225" s="2028"/>
      <c r="Z225" s="2028"/>
      <c r="AA225" s="2490">
        <v>225</v>
      </c>
      <c r="AB225" s="2028"/>
    </row>
    <row r="226" spans="1:28" s="1966" customFormat="1" ht="30.75" customHeight="1">
      <c r="A226" s="1940"/>
      <c r="C226" s="3824" t="s">
        <v>4786</v>
      </c>
      <c r="D226" s="3824"/>
      <c r="E226" s="3824"/>
      <c r="F226" s="3824"/>
      <c r="G226" s="3824" t="s">
        <v>4961</v>
      </c>
      <c r="H226" s="3824"/>
      <c r="I226" s="3824"/>
      <c r="J226" s="3824"/>
      <c r="K226" s="3824"/>
      <c r="L226" s="3824"/>
      <c r="M226" s="3824"/>
      <c r="N226" s="3824"/>
      <c r="O226" s="3825"/>
      <c r="P226" s="2059"/>
      <c r="Q226" s="1937"/>
      <c r="R226" s="2028"/>
      <c r="S226" s="2028"/>
      <c r="T226" s="2028"/>
      <c r="U226" s="2028"/>
      <c r="V226" s="2028"/>
      <c r="W226" s="2028"/>
      <c r="X226" s="2028"/>
      <c r="Y226" s="2028"/>
      <c r="Z226" s="2028"/>
      <c r="AA226" s="2489">
        <v>226</v>
      </c>
      <c r="AB226" s="2028"/>
    </row>
    <row r="227" spans="1:28" ht="44.25" customHeight="1">
      <c r="A227" s="1940" t="s">
        <v>1838</v>
      </c>
      <c r="B227" s="3824" t="s">
        <v>4787</v>
      </c>
      <c r="C227" s="3824"/>
      <c r="D227" s="3824"/>
      <c r="E227" s="3824"/>
      <c r="F227" s="3824"/>
      <c r="G227" s="3824"/>
      <c r="H227" s="3824"/>
      <c r="I227" s="3824"/>
      <c r="J227" s="3824"/>
      <c r="K227" s="3824"/>
      <c r="L227" s="3824"/>
      <c r="M227" s="3824"/>
      <c r="N227" s="3824"/>
      <c r="O227" s="3824"/>
      <c r="P227" s="2062"/>
      <c r="Q227" s="2061"/>
      <c r="AA227" s="2489">
        <v>227</v>
      </c>
    </row>
    <row r="228" spans="1:28" ht="20.25" customHeight="1">
      <c r="A228" s="1925" t="s">
        <v>697</v>
      </c>
      <c r="B228" s="1912" t="s">
        <v>4788</v>
      </c>
      <c r="G228" s="1912" t="s">
        <v>4789</v>
      </c>
      <c r="P228" s="2062" t="s">
        <v>5250</v>
      </c>
      <c r="Q228" s="2061"/>
      <c r="AA228" s="2489">
        <v>228</v>
      </c>
    </row>
    <row r="229" spans="1:28" ht="45" customHeight="1">
      <c r="A229" s="1940" t="s">
        <v>1957</v>
      </c>
      <c r="B229" s="3824" t="s">
        <v>4673</v>
      </c>
      <c r="C229" s="3824"/>
      <c r="D229" s="3824"/>
      <c r="E229" s="3824"/>
      <c r="F229" s="3824"/>
      <c r="G229" s="3824"/>
      <c r="H229" s="3824"/>
      <c r="I229" s="3824"/>
      <c r="J229" s="3824"/>
      <c r="K229" s="3824"/>
      <c r="L229" s="3824"/>
      <c r="M229" s="3824"/>
      <c r="N229" s="3824"/>
      <c r="O229" s="3824"/>
      <c r="P229" s="2062"/>
      <c r="Q229" s="2061"/>
      <c r="AA229" s="2489">
        <v>229</v>
      </c>
    </row>
    <row r="230" spans="1:28" ht="15.75" customHeight="1">
      <c r="B230" s="1931" t="s">
        <v>3157</v>
      </c>
      <c r="D230" s="1931"/>
      <c r="E230" s="1931"/>
      <c r="F230" s="1931"/>
      <c r="G230" s="1931"/>
      <c r="H230" s="1920"/>
      <c r="I230" s="1913"/>
      <c r="J230" s="1913"/>
      <c r="K230" s="1913"/>
      <c r="L230" s="1910"/>
      <c r="M230" s="1910"/>
      <c r="N230" s="1910"/>
      <c r="O230" s="1910"/>
      <c r="P230" s="1910"/>
      <c r="Q230" s="1910"/>
      <c r="AA230" s="2489">
        <v>230</v>
      </c>
    </row>
    <row r="231" spans="1:28" ht="45" customHeight="1">
      <c r="A231" s="3742" t="s">
        <v>5251</v>
      </c>
      <c r="B231" s="3787"/>
      <c r="C231" s="3787"/>
      <c r="D231" s="3787"/>
      <c r="E231" s="3787"/>
      <c r="F231" s="3787"/>
      <c r="G231" s="3787"/>
      <c r="H231" s="3787"/>
      <c r="I231" s="3787"/>
      <c r="J231" s="3787"/>
      <c r="K231" s="3787"/>
      <c r="L231" s="3787"/>
      <c r="M231" s="3787"/>
      <c r="N231" s="3787"/>
      <c r="O231" s="3787"/>
      <c r="P231" s="3787"/>
      <c r="Q231" s="3788"/>
      <c r="AA231" s="2489">
        <v>231</v>
      </c>
    </row>
    <row r="232" spans="1:28" ht="15.75" customHeight="1">
      <c r="B232" s="1916" t="s">
        <v>1725</v>
      </c>
      <c r="C232" s="1917"/>
      <c r="D232" s="1918"/>
      <c r="E232" s="1918"/>
      <c r="F232" s="1918"/>
      <c r="G232" s="1918"/>
      <c r="H232" s="1918"/>
      <c r="I232" s="1918"/>
      <c r="J232" s="1918"/>
      <c r="K232" s="1918"/>
      <c r="L232" s="1918"/>
      <c r="M232" s="1918"/>
      <c r="N232" s="1918"/>
      <c r="O232" s="1918"/>
      <c r="P232" s="1918"/>
      <c r="Q232" s="1918"/>
      <c r="AA232" s="2489">
        <v>232</v>
      </c>
    </row>
    <row r="233" spans="1:28" ht="15" customHeight="1">
      <c r="A233" s="3745"/>
      <c r="B233" s="3853"/>
      <c r="C233" s="3853"/>
      <c r="D233" s="3853"/>
      <c r="E233" s="3853"/>
      <c r="F233" s="3853"/>
      <c r="G233" s="3853"/>
      <c r="H233" s="3853"/>
      <c r="I233" s="3853"/>
      <c r="J233" s="3853"/>
      <c r="K233" s="3853"/>
      <c r="L233" s="3853"/>
      <c r="M233" s="3853"/>
      <c r="N233" s="3853"/>
      <c r="O233" s="3853"/>
      <c r="P233" s="3853"/>
      <c r="Q233" s="3854"/>
      <c r="AA233" s="2489">
        <v>233</v>
      </c>
    </row>
    <row r="234" spans="1:28" ht="11.25" customHeight="1">
      <c r="A234" s="1910"/>
      <c r="B234" s="1913"/>
      <c r="C234" s="1918"/>
      <c r="D234" s="1918"/>
      <c r="E234" s="1918"/>
      <c r="F234" s="1918"/>
      <c r="G234" s="1918"/>
      <c r="H234" s="1918"/>
      <c r="I234" s="1918"/>
      <c r="J234" s="1918"/>
      <c r="K234" s="1918"/>
      <c r="L234" s="1918"/>
      <c r="M234" s="1918"/>
      <c r="N234" s="1918"/>
      <c r="O234" s="1918"/>
      <c r="P234" s="1918"/>
      <c r="Q234" s="1910"/>
      <c r="AA234" s="2490">
        <v>234</v>
      </c>
    </row>
    <row r="235" spans="1:28" ht="11.25" customHeight="1">
      <c r="A235" s="1919"/>
      <c r="B235" s="1913"/>
      <c r="C235" s="1918"/>
      <c r="D235" s="1918"/>
      <c r="E235" s="1918"/>
      <c r="F235" s="1918"/>
      <c r="G235" s="1918"/>
      <c r="H235" s="1918"/>
      <c r="I235" s="1918"/>
      <c r="J235" s="1918"/>
      <c r="K235" s="1918"/>
      <c r="L235" s="1918"/>
      <c r="M235" s="1918"/>
      <c r="N235" s="1918"/>
      <c r="O235" s="1918"/>
      <c r="P235" s="1918"/>
      <c r="Q235" s="1910"/>
      <c r="AA235" s="2489">
        <v>235</v>
      </c>
    </row>
    <row r="236" spans="1:28" ht="20.25" customHeight="1">
      <c r="A236" s="1919" t="s">
        <v>3285</v>
      </c>
      <c r="B236" s="1911" t="s">
        <v>3270</v>
      </c>
      <c r="C236" s="1911"/>
      <c r="D236" s="1911"/>
      <c r="E236" s="1911"/>
      <c r="F236" s="1911"/>
      <c r="G236" s="1911"/>
      <c r="H236" s="1918"/>
      <c r="I236" s="1918"/>
      <c r="J236" s="1918"/>
      <c r="K236" s="1918"/>
      <c r="L236" s="1918"/>
      <c r="M236" s="1918"/>
      <c r="N236" s="1967"/>
      <c r="O236" s="1914" t="s">
        <v>1726</v>
      </c>
      <c r="P236" s="3720"/>
      <c r="Q236" s="3722"/>
      <c r="AA236" s="2489">
        <v>236</v>
      </c>
    </row>
    <row r="237" spans="1:28" ht="15" customHeight="1">
      <c r="A237" s="1925"/>
      <c r="B237" s="3855" t="s">
        <v>3271</v>
      </c>
      <c r="C237" s="3855"/>
      <c r="D237" s="3855"/>
      <c r="E237" s="3855"/>
      <c r="F237" s="3855"/>
      <c r="I237" s="3726" t="s">
        <v>5203</v>
      </c>
      <c r="J237" s="3727"/>
      <c r="K237" s="3727"/>
      <c r="L237" s="3727"/>
      <c r="M237" s="3727"/>
      <c r="N237" s="3727"/>
      <c r="O237" s="3727"/>
      <c r="P237" s="3727"/>
      <c r="Q237" s="3728"/>
      <c r="AA237" s="2489">
        <v>237</v>
      </c>
    </row>
    <row r="238" spans="1:28" ht="15" customHeight="1">
      <c r="A238" s="1925"/>
      <c r="B238" s="3855" t="s">
        <v>3272</v>
      </c>
      <c r="C238" s="3855"/>
      <c r="D238" s="3855"/>
      <c r="E238" s="3855"/>
      <c r="F238" s="3855"/>
      <c r="I238" s="3723" t="s">
        <v>5252</v>
      </c>
      <c r="J238" s="3724"/>
      <c r="K238" s="3724"/>
      <c r="L238" s="3724"/>
      <c r="M238" s="3724"/>
      <c r="N238" s="3724"/>
      <c r="O238" s="3724"/>
      <c r="P238" s="3724"/>
      <c r="Q238" s="3725"/>
      <c r="AA238" s="2489">
        <v>238</v>
      </c>
    </row>
    <row r="239" spans="1:28" ht="30" customHeight="1" thickBot="1">
      <c r="A239" s="1925"/>
      <c r="B239" s="3824" t="s">
        <v>4962</v>
      </c>
      <c r="C239" s="3824"/>
      <c r="D239" s="3824"/>
      <c r="E239" s="3824"/>
      <c r="F239" s="3824"/>
      <c r="G239" s="3824"/>
      <c r="H239" s="3824"/>
      <c r="I239" s="3824"/>
      <c r="J239" s="3824"/>
      <c r="K239" s="3824"/>
      <c r="L239" s="3824"/>
      <c r="M239" s="3824"/>
      <c r="N239" s="3824"/>
      <c r="O239" s="3863"/>
      <c r="P239" s="3864" t="s">
        <v>5250</v>
      </c>
      <c r="Q239" s="3865"/>
      <c r="AA239" s="2489">
        <v>239</v>
      </c>
    </row>
    <row r="240" spans="1:28" ht="15.75" customHeight="1">
      <c r="B240" s="1931" t="s">
        <v>3157</v>
      </c>
      <c r="D240" s="1931"/>
      <c r="E240" s="1931"/>
      <c r="F240" s="1931"/>
      <c r="G240" s="1931"/>
      <c r="H240" s="1920"/>
      <c r="I240" s="1913"/>
      <c r="J240" s="1913"/>
      <c r="K240" s="1913"/>
      <c r="L240" s="1910"/>
      <c r="M240" s="1910"/>
      <c r="N240" s="1910"/>
      <c r="O240" s="1910"/>
      <c r="P240" s="1910"/>
      <c r="Q240" s="1910"/>
      <c r="AA240" s="2489">
        <v>240</v>
      </c>
    </row>
    <row r="241" spans="1:27" ht="30" customHeight="1">
      <c r="A241" s="3731" t="s">
        <v>5251</v>
      </c>
      <c r="B241" s="3732"/>
      <c r="C241" s="3732"/>
      <c r="D241" s="3732"/>
      <c r="E241" s="3732"/>
      <c r="F241" s="3732"/>
      <c r="G241" s="3732"/>
      <c r="H241" s="3732"/>
      <c r="I241" s="3732"/>
      <c r="J241" s="3732"/>
      <c r="K241" s="3732"/>
      <c r="L241" s="3732"/>
      <c r="M241" s="3732"/>
      <c r="N241" s="3732"/>
      <c r="O241" s="3732"/>
      <c r="P241" s="3732"/>
      <c r="Q241" s="3733"/>
      <c r="AA241" s="2489">
        <v>241</v>
      </c>
    </row>
    <row r="242" spans="1:27" ht="15.75" customHeight="1">
      <c r="B242" s="1916" t="s">
        <v>1725</v>
      </c>
      <c r="C242" s="1917"/>
      <c r="D242" s="1918"/>
      <c r="E242" s="1918"/>
      <c r="F242" s="1918"/>
      <c r="G242" s="1918"/>
      <c r="H242" s="1918"/>
      <c r="I242" s="1918"/>
      <c r="J242" s="1918"/>
      <c r="K242" s="1918"/>
      <c r="L242" s="1918"/>
      <c r="M242" s="1918"/>
      <c r="N242" s="1918"/>
      <c r="O242" s="1918"/>
      <c r="P242" s="1918"/>
      <c r="Q242" s="1918"/>
      <c r="AA242" s="2489">
        <v>242</v>
      </c>
    </row>
    <row r="243" spans="1:27" ht="15" customHeight="1">
      <c r="A243" s="3755"/>
      <c r="B243" s="3861"/>
      <c r="C243" s="3861"/>
      <c r="D243" s="3861"/>
      <c r="E243" s="3861"/>
      <c r="F243" s="3861"/>
      <c r="G243" s="3861"/>
      <c r="H243" s="3861"/>
      <c r="I243" s="3861"/>
      <c r="J243" s="3861"/>
      <c r="K243" s="3861"/>
      <c r="L243" s="3861"/>
      <c r="M243" s="3861"/>
      <c r="N243" s="3861"/>
      <c r="O243" s="3861"/>
      <c r="P243" s="3861"/>
      <c r="Q243" s="3862"/>
      <c r="AA243" s="2489">
        <v>243</v>
      </c>
    </row>
    <row r="244" spans="1:27" ht="11.15" customHeight="1">
      <c r="A244" s="1910"/>
      <c r="B244" s="1913"/>
      <c r="C244" s="1918"/>
      <c r="D244" s="1918"/>
      <c r="E244" s="1918"/>
      <c r="F244" s="1918"/>
      <c r="G244" s="1918"/>
      <c r="H244" s="1918"/>
      <c r="I244" s="1918"/>
      <c r="J244" s="1918"/>
      <c r="K244" s="1918"/>
      <c r="L244" s="1918"/>
      <c r="M244" s="1918"/>
      <c r="Q244" s="1910"/>
      <c r="AA244" s="2489">
        <v>244</v>
      </c>
    </row>
    <row r="245" spans="1:27" ht="11.15" customHeight="1">
      <c r="A245" s="1915"/>
      <c r="B245" s="1913"/>
      <c r="C245" s="1918"/>
      <c r="D245" s="1918"/>
      <c r="E245" s="1918"/>
      <c r="F245" s="1918"/>
      <c r="G245" s="1918"/>
      <c r="H245" s="1918"/>
      <c r="I245" s="1918"/>
      <c r="J245" s="1918"/>
      <c r="K245" s="1918"/>
      <c r="L245" s="1918"/>
      <c r="M245" s="1918"/>
      <c r="Q245" s="1910"/>
      <c r="AA245" s="2489">
        <v>245</v>
      </c>
    </row>
    <row r="246" spans="1:27" ht="20.25" customHeight="1">
      <c r="A246" s="1919" t="s">
        <v>3288</v>
      </c>
      <c r="B246" s="1911" t="s">
        <v>2428</v>
      </c>
      <c r="C246" s="1911"/>
      <c r="D246" s="1911"/>
      <c r="E246" s="1918"/>
      <c r="G246" s="1912" t="s">
        <v>654</v>
      </c>
      <c r="H246" s="1918"/>
      <c r="I246" s="1918"/>
      <c r="J246" s="1918"/>
      <c r="K246" s="1918"/>
      <c r="L246" s="1918"/>
      <c r="M246" s="1918"/>
      <c r="O246" s="1914" t="s">
        <v>1726</v>
      </c>
      <c r="P246" s="3720"/>
      <c r="Q246" s="3722"/>
      <c r="AA246" s="2489">
        <v>246</v>
      </c>
    </row>
    <row r="247" spans="1:27" ht="15.65" customHeight="1">
      <c r="A247" s="1925"/>
      <c r="B247" s="1912" t="s">
        <v>2431</v>
      </c>
      <c r="D247" s="1928"/>
      <c r="E247" s="1928"/>
      <c r="O247" s="1921"/>
      <c r="P247" s="3810"/>
      <c r="Q247" s="3811"/>
      <c r="AA247" s="2489">
        <v>247</v>
      </c>
    </row>
    <row r="248" spans="1:27" ht="15.65" customHeight="1">
      <c r="A248" s="1925"/>
      <c r="B248" s="1912" t="s">
        <v>3059</v>
      </c>
      <c r="D248" s="1928"/>
      <c r="E248" s="1928"/>
      <c r="O248" s="1921"/>
      <c r="P248" s="3832"/>
      <c r="Q248" s="3858"/>
      <c r="AA248" s="2489">
        <v>248</v>
      </c>
    </row>
    <row r="249" spans="1:27" ht="15.65" customHeight="1">
      <c r="A249" s="1925"/>
      <c r="B249" s="1912" t="s">
        <v>689</v>
      </c>
      <c r="D249" s="3734"/>
      <c r="E249" s="3735"/>
      <c r="F249" s="3735"/>
      <c r="G249" s="3735"/>
      <c r="H249" s="3735"/>
      <c r="I249" s="3735"/>
      <c r="J249" s="3735"/>
      <c r="K249" s="3735"/>
      <c r="L249" s="3735"/>
      <c r="M249" s="3735"/>
      <c r="N249" s="3735"/>
      <c r="O249" s="3735"/>
      <c r="P249" s="3859"/>
      <c r="Q249" s="3860"/>
      <c r="AA249" s="2490">
        <v>249</v>
      </c>
    </row>
    <row r="250" spans="1:27" ht="15.75" customHeight="1">
      <c r="B250" s="1931" t="s">
        <v>3157</v>
      </c>
      <c r="D250" s="1931"/>
      <c r="E250" s="1931"/>
      <c r="F250" s="1931"/>
      <c r="G250" s="1931"/>
      <c r="H250" s="1920"/>
      <c r="I250" s="1913"/>
      <c r="J250" s="1913"/>
      <c r="K250" s="1913"/>
      <c r="L250" s="1910"/>
      <c r="M250" s="1910"/>
      <c r="N250" s="1910"/>
      <c r="O250" s="1910"/>
      <c r="P250" s="1910"/>
      <c r="Q250" s="1910"/>
      <c r="AA250" s="2489">
        <v>250</v>
      </c>
    </row>
    <row r="251" spans="1:27" ht="15" customHeight="1">
      <c r="A251" s="3731" t="s">
        <v>5238</v>
      </c>
      <c r="B251" s="3732"/>
      <c r="C251" s="3732"/>
      <c r="D251" s="3732"/>
      <c r="E251" s="3732"/>
      <c r="F251" s="3732"/>
      <c r="G251" s="3732"/>
      <c r="H251" s="3732"/>
      <c r="I251" s="3732"/>
      <c r="J251" s="3732"/>
      <c r="K251" s="3732"/>
      <c r="L251" s="3732"/>
      <c r="M251" s="3732"/>
      <c r="N251" s="3732"/>
      <c r="O251" s="3732"/>
      <c r="P251" s="3732"/>
      <c r="Q251" s="3733"/>
      <c r="AA251" s="2489">
        <v>251</v>
      </c>
    </row>
    <row r="252" spans="1:27" ht="15.75" customHeight="1">
      <c r="B252" s="1916" t="s">
        <v>1725</v>
      </c>
      <c r="C252" s="1917"/>
      <c r="D252" s="1918"/>
      <c r="E252" s="1918"/>
      <c r="F252" s="1918"/>
      <c r="G252" s="1918"/>
      <c r="H252" s="1918"/>
      <c r="I252" s="1918"/>
      <c r="J252" s="1918"/>
      <c r="K252" s="1918"/>
      <c r="L252" s="1918"/>
      <c r="M252" s="1918"/>
      <c r="N252" s="1918"/>
      <c r="O252" s="1918"/>
      <c r="P252" s="1918"/>
      <c r="Q252" s="1918"/>
      <c r="AA252" s="2489">
        <v>252</v>
      </c>
    </row>
    <row r="253" spans="1:27" ht="15" customHeight="1">
      <c r="A253" s="3755"/>
      <c r="B253" s="3861"/>
      <c r="C253" s="3861"/>
      <c r="D253" s="3861"/>
      <c r="E253" s="3861"/>
      <c r="F253" s="3861"/>
      <c r="G253" s="3861"/>
      <c r="H253" s="3861"/>
      <c r="I253" s="3861"/>
      <c r="J253" s="3861"/>
      <c r="K253" s="3861"/>
      <c r="L253" s="3861"/>
      <c r="M253" s="3861"/>
      <c r="N253" s="3861"/>
      <c r="O253" s="3861"/>
      <c r="P253" s="3861"/>
      <c r="Q253" s="3862"/>
      <c r="AA253" s="2489">
        <v>253</v>
      </c>
    </row>
    <row r="254" spans="1:27" ht="11.15" customHeight="1">
      <c r="A254" s="1910"/>
      <c r="B254" s="1913"/>
      <c r="C254" s="1918"/>
      <c r="D254" s="1918"/>
      <c r="E254" s="1918"/>
      <c r="F254" s="1918"/>
      <c r="G254" s="1918"/>
      <c r="H254" s="1918"/>
      <c r="I254" s="1918"/>
      <c r="J254" s="1918"/>
      <c r="K254" s="1918"/>
      <c r="L254" s="1918"/>
      <c r="M254" s="1918"/>
      <c r="N254" s="1918"/>
      <c r="O254" s="1918"/>
      <c r="P254" s="1918"/>
      <c r="Q254" s="1910"/>
      <c r="AA254" s="2489">
        <v>254</v>
      </c>
    </row>
    <row r="255" spans="1:27" ht="11.15" customHeight="1">
      <c r="A255" s="1915"/>
      <c r="B255" s="1913"/>
      <c r="C255" s="1918"/>
      <c r="D255" s="1918"/>
      <c r="E255" s="1918"/>
      <c r="F255" s="1918"/>
      <c r="G255" s="1918"/>
      <c r="H255" s="1918"/>
      <c r="I255" s="1918"/>
      <c r="J255" s="1918"/>
      <c r="K255" s="1918"/>
      <c r="L255" s="1918"/>
      <c r="M255" s="1918"/>
      <c r="N255" s="1918"/>
      <c r="O255" s="1918"/>
      <c r="P255" s="1918"/>
      <c r="Q255" s="1910"/>
      <c r="AA255" s="2489">
        <v>255</v>
      </c>
    </row>
    <row r="256" spans="1:27" ht="20.25" customHeight="1">
      <c r="A256" s="1919" t="s">
        <v>3289</v>
      </c>
      <c r="B256" s="1911" t="s">
        <v>3812</v>
      </c>
      <c r="C256" s="1911"/>
      <c r="D256" s="1911"/>
      <c r="E256" s="1911"/>
      <c r="F256" s="1911"/>
      <c r="G256" s="1911"/>
      <c r="H256" s="1918"/>
      <c r="I256" s="1918"/>
      <c r="J256" s="1918"/>
      <c r="K256" s="1918"/>
      <c r="L256" s="1918"/>
      <c r="M256" s="1918"/>
      <c r="O256" s="1914" t="s">
        <v>1726</v>
      </c>
      <c r="P256" s="3720"/>
      <c r="Q256" s="3722"/>
      <c r="AA256" s="2489">
        <v>256</v>
      </c>
    </row>
    <row r="257" spans="1:27" ht="15.65" customHeight="1">
      <c r="B257" s="1912" t="s">
        <v>4144</v>
      </c>
      <c r="O257" s="1921"/>
      <c r="P257" s="3810"/>
      <c r="Q257" s="3811"/>
      <c r="AA257" s="2489">
        <v>257</v>
      </c>
    </row>
    <row r="258" spans="1:27" ht="15.65" customHeight="1">
      <c r="A258" s="1925"/>
      <c r="B258" s="3869" t="s">
        <v>700</v>
      </c>
      <c r="C258" s="3869"/>
      <c r="D258" s="3869"/>
      <c r="E258" s="3869"/>
      <c r="F258" s="3869"/>
      <c r="G258" s="3869"/>
      <c r="H258" s="3869"/>
      <c r="I258" s="3869"/>
      <c r="J258" s="3869"/>
      <c r="K258" s="3869"/>
      <c r="L258" s="3869"/>
      <c r="M258" s="3869"/>
      <c r="N258" s="3869"/>
      <c r="O258" s="3869"/>
      <c r="P258" s="3832"/>
      <c r="Q258" s="3858"/>
      <c r="AA258" s="2490">
        <v>258</v>
      </c>
    </row>
    <row r="259" spans="1:27" ht="15.65" customHeight="1">
      <c r="B259" s="3869" t="s">
        <v>4790</v>
      </c>
      <c r="C259" s="3869"/>
      <c r="D259" s="3869"/>
      <c r="E259" s="3869"/>
      <c r="F259" s="3869"/>
      <c r="G259" s="3869"/>
      <c r="H259" s="3869"/>
      <c r="I259" s="3869"/>
      <c r="J259" s="3869"/>
      <c r="K259" s="3869"/>
      <c r="L259" s="3869"/>
      <c r="M259" s="3869"/>
      <c r="N259" s="3869"/>
      <c r="O259" s="3869"/>
      <c r="P259" s="3832"/>
      <c r="Q259" s="3858"/>
      <c r="AA259" s="2489">
        <v>259</v>
      </c>
    </row>
    <row r="260" spans="1:27" ht="28" customHeight="1">
      <c r="A260" s="1925"/>
      <c r="B260" s="3870" t="s">
        <v>5060</v>
      </c>
      <c r="C260" s="3870"/>
      <c r="D260" s="3870"/>
      <c r="E260" s="3870"/>
      <c r="F260" s="3870"/>
      <c r="G260" s="3870"/>
      <c r="H260" s="3870"/>
      <c r="I260" s="3870"/>
      <c r="J260" s="3870"/>
      <c r="K260" s="3870"/>
      <c r="L260" s="3870"/>
      <c r="M260" s="3870"/>
      <c r="N260" s="3870"/>
      <c r="O260" s="3870"/>
      <c r="P260" s="3834"/>
      <c r="Q260" s="3871"/>
      <c r="AA260" s="2489">
        <v>260</v>
      </c>
    </row>
    <row r="261" spans="1:27" ht="15.75" customHeight="1">
      <c r="B261" s="1931" t="s">
        <v>3157</v>
      </c>
      <c r="D261" s="1931"/>
      <c r="E261" s="1931"/>
      <c r="F261" s="1931"/>
      <c r="G261" s="1931"/>
      <c r="H261" s="1920"/>
      <c r="I261" s="1913"/>
      <c r="J261" s="1913"/>
      <c r="K261" s="1913"/>
      <c r="AA261" s="2489">
        <v>261</v>
      </c>
    </row>
    <row r="262" spans="1:27" ht="15" customHeight="1">
      <c r="A262" s="3731" t="s">
        <v>5238</v>
      </c>
      <c r="B262" s="3732"/>
      <c r="C262" s="3732"/>
      <c r="D262" s="3732"/>
      <c r="E262" s="3732"/>
      <c r="F262" s="3732"/>
      <c r="G262" s="3732"/>
      <c r="H262" s="3732"/>
      <c r="I262" s="3732"/>
      <c r="J262" s="3732"/>
      <c r="K262" s="3732"/>
      <c r="L262" s="3732"/>
      <c r="M262" s="3732"/>
      <c r="N262" s="3732"/>
      <c r="O262" s="3732"/>
      <c r="P262" s="3732"/>
      <c r="Q262" s="3733"/>
      <c r="AA262" s="2489">
        <v>262</v>
      </c>
    </row>
    <row r="263" spans="1:27" ht="15.75" customHeight="1">
      <c r="B263" s="1916" t="s">
        <v>1725</v>
      </c>
      <c r="C263" s="1917"/>
      <c r="D263" s="1918"/>
      <c r="E263" s="1918"/>
      <c r="F263" s="1918"/>
      <c r="G263" s="1918"/>
      <c r="H263" s="1918"/>
      <c r="I263" s="1918"/>
      <c r="J263" s="1918"/>
      <c r="K263" s="1918"/>
      <c r="L263" s="1918"/>
      <c r="M263" s="1918"/>
      <c r="N263" s="1918"/>
      <c r="O263" s="1918"/>
      <c r="P263" s="1918"/>
      <c r="Q263" s="1918"/>
      <c r="AA263" s="2489">
        <v>263</v>
      </c>
    </row>
    <row r="264" spans="1:27" ht="15" customHeight="1">
      <c r="A264" s="3755"/>
      <c r="B264" s="3861"/>
      <c r="C264" s="3861"/>
      <c r="D264" s="3861"/>
      <c r="E264" s="3861"/>
      <c r="F264" s="3861"/>
      <c r="G264" s="3861"/>
      <c r="H264" s="3861"/>
      <c r="I264" s="3861"/>
      <c r="J264" s="3861"/>
      <c r="K264" s="3861"/>
      <c r="L264" s="3861"/>
      <c r="M264" s="3861"/>
      <c r="N264" s="3861"/>
      <c r="O264" s="3861"/>
      <c r="P264" s="3861"/>
      <c r="Q264" s="3862"/>
      <c r="AA264" s="2489">
        <v>264</v>
      </c>
    </row>
    <row r="265" spans="1:27" ht="11.15" customHeight="1">
      <c r="A265" s="1910"/>
      <c r="B265" s="1913"/>
      <c r="C265" s="1918"/>
      <c r="D265" s="1918"/>
      <c r="E265" s="1918"/>
      <c r="F265" s="1918"/>
      <c r="G265" s="1918"/>
      <c r="H265" s="1918"/>
      <c r="I265" s="1918"/>
      <c r="J265" s="1918"/>
      <c r="K265" s="1918"/>
      <c r="L265" s="1918"/>
      <c r="M265" s="1918"/>
      <c r="Q265" s="1910"/>
      <c r="AA265" s="2489">
        <v>265</v>
      </c>
    </row>
    <row r="266" spans="1:27" ht="11.15" customHeight="1">
      <c r="A266" s="1915"/>
      <c r="B266" s="1913"/>
      <c r="C266" s="1918"/>
      <c r="D266" s="1918"/>
      <c r="E266" s="1918"/>
      <c r="F266" s="1918"/>
      <c r="G266" s="1918"/>
      <c r="H266" s="1918"/>
      <c r="I266" s="1918"/>
      <c r="J266" s="1918"/>
      <c r="K266" s="1918"/>
      <c r="L266" s="1918"/>
      <c r="M266" s="1918"/>
      <c r="Q266" s="1910"/>
      <c r="AA266" s="2489">
        <v>266</v>
      </c>
    </row>
    <row r="267" spans="1:27" ht="20.25" customHeight="1">
      <c r="A267" s="1919" t="s">
        <v>3290</v>
      </c>
      <c r="B267" s="1911" t="s">
        <v>2502</v>
      </c>
      <c r="C267" s="1911"/>
      <c r="D267" s="1911"/>
      <c r="E267" s="1918"/>
      <c r="F267" s="1918"/>
      <c r="G267" s="1918"/>
      <c r="H267" s="1918"/>
      <c r="O267" s="1914" t="s">
        <v>1726</v>
      </c>
      <c r="P267" s="3748"/>
      <c r="Q267" s="3748"/>
      <c r="AA267" s="2489">
        <v>267</v>
      </c>
    </row>
    <row r="268" spans="1:27" ht="28.5" customHeight="1">
      <c r="A268" s="1915"/>
      <c r="B268" s="3741" t="s">
        <v>5059</v>
      </c>
      <c r="C268" s="3741"/>
      <c r="D268" s="3741"/>
      <c r="E268" s="3741"/>
      <c r="F268" s="3741"/>
      <c r="G268" s="3741"/>
      <c r="H268" s="3741"/>
      <c r="I268" s="3741"/>
      <c r="J268" s="3741"/>
      <c r="K268" s="3741"/>
      <c r="L268" s="3741"/>
      <c r="M268" s="3741"/>
      <c r="N268" s="3741"/>
      <c r="O268" s="1968"/>
      <c r="P268" s="3866"/>
      <c r="Q268" s="3867"/>
      <c r="AA268" s="2489">
        <v>268</v>
      </c>
    </row>
    <row r="269" spans="1:27" ht="44.5" customHeight="1">
      <c r="A269" s="1940"/>
      <c r="B269" s="3824" t="s">
        <v>4676</v>
      </c>
      <c r="C269" s="3824"/>
      <c r="D269" s="3824"/>
      <c r="E269" s="3824"/>
      <c r="F269" s="3824"/>
      <c r="G269" s="3824"/>
      <c r="H269" s="3824"/>
      <c r="I269" s="3824"/>
      <c r="J269" s="3824"/>
      <c r="K269" s="3824"/>
      <c r="L269" s="3824"/>
      <c r="M269" s="3824"/>
      <c r="N269" s="3824"/>
      <c r="O269" s="3825"/>
      <c r="P269" s="3868"/>
      <c r="Q269" s="3868"/>
      <c r="AA269" s="2489">
        <v>269</v>
      </c>
    </row>
    <row r="270" spans="1:27" ht="15.75" customHeight="1">
      <c r="B270" s="1931" t="s">
        <v>3157</v>
      </c>
      <c r="D270" s="1931"/>
      <c r="E270" s="1931"/>
      <c r="F270" s="1931"/>
      <c r="G270" s="1931"/>
      <c r="H270" s="1920"/>
      <c r="I270" s="1913"/>
      <c r="J270" s="1913"/>
      <c r="K270" s="1913"/>
      <c r="L270" s="1910"/>
      <c r="M270" s="1910"/>
      <c r="N270" s="1910"/>
      <c r="O270" s="1910"/>
      <c r="P270" s="1910"/>
      <c r="Q270" s="1910"/>
      <c r="AA270" s="2489">
        <v>270</v>
      </c>
    </row>
    <row r="271" spans="1:27" ht="30" customHeight="1">
      <c r="A271" s="3731" t="s">
        <v>5238</v>
      </c>
      <c r="B271" s="3732"/>
      <c r="C271" s="3732"/>
      <c r="D271" s="3732"/>
      <c r="E271" s="3732"/>
      <c r="F271" s="3732"/>
      <c r="G271" s="3732"/>
      <c r="H271" s="3732"/>
      <c r="I271" s="3732"/>
      <c r="J271" s="3732"/>
      <c r="K271" s="3732"/>
      <c r="L271" s="3732"/>
      <c r="M271" s="3732"/>
      <c r="N271" s="3732"/>
      <c r="O271" s="3732"/>
      <c r="P271" s="3732"/>
      <c r="Q271" s="3733"/>
      <c r="AA271" s="2489">
        <v>271</v>
      </c>
    </row>
    <row r="272" spans="1:27" ht="15.75" customHeight="1">
      <c r="B272" s="1916" t="s">
        <v>1725</v>
      </c>
      <c r="C272" s="1917"/>
      <c r="D272" s="1918"/>
      <c r="E272" s="1918"/>
      <c r="F272" s="1918"/>
      <c r="G272" s="1918"/>
      <c r="H272" s="1918"/>
      <c r="I272" s="1918"/>
      <c r="J272" s="1918"/>
      <c r="K272" s="1918"/>
      <c r="L272" s="1918"/>
      <c r="M272" s="1918"/>
      <c r="N272" s="1918"/>
      <c r="O272" s="1918"/>
      <c r="P272" s="1918"/>
      <c r="Q272" s="1918"/>
      <c r="AA272" s="2489">
        <v>272</v>
      </c>
    </row>
    <row r="273" spans="1:27" ht="15" customHeight="1">
      <c r="A273" s="3755"/>
      <c r="B273" s="3861"/>
      <c r="C273" s="3861"/>
      <c r="D273" s="3861"/>
      <c r="E273" s="3861"/>
      <c r="F273" s="3861"/>
      <c r="G273" s="3861"/>
      <c r="H273" s="3861"/>
      <c r="I273" s="3861"/>
      <c r="J273" s="3861"/>
      <c r="K273" s="3861"/>
      <c r="L273" s="3861"/>
      <c r="M273" s="3861"/>
      <c r="N273" s="3861"/>
      <c r="O273" s="3861"/>
      <c r="P273" s="3861"/>
      <c r="Q273" s="3862"/>
      <c r="AA273" s="2490">
        <v>273</v>
      </c>
    </row>
    <row r="274" spans="1:27" ht="11.5" customHeight="1">
      <c r="A274" s="1910"/>
      <c r="B274" s="1913"/>
      <c r="C274" s="1918"/>
      <c r="D274" s="1918"/>
      <c r="E274" s="1918"/>
      <c r="F274" s="1918"/>
      <c r="G274" s="1918"/>
      <c r="H274" s="1918"/>
      <c r="I274" s="1918"/>
      <c r="J274" s="1918"/>
      <c r="K274" s="1918"/>
      <c r="L274" s="1918"/>
      <c r="M274" s="1918"/>
      <c r="Q274" s="1910"/>
      <c r="AA274" s="2489">
        <v>274</v>
      </c>
    </row>
    <row r="275" spans="1:27" ht="11.5" customHeight="1">
      <c r="A275" s="1910"/>
      <c r="B275" s="1913"/>
      <c r="C275" s="1918"/>
      <c r="D275" s="1918"/>
      <c r="E275" s="1918"/>
      <c r="F275" s="1918"/>
      <c r="G275" s="1918"/>
      <c r="H275" s="1918"/>
      <c r="I275" s="1918"/>
      <c r="J275" s="1918"/>
      <c r="K275" s="1918"/>
      <c r="L275" s="1918"/>
      <c r="M275" s="1918"/>
      <c r="Q275" s="1910"/>
      <c r="AA275" s="2489">
        <v>275</v>
      </c>
    </row>
    <row r="276" spans="1:27" ht="14.25" customHeight="1">
      <c r="A276" s="1919" t="s">
        <v>3291</v>
      </c>
      <c r="B276" s="1919" t="s">
        <v>4791</v>
      </c>
      <c r="C276" s="1918"/>
      <c r="D276" s="1918"/>
      <c r="E276" s="1918"/>
      <c r="F276" s="1918"/>
      <c r="G276" s="1918"/>
      <c r="H276" s="1918"/>
      <c r="I276" s="1918"/>
      <c r="J276" s="1918"/>
      <c r="K276" s="1918"/>
      <c r="L276" s="1918"/>
      <c r="M276" s="1918"/>
      <c r="O276" s="1914" t="s">
        <v>1726</v>
      </c>
      <c r="P276" s="3748"/>
      <c r="Q276" s="3748"/>
      <c r="AA276" s="2489">
        <v>276</v>
      </c>
    </row>
    <row r="277" spans="1:27" ht="14.25" customHeight="1">
      <c r="A277" s="2060" t="s">
        <v>1836</v>
      </c>
      <c r="B277" s="1919" t="s">
        <v>4792</v>
      </c>
      <c r="C277" s="1919"/>
      <c r="D277" s="1920"/>
      <c r="E277" s="1918"/>
      <c r="F277" s="1918"/>
      <c r="G277" s="1918"/>
      <c r="H277" s="1918"/>
      <c r="I277" s="1918"/>
      <c r="J277" s="1918"/>
      <c r="K277" s="1918"/>
      <c r="L277" s="1918"/>
      <c r="M277" s="1918"/>
      <c r="P277" s="3874"/>
      <c r="Q277" s="3874"/>
      <c r="AA277" s="2489">
        <v>277</v>
      </c>
    </row>
    <row r="278" spans="1:27" ht="30" customHeight="1">
      <c r="A278" s="1920"/>
      <c r="B278" s="3824" t="s">
        <v>4963</v>
      </c>
      <c r="C278" s="3824"/>
      <c r="D278" s="3824"/>
      <c r="E278" s="3824"/>
      <c r="F278" s="3824"/>
      <c r="G278" s="3824"/>
      <c r="H278" s="3824"/>
      <c r="I278" s="3824"/>
      <c r="J278" s="3824"/>
      <c r="K278" s="3824"/>
      <c r="L278" s="3824"/>
      <c r="M278" s="3824"/>
      <c r="N278" s="3824"/>
      <c r="O278" s="3825"/>
      <c r="P278" s="3873"/>
      <c r="Q278" s="3873"/>
      <c r="AA278" s="2489">
        <v>278</v>
      </c>
    </row>
    <row r="279" spans="1:27" ht="14.25" customHeight="1">
      <c r="A279" s="2060" t="s">
        <v>1838</v>
      </c>
      <c r="B279" s="1919" t="s">
        <v>4793</v>
      </c>
      <c r="C279" s="1915"/>
      <c r="D279" s="1920"/>
      <c r="E279" s="1918"/>
      <c r="F279" s="1918"/>
      <c r="G279" s="1918"/>
      <c r="H279" s="1918"/>
      <c r="I279" s="1918"/>
      <c r="J279" s="1918"/>
      <c r="K279" s="1918"/>
      <c r="L279" s="1918"/>
      <c r="M279" s="1918"/>
      <c r="P279" s="3873"/>
      <c r="Q279" s="3873"/>
      <c r="AA279" s="2489">
        <v>279</v>
      </c>
    </row>
    <row r="280" spans="1:27" ht="29.25" customHeight="1">
      <c r="A280" s="1920"/>
      <c r="B280" s="3824" t="s">
        <v>4969</v>
      </c>
      <c r="C280" s="3824"/>
      <c r="D280" s="3824"/>
      <c r="E280" s="3824"/>
      <c r="F280" s="3824"/>
      <c r="G280" s="3824"/>
      <c r="H280" s="3824"/>
      <c r="I280" s="3824"/>
      <c r="J280" s="3824"/>
      <c r="K280" s="3824"/>
      <c r="L280" s="3824"/>
      <c r="M280" s="3824"/>
      <c r="N280" s="3824"/>
      <c r="O280" s="3825"/>
      <c r="P280" s="3868"/>
      <c r="Q280" s="3868"/>
      <c r="AA280" s="2489">
        <v>280</v>
      </c>
    </row>
    <row r="281" spans="1:27" ht="15.75" customHeight="1">
      <c r="A281" s="1919"/>
      <c r="B281" s="1931" t="s">
        <v>3157</v>
      </c>
      <c r="D281" s="1931"/>
      <c r="E281" s="1931"/>
      <c r="F281" s="1931"/>
      <c r="G281" s="1931"/>
      <c r="H281" s="1920"/>
      <c r="I281" s="1913"/>
      <c r="J281" s="1913"/>
      <c r="K281" s="1913"/>
      <c r="L281" s="1910"/>
      <c r="M281" s="1910"/>
      <c r="N281" s="1910"/>
      <c r="O281" s="1910"/>
      <c r="P281" s="1910"/>
      <c r="Q281" s="1910"/>
      <c r="AA281" s="2489">
        <v>281</v>
      </c>
    </row>
    <row r="282" spans="1:27" ht="15" customHeight="1">
      <c r="A282" s="3731" t="s">
        <v>5238</v>
      </c>
      <c r="B282" s="3732"/>
      <c r="C282" s="3732"/>
      <c r="D282" s="3732"/>
      <c r="E282" s="3732"/>
      <c r="F282" s="3732"/>
      <c r="G282" s="3732"/>
      <c r="H282" s="3732"/>
      <c r="I282" s="3732"/>
      <c r="J282" s="3732"/>
      <c r="K282" s="3732"/>
      <c r="L282" s="3732"/>
      <c r="M282" s="3732"/>
      <c r="N282" s="3732"/>
      <c r="O282" s="3732"/>
      <c r="P282" s="3732"/>
      <c r="Q282" s="3733"/>
      <c r="AA282" s="2490">
        <v>282</v>
      </c>
    </row>
    <row r="283" spans="1:27" ht="15.75" customHeight="1">
      <c r="B283" s="1916" t="s">
        <v>1725</v>
      </c>
      <c r="C283" s="1917"/>
      <c r="D283" s="1918"/>
      <c r="E283" s="1918"/>
      <c r="F283" s="1918"/>
      <c r="G283" s="1918"/>
      <c r="H283" s="1918"/>
      <c r="I283" s="1918"/>
      <c r="J283" s="1918"/>
      <c r="K283" s="1918"/>
      <c r="L283" s="1918"/>
      <c r="M283" s="1918"/>
      <c r="N283" s="1918"/>
      <c r="O283" s="1918"/>
      <c r="P283" s="1918"/>
      <c r="Q283" s="1918"/>
      <c r="AA283" s="2489">
        <v>283</v>
      </c>
    </row>
    <row r="284" spans="1:27" ht="15" customHeight="1">
      <c r="A284" s="3755"/>
      <c r="B284" s="3861"/>
      <c r="C284" s="3861"/>
      <c r="D284" s="3861"/>
      <c r="E284" s="3861"/>
      <c r="F284" s="3861"/>
      <c r="G284" s="3861"/>
      <c r="H284" s="3861"/>
      <c r="I284" s="3861"/>
      <c r="J284" s="3861"/>
      <c r="K284" s="3861"/>
      <c r="L284" s="3861"/>
      <c r="M284" s="3861"/>
      <c r="N284" s="3861"/>
      <c r="O284" s="3861"/>
      <c r="P284" s="3861"/>
      <c r="Q284" s="3862"/>
      <c r="AA284" s="2489">
        <v>284</v>
      </c>
    </row>
    <row r="285" spans="1:27" ht="14.25" customHeight="1">
      <c r="A285" s="1919"/>
      <c r="B285" s="1913"/>
      <c r="C285" s="1918"/>
      <c r="D285" s="1918"/>
      <c r="E285" s="1918"/>
      <c r="F285" s="1918"/>
      <c r="G285" s="1918"/>
      <c r="H285" s="1918"/>
      <c r="I285" s="1918"/>
      <c r="J285" s="1918"/>
      <c r="K285" s="1918"/>
      <c r="L285" s="1918"/>
      <c r="M285" s="1918"/>
      <c r="Q285" s="1910"/>
      <c r="AA285" s="2489">
        <v>285</v>
      </c>
    </row>
    <row r="286" spans="1:27" ht="14.25" customHeight="1">
      <c r="A286" s="1919"/>
      <c r="B286" s="1913"/>
      <c r="C286" s="1918"/>
      <c r="D286" s="1918"/>
      <c r="E286" s="1918"/>
      <c r="F286" s="1918"/>
      <c r="G286" s="1918"/>
      <c r="H286" s="1918"/>
      <c r="I286" s="1918"/>
      <c r="J286" s="1918"/>
      <c r="K286" s="1918"/>
      <c r="L286" s="1918"/>
      <c r="M286" s="1918"/>
      <c r="Q286" s="1910"/>
      <c r="AA286" s="2489">
        <v>286</v>
      </c>
    </row>
    <row r="287" spans="1:27" ht="14.25" customHeight="1">
      <c r="A287" s="1919" t="s">
        <v>3292</v>
      </c>
      <c r="B287" s="1919" t="s">
        <v>4794</v>
      </c>
      <c r="C287" s="1918"/>
      <c r="D287" s="1918"/>
      <c r="E287" s="1918"/>
      <c r="F287" s="1918"/>
      <c r="G287" s="1918"/>
      <c r="H287" s="1918"/>
      <c r="I287" s="1918"/>
      <c r="J287" s="1918"/>
      <c r="K287" s="1918"/>
      <c r="L287" s="1918"/>
      <c r="M287" s="1918"/>
      <c r="O287" s="1914" t="s">
        <v>1726</v>
      </c>
      <c r="P287" s="3748"/>
      <c r="Q287" s="3748"/>
      <c r="AA287" s="2489">
        <v>287</v>
      </c>
    </row>
    <row r="288" spans="1:27" ht="30.75" customHeight="1">
      <c r="A288" s="1919"/>
      <c r="B288" s="3741" t="s">
        <v>5061</v>
      </c>
      <c r="C288" s="3741"/>
      <c r="D288" s="3741"/>
      <c r="E288" s="3741"/>
      <c r="F288" s="3741"/>
      <c r="G288" s="3741"/>
      <c r="H288" s="3741"/>
      <c r="I288" s="3741"/>
      <c r="J288" s="3741"/>
      <c r="K288" s="3741"/>
      <c r="L288" s="3741"/>
      <c r="M288" s="3741"/>
      <c r="N288" s="3741"/>
      <c r="O288" s="3749"/>
      <c r="P288" s="3872"/>
      <c r="Q288" s="3872"/>
      <c r="AA288" s="2489">
        <v>288</v>
      </c>
    </row>
    <row r="289" spans="1:27" ht="20.25" customHeight="1">
      <c r="A289" s="1919"/>
      <c r="B289" s="1931" t="s">
        <v>3157</v>
      </c>
      <c r="D289" s="1931"/>
      <c r="E289" s="1931"/>
      <c r="F289" s="1931"/>
      <c r="G289" s="1931"/>
      <c r="H289" s="1920"/>
      <c r="I289" s="1913"/>
      <c r="J289" s="1913"/>
      <c r="K289" s="1913"/>
      <c r="L289" s="1910"/>
      <c r="M289" s="1910"/>
      <c r="N289" s="1910"/>
      <c r="O289" s="1910"/>
      <c r="P289" s="1910"/>
      <c r="Q289" s="1910"/>
      <c r="AA289" s="2489">
        <v>289</v>
      </c>
    </row>
    <row r="290" spans="1:27" ht="15" customHeight="1">
      <c r="A290" s="3731" t="s">
        <v>5238</v>
      </c>
      <c r="B290" s="3732"/>
      <c r="C290" s="3732"/>
      <c r="D290" s="3732"/>
      <c r="E290" s="3732"/>
      <c r="F290" s="3732"/>
      <c r="G290" s="3732"/>
      <c r="H290" s="3732"/>
      <c r="I290" s="3732"/>
      <c r="J290" s="3732"/>
      <c r="K290" s="3732"/>
      <c r="L290" s="3732"/>
      <c r="M290" s="3732"/>
      <c r="N290" s="3732"/>
      <c r="O290" s="3732"/>
      <c r="P290" s="3732"/>
      <c r="Q290" s="3733"/>
      <c r="AA290" s="2489">
        <v>290</v>
      </c>
    </row>
    <row r="291" spans="1:27" ht="20.25" customHeight="1">
      <c r="B291" s="1916" t="s">
        <v>1725</v>
      </c>
      <c r="C291" s="1917"/>
      <c r="D291" s="1918"/>
      <c r="E291" s="1918"/>
      <c r="F291" s="1918"/>
      <c r="G291" s="1918"/>
      <c r="H291" s="1918"/>
      <c r="I291" s="1918"/>
      <c r="J291" s="1918"/>
      <c r="K291" s="1918"/>
      <c r="L291" s="1918"/>
      <c r="M291" s="1918"/>
      <c r="N291" s="1918"/>
      <c r="O291" s="1918"/>
      <c r="P291" s="1918"/>
      <c r="Q291" s="1918"/>
      <c r="AA291" s="2489">
        <v>291</v>
      </c>
    </row>
    <row r="292" spans="1:27" ht="15" customHeight="1">
      <c r="A292" s="3755"/>
      <c r="B292" s="3861"/>
      <c r="C292" s="3861"/>
      <c r="D292" s="3861"/>
      <c r="E292" s="3861"/>
      <c r="F292" s="3861"/>
      <c r="G292" s="3861"/>
      <c r="H292" s="3861"/>
      <c r="I292" s="3861"/>
      <c r="J292" s="3861"/>
      <c r="K292" s="3861"/>
      <c r="L292" s="3861"/>
      <c r="M292" s="3861"/>
      <c r="N292" s="3861"/>
      <c r="O292" s="3861"/>
      <c r="P292" s="3861"/>
      <c r="Q292" s="3862"/>
      <c r="AA292" s="2489">
        <v>292</v>
      </c>
    </row>
    <row r="293" spans="1:27" ht="14.25" customHeight="1">
      <c r="A293" s="1919"/>
      <c r="B293" s="1913"/>
      <c r="C293" s="1918"/>
      <c r="D293" s="1918"/>
      <c r="E293" s="1918"/>
      <c r="F293" s="1918"/>
      <c r="G293" s="1918"/>
      <c r="H293" s="1918"/>
      <c r="I293" s="1918"/>
      <c r="J293" s="1918"/>
      <c r="K293" s="1918"/>
      <c r="L293" s="1918"/>
      <c r="M293" s="1918"/>
      <c r="Q293" s="1910"/>
      <c r="AA293" s="2489">
        <v>293</v>
      </c>
    </row>
    <row r="294" spans="1:27" ht="14.25" customHeight="1">
      <c r="A294" s="1919"/>
      <c r="B294" s="1913"/>
      <c r="C294" s="1918"/>
      <c r="D294" s="1918"/>
      <c r="E294" s="1918"/>
      <c r="F294" s="1918"/>
      <c r="G294" s="1918"/>
      <c r="H294" s="1918"/>
      <c r="I294" s="1918"/>
      <c r="J294" s="1918"/>
      <c r="K294" s="1918"/>
      <c r="L294" s="1918"/>
      <c r="M294" s="1918"/>
      <c r="Q294" s="1910"/>
      <c r="AA294" s="2489">
        <v>294</v>
      </c>
    </row>
    <row r="295" spans="1:27" ht="20.25" customHeight="1">
      <c r="A295" s="1919" t="s">
        <v>3293</v>
      </c>
      <c r="B295" s="1911" t="s">
        <v>4796</v>
      </c>
      <c r="C295" s="1915"/>
      <c r="D295" s="1911"/>
      <c r="E295" s="1918"/>
      <c r="F295" s="1918"/>
      <c r="G295" s="1918"/>
      <c r="H295" s="1918"/>
      <c r="J295" s="1918"/>
      <c r="K295" s="1918"/>
      <c r="L295" s="1918"/>
      <c r="M295" s="1918"/>
      <c r="O295" s="1914" t="s">
        <v>1726</v>
      </c>
      <c r="P295" s="3720"/>
      <c r="Q295" s="3722"/>
      <c r="S295" s="1915"/>
      <c r="T295" s="1915"/>
      <c r="AA295" s="2489">
        <v>295</v>
      </c>
    </row>
    <row r="296" spans="1:27">
      <c r="A296" s="1919"/>
      <c r="B296" s="3741" t="s">
        <v>4972</v>
      </c>
      <c r="C296" s="3741"/>
      <c r="D296" s="3741"/>
      <c r="E296" s="3741"/>
      <c r="F296" s="3741"/>
      <c r="G296" s="3741"/>
      <c r="H296" s="3741"/>
      <c r="I296" s="3741"/>
      <c r="J296" s="3741"/>
      <c r="K296" s="3741"/>
      <c r="L296" s="3741"/>
      <c r="M296" s="3741"/>
      <c r="N296" s="3741"/>
      <c r="O296" s="3749"/>
      <c r="P296" s="3875"/>
      <c r="Q296" s="3875"/>
      <c r="AA296" s="2489">
        <v>296</v>
      </c>
    </row>
    <row r="297" spans="1:27" ht="45" customHeight="1">
      <c r="A297" s="1919"/>
      <c r="B297" s="3842" t="s">
        <v>4797</v>
      </c>
      <c r="C297" s="3842"/>
      <c r="D297" s="3842"/>
      <c r="E297" s="3842"/>
      <c r="F297" s="3842"/>
      <c r="G297" s="3842"/>
      <c r="H297" s="3842"/>
      <c r="I297" s="3842"/>
      <c r="J297" s="3842"/>
      <c r="K297" s="3842"/>
      <c r="L297" s="3842"/>
      <c r="M297" s="3842"/>
      <c r="N297" s="3842"/>
      <c r="O297" s="3876"/>
      <c r="P297" s="3868"/>
      <c r="Q297" s="3868"/>
      <c r="AA297" s="2490">
        <v>297</v>
      </c>
    </row>
    <row r="298" spans="1:27" ht="15" customHeight="1">
      <c r="A298" s="1919"/>
      <c r="B298" s="1931" t="s">
        <v>3157</v>
      </c>
      <c r="D298" s="1931"/>
      <c r="E298" s="1931"/>
      <c r="F298" s="1931"/>
      <c r="G298" s="1931"/>
      <c r="H298" s="1920"/>
      <c r="I298" s="1913"/>
      <c r="J298" s="1913"/>
      <c r="K298" s="1913"/>
      <c r="L298" s="1910"/>
      <c r="M298" s="1910"/>
      <c r="N298" s="1910"/>
      <c r="O298" s="1910"/>
      <c r="P298" s="1910"/>
      <c r="Q298" s="1910"/>
      <c r="AA298" s="2489">
        <v>298</v>
      </c>
    </row>
    <row r="299" spans="1:27" ht="15" customHeight="1">
      <c r="A299" s="3731" t="s">
        <v>5238</v>
      </c>
      <c r="B299" s="3732"/>
      <c r="C299" s="3732"/>
      <c r="D299" s="3732"/>
      <c r="E299" s="3732"/>
      <c r="F299" s="3732"/>
      <c r="G299" s="3732"/>
      <c r="H299" s="3732"/>
      <c r="I299" s="3732"/>
      <c r="J299" s="3732"/>
      <c r="K299" s="3732"/>
      <c r="L299" s="3732"/>
      <c r="M299" s="3732"/>
      <c r="N299" s="3732"/>
      <c r="O299" s="3732"/>
      <c r="P299" s="3732"/>
      <c r="Q299" s="3733"/>
      <c r="AA299" s="2489">
        <v>299</v>
      </c>
    </row>
    <row r="300" spans="1:27" ht="15" customHeight="1">
      <c r="B300" s="1916" t="s">
        <v>1725</v>
      </c>
      <c r="C300" s="1917"/>
      <c r="D300" s="1918"/>
      <c r="E300" s="1918"/>
      <c r="F300" s="1918"/>
      <c r="G300" s="1918"/>
      <c r="H300" s="1918"/>
      <c r="I300" s="1918"/>
      <c r="J300" s="1918"/>
      <c r="K300" s="1918"/>
      <c r="L300" s="1918"/>
      <c r="M300" s="1918"/>
      <c r="N300" s="1918"/>
      <c r="O300" s="1918"/>
      <c r="P300" s="1918"/>
      <c r="Q300" s="1918"/>
      <c r="AA300" s="2489">
        <v>300</v>
      </c>
    </row>
    <row r="301" spans="1:27" ht="15" customHeight="1">
      <c r="A301" s="3755"/>
      <c r="B301" s="3861"/>
      <c r="C301" s="3861"/>
      <c r="D301" s="3861"/>
      <c r="E301" s="3861"/>
      <c r="F301" s="3861"/>
      <c r="G301" s="3861"/>
      <c r="H301" s="3861"/>
      <c r="I301" s="3861"/>
      <c r="J301" s="3861"/>
      <c r="K301" s="3861"/>
      <c r="L301" s="3861"/>
      <c r="M301" s="3861"/>
      <c r="N301" s="3861"/>
      <c r="O301" s="3861"/>
      <c r="P301" s="3861"/>
      <c r="Q301" s="3862"/>
      <c r="AA301" s="2489">
        <v>301</v>
      </c>
    </row>
    <row r="302" spans="1:27" ht="15.65" customHeight="1">
      <c r="A302" s="1910"/>
      <c r="B302" s="1913"/>
      <c r="C302" s="1918"/>
      <c r="D302" s="1918"/>
      <c r="E302" s="1918"/>
      <c r="F302" s="1918"/>
      <c r="G302" s="1918"/>
      <c r="H302" s="1918"/>
      <c r="I302" s="1918"/>
      <c r="J302" s="1918"/>
      <c r="K302" s="1918"/>
      <c r="L302" s="1918"/>
      <c r="M302" s="1918"/>
      <c r="N302" s="1918"/>
      <c r="O302" s="1918"/>
      <c r="P302" s="1918"/>
      <c r="Q302" s="1910"/>
      <c r="AA302" s="2489">
        <v>302</v>
      </c>
    </row>
    <row r="303" spans="1:27" ht="14.25" customHeight="1">
      <c r="A303" s="1919"/>
      <c r="B303" s="1913"/>
      <c r="C303" s="1918"/>
      <c r="D303" s="1918"/>
      <c r="E303" s="1918"/>
      <c r="F303" s="1918"/>
      <c r="G303" s="1918"/>
      <c r="H303" s="1918"/>
      <c r="I303" s="1918"/>
      <c r="J303" s="1918"/>
      <c r="K303" s="1918"/>
      <c r="L303" s="1918"/>
      <c r="M303" s="1918"/>
      <c r="Q303" s="1910"/>
      <c r="AA303" s="2489">
        <v>303</v>
      </c>
    </row>
    <row r="304" spans="1:27" ht="20.25" customHeight="1">
      <c r="A304" s="1919" t="s">
        <v>3679</v>
      </c>
      <c r="B304" s="1911" t="s">
        <v>2429</v>
      </c>
      <c r="C304" s="1915"/>
      <c r="D304" s="1911"/>
      <c r="E304" s="1918"/>
      <c r="F304" s="1918"/>
      <c r="G304" s="1918"/>
      <c r="H304" s="1918"/>
      <c r="J304" s="1918"/>
      <c r="K304" s="1918"/>
      <c r="L304" s="1918"/>
      <c r="M304" s="1918"/>
      <c r="O304" s="1914" t="s">
        <v>1726</v>
      </c>
      <c r="P304" s="3720"/>
      <c r="Q304" s="3722"/>
      <c r="AA304" s="2489">
        <v>304</v>
      </c>
    </row>
    <row r="305" spans="1:27" ht="15" customHeight="1">
      <c r="A305" s="1919"/>
      <c r="B305" s="1931" t="s">
        <v>3157</v>
      </c>
      <c r="D305" s="1931"/>
      <c r="E305" s="1931"/>
      <c r="F305" s="1931"/>
      <c r="G305" s="1931"/>
      <c r="H305" s="1920"/>
      <c r="I305" s="1913"/>
      <c r="J305" s="1913"/>
      <c r="K305" s="1913"/>
      <c r="L305" s="1910"/>
      <c r="M305" s="1910"/>
      <c r="N305" s="1910"/>
      <c r="O305" s="1910"/>
      <c r="P305" s="1910"/>
      <c r="Q305" s="1910"/>
      <c r="AA305" s="2489">
        <v>305</v>
      </c>
    </row>
    <row r="306" spans="1:27" ht="30" customHeight="1">
      <c r="A306" s="3731" t="s">
        <v>5238</v>
      </c>
      <c r="B306" s="3732"/>
      <c r="C306" s="3732"/>
      <c r="D306" s="3732"/>
      <c r="E306" s="3732"/>
      <c r="F306" s="3732"/>
      <c r="G306" s="3732"/>
      <c r="H306" s="3732"/>
      <c r="I306" s="3732"/>
      <c r="J306" s="3732"/>
      <c r="K306" s="3732"/>
      <c r="L306" s="3732"/>
      <c r="M306" s="3732"/>
      <c r="N306" s="3732"/>
      <c r="O306" s="3732"/>
      <c r="P306" s="3732"/>
      <c r="Q306" s="3733"/>
      <c r="AA306" s="2490">
        <v>306</v>
      </c>
    </row>
    <row r="307" spans="1:27" ht="15" customHeight="1">
      <c r="B307" s="1916" t="s">
        <v>1725</v>
      </c>
      <c r="C307" s="1917"/>
      <c r="D307" s="1918"/>
      <c r="E307" s="1918"/>
      <c r="F307" s="1918"/>
      <c r="G307" s="1918"/>
      <c r="H307" s="1918"/>
      <c r="I307" s="1918"/>
      <c r="J307" s="1918"/>
      <c r="K307" s="1918"/>
      <c r="L307" s="1918"/>
      <c r="M307" s="1918"/>
      <c r="N307" s="1918"/>
      <c r="O307" s="1918"/>
      <c r="P307" s="1918"/>
      <c r="Q307" s="1918"/>
      <c r="AA307" s="2489">
        <v>307</v>
      </c>
    </row>
    <row r="308" spans="1:27" ht="15" customHeight="1">
      <c r="A308" s="3755"/>
      <c r="B308" s="3861"/>
      <c r="C308" s="3861"/>
      <c r="D308" s="3861"/>
      <c r="E308" s="3861"/>
      <c r="F308" s="3861"/>
      <c r="G308" s="3861"/>
      <c r="H308" s="3861"/>
      <c r="I308" s="3861"/>
      <c r="J308" s="3861"/>
      <c r="K308" s="3861"/>
      <c r="L308" s="3861"/>
      <c r="M308" s="3861"/>
      <c r="N308" s="3861"/>
      <c r="O308" s="3861"/>
      <c r="P308" s="3861"/>
      <c r="Q308" s="3862"/>
      <c r="AA308" s="2489">
        <v>308</v>
      </c>
    </row>
    <row r="309" spans="1:27" ht="20.25" customHeight="1">
      <c r="A309" s="1918"/>
      <c r="B309" s="1918"/>
      <c r="C309" s="1918"/>
      <c r="D309" s="1918"/>
      <c r="E309" s="1918"/>
      <c r="F309" s="1918"/>
      <c r="G309" s="1918"/>
      <c r="H309" s="1918"/>
      <c r="I309" s="1918"/>
      <c r="J309" s="1918"/>
      <c r="K309" s="1918"/>
      <c r="L309" s="1918"/>
      <c r="M309" s="1918"/>
      <c r="N309" s="1918"/>
      <c r="O309" s="1918"/>
      <c r="P309" s="1918"/>
      <c r="Q309" s="1918"/>
      <c r="R309" s="1964"/>
      <c r="AA309" s="2489">
        <v>309</v>
      </c>
    </row>
    <row r="310" spans="1:27" ht="20.25" customHeight="1">
      <c r="A310" s="1918"/>
      <c r="B310" s="1918"/>
      <c r="C310" s="1918"/>
      <c r="D310" s="1918"/>
      <c r="E310" s="1918"/>
      <c r="F310" s="1918"/>
      <c r="G310" s="1918"/>
      <c r="H310" s="1918"/>
      <c r="I310" s="1918"/>
      <c r="J310" s="1918"/>
      <c r="K310" s="1918"/>
      <c r="L310" s="1918"/>
      <c r="M310" s="1918"/>
      <c r="N310" s="1918"/>
      <c r="O310" s="1918"/>
      <c r="P310" s="1918"/>
      <c r="Q310" s="1918"/>
      <c r="R310" s="1964"/>
      <c r="S310" s="1964"/>
      <c r="AA310" s="2489">
        <v>310</v>
      </c>
    </row>
    <row r="311" spans="1:27">
      <c r="R311" s="1964"/>
      <c r="S311" s="1964"/>
      <c r="AA311" s="2489">
        <v>311</v>
      </c>
    </row>
    <row r="312" spans="1:27">
      <c r="R312" s="1964"/>
      <c r="S312" s="1964"/>
      <c r="AA312" s="2489">
        <v>312</v>
      </c>
    </row>
    <row r="313" spans="1:27">
      <c r="R313" s="1964"/>
      <c r="S313" s="1964"/>
      <c r="AA313" s="2489">
        <v>313</v>
      </c>
    </row>
    <row r="314" spans="1:27">
      <c r="R314" s="1964"/>
      <c r="S314" s="1964"/>
      <c r="AA314" s="2489">
        <v>314</v>
      </c>
    </row>
    <row r="315" spans="1:27">
      <c r="R315" s="1964"/>
      <c r="S315" s="1964"/>
      <c r="AA315" s="2489">
        <v>315</v>
      </c>
    </row>
    <row r="316" spans="1:27">
      <c r="R316" s="1964"/>
      <c r="S316" s="1964"/>
      <c r="AA316" s="2489">
        <v>316</v>
      </c>
    </row>
    <row r="317" spans="1:27">
      <c r="R317" s="1964"/>
      <c r="S317" s="1964"/>
      <c r="AA317" s="2489">
        <v>317</v>
      </c>
    </row>
    <row r="318" spans="1:27">
      <c r="R318" s="1964"/>
      <c r="S318" s="1964"/>
      <c r="AA318" s="2489">
        <v>318</v>
      </c>
    </row>
    <row r="319" spans="1:27">
      <c r="R319" s="1964"/>
      <c r="S319" s="1964"/>
      <c r="AA319" s="2489">
        <v>319</v>
      </c>
    </row>
    <row r="320" spans="1:27">
      <c r="R320" s="1964"/>
      <c r="S320" s="1964"/>
      <c r="AA320" s="2489">
        <v>320</v>
      </c>
    </row>
    <row r="321" spans="18:27">
      <c r="R321" s="1964"/>
      <c r="S321" s="1964"/>
      <c r="AA321" s="2490">
        <v>321</v>
      </c>
    </row>
    <row r="322" spans="18:27">
      <c r="R322" s="1964"/>
      <c r="S322" s="1964"/>
      <c r="AA322" s="2489">
        <v>322</v>
      </c>
    </row>
    <row r="323" spans="18:27">
      <c r="R323" s="1964"/>
      <c r="S323" s="1964"/>
      <c r="AA323" s="2489">
        <v>323</v>
      </c>
    </row>
    <row r="324" spans="18:27">
      <c r="R324" s="1964"/>
      <c r="S324" s="1964"/>
      <c r="AA324" s="2489">
        <v>324</v>
      </c>
    </row>
    <row r="325" spans="18:27">
      <c r="R325" s="1964"/>
      <c r="S325" s="1964"/>
      <c r="AA325" s="2489">
        <v>325</v>
      </c>
    </row>
    <row r="326" spans="18:27">
      <c r="R326" s="1964"/>
      <c r="S326" s="1964"/>
      <c r="AA326" s="2489">
        <v>326</v>
      </c>
    </row>
    <row r="327" spans="18:27">
      <c r="R327" s="1964"/>
      <c r="S327" s="1964"/>
      <c r="AA327" s="2489">
        <v>327</v>
      </c>
    </row>
    <row r="328" spans="18:27">
      <c r="R328" s="1964"/>
      <c r="S328" s="1964"/>
      <c r="AA328" s="2489">
        <v>328</v>
      </c>
    </row>
    <row r="329" spans="18:27">
      <c r="R329" s="1964"/>
      <c r="S329" s="1964"/>
      <c r="AA329" s="2489">
        <v>329</v>
      </c>
    </row>
    <row r="330" spans="18:27">
      <c r="R330" s="1964"/>
      <c r="S330" s="1964"/>
      <c r="AA330" s="2490">
        <v>330</v>
      </c>
    </row>
    <row r="331" spans="18:27">
      <c r="R331" s="1964"/>
      <c r="S331" s="1964"/>
      <c r="AA331" s="2489">
        <v>331</v>
      </c>
    </row>
    <row r="332" spans="18:27">
      <c r="R332" s="1964"/>
      <c r="S332" s="1964"/>
      <c r="AA332" s="2489">
        <v>332</v>
      </c>
    </row>
    <row r="333" spans="18:27">
      <c r="R333" s="1964"/>
      <c r="S333" s="1964"/>
      <c r="AA333" s="2489">
        <v>333</v>
      </c>
    </row>
    <row r="334" spans="18:27">
      <c r="R334" s="1964"/>
      <c r="S334" s="1964"/>
      <c r="AA334" s="2489">
        <v>334</v>
      </c>
    </row>
    <row r="335" spans="18:27">
      <c r="R335" s="1964"/>
      <c r="S335" s="1964"/>
      <c r="AA335" s="2489">
        <v>335</v>
      </c>
    </row>
    <row r="336" spans="18:27">
      <c r="R336" s="1964"/>
      <c r="S336" s="1964"/>
      <c r="AA336" s="2489">
        <v>336</v>
      </c>
    </row>
    <row r="337" spans="18:27">
      <c r="R337" s="1964"/>
      <c r="S337" s="1964"/>
      <c r="AA337" s="2489">
        <v>337</v>
      </c>
    </row>
    <row r="338" spans="18:27">
      <c r="R338" s="1964"/>
      <c r="S338" s="1964"/>
      <c r="AA338" s="2489">
        <v>338</v>
      </c>
    </row>
    <row r="339" spans="18:27">
      <c r="R339" s="1964"/>
      <c r="S339" s="1964"/>
    </row>
    <row r="340" spans="18:27">
      <c r="R340" s="1964"/>
      <c r="S340" s="1964"/>
    </row>
    <row r="341" spans="18:27">
      <c r="R341" s="1964"/>
      <c r="S341" s="1964"/>
    </row>
    <row r="342" spans="18:27">
      <c r="R342" s="1964"/>
      <c r="S342" s="1964"/>
    </row>
    <row r="343" spans="18:27">
      <c r="R343" s="1964"/>
      <c r="S343" s="1964"/>
    </row>
    <row r="344" spans="18:27">
      <c r="R344" s="1964"/>
      <c r="S344" s="1964"/>
    </row>
    <row r="345" spans="18:27">
      <c r="R345" s="1964"/>
      <c r="S345" s="1964"/>
    </row>
    <row r="346" spans="18:27">
      <c r="R346" s="1964"/>
      <c r="S346" s="1964"/>
    </row>
    <row r="347" spans="18:27">
      <c r="R347" s="1964"/>
      <c r="S347" s="1964"/>
    </row>
    <row r="348" spans="18:27">
      <c r="R348" s="1964"/>
      <c r="S348" s="1964"/>
    </row>
    <row r="349" spans="18:27">
      <c r="R349" s="1964"/>
      <c r="S349" s="1964"/>
    </row>
    <row r="350" spans="18:27">
      <c r="R350" s="1964"/>
      <c r="S350" s="1964"/>
    </row>
    <row r="351" spans="18:27">
      <c r="R351" s="1964"/>
      <c r="S351" s="1964"/>
    </row>
    <row r="352" spans="18:27">
      <c r="R352" s="1964"/>
      <c r="S352" s="1964"/>
    </row>
    <row r="353" spans="18:19">
      <c r="R353" s="1964"/>
      <c r="S353" s="1964"/>
    </row>
    <row r="354" spans="18:19">
      <c r="R354" s="1964"/>
      <c r="S354" s="1964"/>
    </row>
    <row r="355" spans="18:19">
      <c r="R355" s="1964"/>
      <c r="S355" s="1964"/>
    </row>
    <row r="356" spans="18:19">
      <c r="R356" s="1964"/>
      <c r="S356" s="1964"/>
    </row>
    <row r="357" spans="18:19">
      <c r="R357" s="1964"/>
      <c r="S357" s="1964"/>
    </row>
    <row r="358" spans="18:19">
      <c r="R358" s="1964"/>
      <c r="S358" s="1964"/>
    </row>
    <row r="359" spans="18:19">
      <c r="R359" s="1964"/>
      <c r="S359" s="1964"/>
    </row>
    <row r="360" spans="18:19">
      <c r="R360" s="1964"/>
      <c r="S360" s="1964"/>
    </row>
    <row r="361" spans="18:19">
      <c r="R361" s="1964"/>
      <c r="S361" s="1964"/>
    </row>
    <row r="362" spans="18:19">
      <c r="R362" s="1964"/>
      <c r="S362" s="1964"/>
    </row>
    <row r="363" spans="18:19">
      <c r="R363" s="1964"/>
      <c r="S363" s="1964"/>
    </row>
    <row r="364" spans="18:19">
      <c r="R364" s="1964"/>
      <c r="S364" s="1964"/>
    </row>
    <row r="365" spans="18:19">
      <c r="R365" s="1964"/>
      <c r="S365" s="1964"/>
    </row>
    <row r="366" spans="18:19">
      <c r="R366" s="1964"/>
      <c r="S366" s="1964"/>
    </row>
    <row r="367" spans="18:19">
      <c r="R367" s="1964"/>
      <c r="S367" s="1964"/>
    </row>
    <row r="368" spans="18:19">
      <c r="R368" s="1964"/>
      <c r="S368" s="1964"/>
    </row>
    <row r="369" spans="1:20">
      <c r="R369" s="1964"/>
      <c r="S369" s="1964"/>
    </row>
    <row r="370" spans="1:20">
      <c r="R370" s="1964"/>
      <c r="S370" s="1964"/>
    </row>
    <row r="371" spans="1:20">
      <c r="R371" s="1964"/>
      <c r="S371" s="1964"/>
    </row>
    <row r="372" spans="1:20">
      <c r="R372" s="1964"/>
      <c r="S372" s="1964"/>
    </row>
    <row r="373" spans="1:20">
      <c r="R373" s="1964"/>
      <c r="S373" s="1964"/>
    </row>
    <row r="374" spans="1:20">
      <c r="R374" s="1964"/>
      <c r="S374" s="1964"/>
    </row>
    <row r="375" spans="1:20">
      <c r="R375" s="1964"/>
      <c r="S375" s="1964"/>
    </row>
    <row r="376" spans="1:20">
      <c r="R376" s="1964"/>
      <c r="S376" s="1964"/>
    </row>
    <row r="377" spans="1:20">
      <c r="R377" s="1964"/>
      <c r="S377" s="1964"/>
    </row>
    <row r="378" spans="1:20">
      <c r="R378" s="1964"/>
      <c r="S378" s="1964"/>
    </row>
    <row r="379" spans="1:20">
      <c r="R379" s="1964"/>
      <c r="S379" s="1964"/>
    </row>
    <row r="380" spans="1:20">
      <c r="A380" s="2414"/>
      <c r="B380" s="2414"/>
      <c r="C380" s="2414"/>
      <c r="D380" s="2414"/>
      <c r="E380" s="2414"/>
      <c r="F380" s="2414"/>
      <c r="G380" s="2414"/>
      <c r="H380" s="2414"/>
      <c r="I380" s="2414"/>
      <c r="J380" s="2414"/>
      <c r="K380" s="2414"/>
      <c r="L380" s="2414"/>
      <c r="M380" s="2414"/>
      <c r="N380" s="2414"/>
      <c r="O380" s="2414"/>
      <c r="P380" s="2414"/>
      <c r="Q380" s="2414"/>
      <c r="R380" s="1964"/>
      <c r="S380" s="1964"/>
    </row>
    <row r="381" spans="1:20">
      <c r="A381" s="2414"/>
      <c r="B381" s="2414"/>
      <c r="C381" s="2414"/>
      <c r="D381" s="2414"/>
      <c r="E381" s="2414"/>
      <c r="F381" s="2414"/>
      <c r="G381" s="2414"/>
      <c r="H381" s="2414"/>
      <c r="I381" s="2414"/>
      <c r="J381" s="2414"/>
      <c r="K381" s="2414"/>
      <c r="L381" s="2414"/>
      <c r="M381" s="2414"/>
      <c r="N381" s="2414"/>
      <c r="O381" s="2414"/>
      <c r="P381" s="2414"/>
      <c r="Q381" s="2414"/>
      <c r="R381" s="1964"/>
      <c r="S381" s="1964"/>
    </row>
    <row r="382" spans="1:20">
      <c r="A382" s="2414"/>
      <c r="B382" s="2414"/>
      <c r="C382" s="2414"/>
      <c r="D382" s="2414"/>
      <c r="E382" s="2414"/>
      <c r="F382" s="2414"/>
      <c r="G382" s="2414"/>
      <c r="H382" s="2414"/>
      <c r="I382" s="2414"/>
      <c r="J382" s="2414" t="s">
        <v>949</v>
      </c>
      <c r="K382" s="2414"/>
      <c r="L382" s="2414"/>
      <c r="M382" s="2414"/>
      <c r="N382" s="2414"/>
      <c r="O382" s="2414" t="s">
        <v>1641</v>
      </c>
      <c r="P382" s="2414"/>
      <c r="Q382" s="2414"/>
      <c r="R382" s="1964"/>
      <c r="S382" s="1964"/>
    </row>
    <row r="383" spans="1:20" ht="20.25" customHeight="1">
      <c r="A383" s="2414"/>
      <c r="B383" s="2414"/>
      <c r="C383" s="2414" t="s">
        <v>1641</v>
      </c>
      <c r="D383" s="2414"/>
      <c r="E383" s="2414"/>
      <c r="F383" s="2414"/>
      <c r="G383" s="2414"/>
      <c r="H383" s="2414"/>
      <c r="I383" s="2414"/>
      <c r="J383" s="2415" t="s">
        <v>1542</v>
      </c>
      <c r="K383" s="2414"/>
      <c r="L383" s="2414"/>
      <c r="M383" s="2414"/>
      <c r="N383" s="2416"/>
      <c r="O383" s="2415" t="s">
        <v>3914</v>
      </c>
      <c r="P383" s="2417"/>
      <c r="Q383" s="2414"/>
      <c r="R383" s="1964"/>
      <c r="S383" s="1964"/>
      <c r="T383" s="1964"/>
    </row>
    <row r="384" spans="1:20" ht="20.25" customHeight="1">
      <c r="A384" s="2414"/>
      <c r="B384" s="2414"/>
      <c r="C384" s="2415" t="s">
        <v>1310</v>
      </c>
      <c r="D384" s="2414"/>
      <c r="E384" s="2414"/>
      <c r="F384" s="2414"/>
      <c r="G384" s="2414"/>
      <c r="H384" s="2414"/>
      <c r="I384" s="2414"/>
      <c r="J384" s="2415" t="s">
        <v>1948</v>
      </c>
      <c r="K384" s="2414"/>
      <c r="L384" s="2414"/>
      <c r="M384" s="2414"/>
      <c r="N384" s="2416"/>
      <c r="O384" s="2415" t="s">
        <v>3915</v>
      </c>
      <c r="P384" s="2417"/>
      <c r="Q384" s="2414"/>
      <c r="R384" s="1964"/>
      <c r="S384" s="1964"/>
      <c r="T384" s="1964"/>
    </row>
    <row r="385" spans="1:20" ht="20.25" customHeight="1">
      <c r="A385" s="2414"/>
      <c r="B385" s="2414"/>
      <c r="C385" s="2415" t="s">
        <v>1311</v>
      </c>
      <c r="D385" s="2414"/>
      <c r="E385" s="2414"/>
      <c r="F385" s="2414"/>
      <c r="G385" s="2414"/>
      <c r="H385" s="2414"/>
      <c r="I385" s="2414"/>
      <c r="J385" s="2415" t="s">
        <v>1535</v>
      </c>
      <c r="K385" s="2414"/>
      <c r="L385" s="2414"/>
      <c r="M385" s="2414"/>
      <c r="N385" s="2416"/>
      <c r="O385" s="2415" t="s">
        <v>3916</v>
      </c>
      <c r="P385" s="2417"/>
      <c r="Q385" s="2414"/>
      <c r="R385" s="1964"/>
      <c r="S385" s="1964"/>
      <c r="T385" s="1964"/>
    </row>
    <row r="386" spans="1:20" ht="20.25" customHeight="1">
      <c r="A386" s="2414"/>
      <c r="B386" s="2414"/>
      <c r="C386" s="2415" t="s">
        <v>1975</v>
      </c>
      <c r="D386" s="2414"/>
      <c r="E386" s="2414"/>
      <c r="F386" s="2414"/>
      <c r="G386" s="2414"/>
      <c r="H386" s="2414"/>
      <c r="I386" s="2414"/>
      <c r="J386" s="2415" t="s">
        <v>1119</v>
      </c>
      <c r="K386" s="2414"/>
      <c r="L386" s="2414"/>
      <c r="M386" s="2414"/>
      <c r="N386" s="2416"/>
      <c r="O386" s="2415" t="s">
        <v>3920</v>
      </c>
      <c r="P386" s="2417"/>
      <c r="Q386" s="2414"/>
      <c r="R386" s="1964"/>
      <c r="S386" s="1964"/>
      <c r="T386" s="1964"/>
    </row>
    <row r="387" spans="1:20" ht="20.25" customHeight="1">
      <c r="A387" s="2414"/>
      <c r="B387" s="2414"/>
      <c r="C387" s="2415" t="s">
        <v>1307</v>
      </c>
      <c r="D387" s="2414"/>
      <c r="E387" s="2414"/>
      <c r="F387" s="2414"/>
      <c r="G387" s="2414"/>
      <c r="H387" s="2414"/>
      <c r="I387" s="2414"/>
      <c r="J387" s="2415" t="s">
        <v>548</v>
      </c>
      <c r="K387" s="2414"/>
      <c r="L387" s="2414"/>
      <c r="M387" s="2414"/>
      <c r="N387" s="2416"/>
      <c r="O387" s="2415" t="s">
        <v>3917</v>
      </c>
      <c r="P387" s="2417"/>
      <c r="Q387" s="2414"/>
      <c r="R387" s="1964"/>
      <c r="S387" s="1964"/>
      <c r="T387" s="1964"/>
    </row>
    <row r="388" spans="1:20" ht="20.25" customHeight="1">
      <c r="A388" s="2414"/>
      <c r="B388" s="2414"/>
      <c r="C388" s="2415" t="s">
        <v>1308</v>
      </c>
      <c r="D388" s="2414"/>
      <c r="E388" s="2414"/>
      <c r="F388" s="2414"/>
      <c r="G388" s="2414"/>
      <c r="H388" s="2414"/>
      <c r="I388" s="2414"/>
      <c r="J388" s="2415" t="s">
        <v>1541</v>
      </c>
      <c r="K388" s="2414"/>
      <c r="L388" s="2414"/>
      <c r="M388" s="2414"/>
      <c r="N388" s="2416"/>
      <c r="O388" s="2415" t="s">
        <v>3918</v>
      </c>
      <c r="P388" s="2417"/>
      <c r="Q388" s="2414"/>
      <c r="R388" s="1964"/>
      <c r="S388" s="1964"/>
      <c r="T388" s="1964"/>
    </row>
    <row r="389" spans="1:20" ht="20.25" customHeight="1">
      <c r="A389" s="2414"/>
      <c r="B389" s="2414"/>
      <c r="C389" s="2415" t="s">
        <v>1970</v>
      </c>
      <c r="D389" s="2414"/>
      <c r="E389" s="2414"/>
      <c r="F389" s="2414"/>
      <c r="G389" s="2414"/>
      <c r="H389" s="2414"/>
      <c r="I389" s="2414"/>
      <c r="J389" s="2415" t="s">
        <v>1116</v>
      </c>
      <c r="K389" s="2414"/>
      <c r="L389" s="2414"/>
      <c r="M389" s="2414"/>
      <c r="N389" s="2416"/>
      <c r="O389" s="2415" t="s">
        <v>3919</v>
      </c>
      <c r="P389" s="2417"/>
      <c r="Q389" s="2414"/>
      <c r="R389" s="1964"/>
      <c r="S389" s="1964"/>
      <c r="T389" s="1964"/>
    </row>
    <row r="390" spans="1:20" ht="20.25" customHeight="1">
      <c r="A390" s="2414"/>
      <c r="B390" s="2414"/>
      <c r="C390" s="2415" t="s">
        <v>1971</v>
      </c>
      <c r="D390" s="2414"/>
      <c r="E390" s="2414"/>
      <c r="F390" s="2414"/>
      <c r="G390" s="2414"/>
      <c r="H390" s="2414"/>
      <c r="I390" s="2414"/>
      <c r="J390" s="2415" t="s">
        <v>1115</v>
      </c>
      <c r="K390" s="2414"/>
      <c r="L390" s="2414"/>
      <c r="M390" s="2414"/>
      <c r="N390" s="2416"/>
      <c r="O390" s="2414" t="s">
        <v>3194</v>
      </c>
      <c r="P390" s="2417"/>
      <c r="Q390" s="2414"/>
      <c r="R390" s="1964"/>
      <c r="S390" s="1964"/>
      <c r="T390" s="1964"/>
    </row>
    <row r="391" spans="1:20" ht="20.25" customHeight="1">
      <c r="A391" s="2414"/>
      <c r="B391" s="2414"/>
      <c r="C391" s="2415" t="s">
        <v>1972</v>
      </c>
      <c r="D391" s="2414"/>
      <c r="E391" s="2414"/>
      <c r="F391" s="2414"/>
      <c r="G391" s="2414"/>
      <c r="H391" s="2414"/>
      <c r="I391" s="2414"/>
      <c r="J391" s="2415" t="s">
        <v>1601</v>
      </c>
      <c r="K391" s="2414"/>
      <c r="L391" s="2414"/>
      <c r="M391" s="2414"/>
      <c r="N391" s="2416"/>
      <c r="O391" s="2414" t="s">
        <v>3195</v>
      </c>
      <c r="P391" s="2417"/>
      <c r="Q391" s="2414"/>
      <c r="R391" s="1964"/>
      <c r="S391" s="1964"/>
      <c r="T391" s="1964"/>
    </row>
    <row r="392" spans="1:20" ht="20.25" customHeight="1">
      <c r="A392" s="2414"/>
      <c r="B392" s="2414"/>
      <c r="C392" s="2415" t="s">
        <v>1973</v>
      </c>
      <c r="D392" s="2414"/>
      <c r="E392" s="2414"/>
      <c r="F392" s="2414"/>
      <c r="G392" s="2414"/>
      <c r="H392" s="2414"/>
      <c r="I392" s="2414"/>
      <c r="J392" s="2415" t="s">
        <v>1544</v>
      </c>
      <c r="K392" s="2414"/>
      <c r="L392" s="2414"/>
      <c r="M392" s="2414"/>
      <c r="N392" s="2416"/>
      <c r="O392" s="2415"/>
      <c r="P392" s="2417"/>
      <c r="Q392" s="2414"/>
      <c r="R392" s="1964"/>
      <c r="S392" s="1964"/>
      <c r="T392" s="1964"/>
    </row>
    <row r="393" spans="1:20" ht="20.25" customHeight="1">
      <c r="A393" s="2414"/>
      <c r="B393" s="2414"/>
      <c r="C393" s="2415" t="s">
        <v>1974</v>
      </c>
      <c r="D393" s="2414"/>
      <c r="E393" s="2414"/>
      <c r="F393" s="2414"/>
      <c r="G393" s="2414"/>
      <c r="H393" s="2414"/>
      <c r="I393" s="2414"/>
      <c r="J393" s="2415" t="s">
        <v>1536</v>
      </c>
      <c r="K393" s="2414"/>
      <c r="L393" s="2414"/>
      <c r="M393" s="2414"/>
      <c r="N393" s="2416"/>
      <c r="O393" s="2414" t="s">
        <v>1641</v>
      </c>
      <c r="P393" s="2417"/>
      <c r="Q393" s="2414"/>
      <c r="R393" s="1964"/>
      <c r="S393" s="1964"/>
      <c r="T393" s="1964"/>
    </row>
    <row r="394" spans="1:20" ht="20.25" customHeight="1">
      <c r="A394" s="2414"/>
      <c r="B394" s="2414"/>
      <c r="C394" s="2415" t="s">
        <v>1309</v>
      </c>
      <c r="D394" s="2414"/>
      <c r="E394" s="2414"/>
      <c r="F394" s="2414"/>
      <c r="G394" s="2414"/>
      <c r="H394" s="2414"/>
      <c r="I394" s="2414"/>
      <c r="J394" s="2415" t="s">
        <v>1947</v>
      </c>
      <c r="K394" s="2414"/>
      <c r="L394" s="2414"/>
      <c r="M394" s="2414"/>
      <c r="N394" s="2416"/>
      <c r="O394" s="2415" t="s">
        <v>4994</v>
      </c>
      <c r="P394" s="2417"/>
      <c r="Q394" s="2414"/>
      <c r="R394" s="1964"/>
      <c r="S394" s="1964"/>
      <c r="T394" s="1964"/>
    </row>
    <row r="395" spans="1:20" ht="20.25" customHeight="1">
      <c r="A395" s="2414"/>
      <c r="B395" s="2414"/>
      <c r="C395" s="2415" t="s">
        <v>2103</v>
      </c>
      <c r="D395" s="2414"/>
      <c r="E395" s="2414"/>
      <c r="F395" s="2414"/>
      <c r="G395" s="2414"/>
      <c r="H395" s="2414"/>
      <c r="I395" s="2414"/>
      <c r="J395" s="2414"/>
      <c r="K395" s="2414"/>
      <c r="L395" s="2414"/>
      <c r="M395" s="2414"/>
      <c r="N395" s="2416"/>
      <c r="O395" s="2415" t="s">
        <v>4995</v>
      </c>
      <c r="P395" s="2417"/>
      <c r="Q395" s="2414"/>
      <c r="R395" s="1964"/>
      <c r="S395" s="1964"/>
      <c r="T395" s="1964"/>
    </row>
    <row r="396" spans="1:20" ht="20.25" customHeight="1">
      <c r="A396" s="2414"/>
      <c r="B396" s="2414"/>
      <c r="C396" s="2414"/>
      <c r="D396" s="2414"/>
      <c r="E396" s="2414"/>
      <c r="F396" s="2414"/>
      <c r="G396" s="2414"/>
      <c r="H396" s="2414"/>
      <c r="I396" s="2414"/>
      <c r="J396" s="2414"/>
      <c r="K396" s="2414"/>
      <c r="L396" s="2414"/>
      <c r="M396" s="2414"/>
      <c r="N396" s="2416"/>
      <c r="O396" s="2415" t="s">
        <v>4996</v>
      </c>
      <c r="P396" s="2417"/>
      <c r="Q396" s="2414"/>
      <c r="R396" s="1964"/>
      <c r="S396" s="1964"/>
      <c r="T396" s="1964"/>
    </row>
    <row r="397" spans="1:20" ht="20.25" customHeight="1">
      <c r="A397" s="2414"/>
      <c r="B397" s="2414"/>
      <c r="C397" s="2414"/>
      <c r="D397" s="2414"/>
      <c r="E397" s="2414"/>
      <c r="F397" s="2414"/>
      <c r="G397" s="2414"/>
      <c r="H397" s="2414"/>
      <c r="I397" s="2414"/>
      <c r="J397" s="2414"/>
      <c r="K397" s="2414"/>
      <c r="L397" s="2414"/>
      <c r="M397" s="2414"/>
      <c r="N397" s="2414"/>
      <c r="O397" s="2415" t="s">
        <v>4997</v>
      </c>
      <c r="P397" s="2414"/>
      <c r="Q397" s="2414"/>
      <c r="R397" s="1964"/>
      <c r="S397" s="1964"/>
      <c r="T397" s="1964"/>
    </row>
    <row r="398" spans="1:20" ht="20.25" customHeight="1">
      <c r="A398" s="2414"/>
      <c r="B398" s="2414"/>
      <c r="C398" s="2418" t="s">
        <v>1659</v>
      </c>
      <c r="D398" s="2414"/>
      <c r="E398" s="2414"/>
      <c r="F398" s="2414"/>
      <c r="G398" s="2414"/>
      <c r="H398" s="2414"/>
      <c r="I398" s="2414"/>
      <c r="J398" s="2414"/>
      <c r="K398" s="2414"/>
      <c r="L398" s="2414"/>
      <c r="M398" s="2414"/>
      <c r="N398" s="2414"/>
      <c r="O398" s="2414"/>
      <c r="P398" s="2414"/>
      <c r="Q398" s="2414"/>
      <c r="R398" s="1964"/>
      <c r="S398" s="1964"/>
      <c r="T398" s="1964"/>
    </row>
    <row r="399" spans="1:20" ht="20.25" customHeight="1">
      <c r="A399" s="2414"/>
      <c r="B399" s="2414"/>
      <c r="C399" s="2414" t="s">
        <v>868</v>
      </c>
      <c r="D399" s="2414"/>
      <c r="E399" s="2414"/>
      <c r="F399" s="2414"/>
      <c r="G399" s="2414"/>
      <c r="H399" s="2414"/>
      <c r="I399" s="2414"/>
      <c r="J399" s="2414"/>
      <c r="K399" s="2414"/>
      <c r="L399" s="2414"/>
      <c r="M399" s="2414"/>
      <c r="N399" s="2414"/>
      <c r="O399" s="2414"/>
      <c r="P399" s="2414"/>
      <c r="Q399" s="2414"/>
      <c r="R399" s="1964"/>
      <c r="S399" s="1964"/>
      <c r="T399" s="1964"/>
    </row>
    <row r="400" spans="1:20" ht="20.25" customHeight="1">
      <c r="A400" s="2414"/>
      <c r="B400" s="2414"/>
      <c r="C400" s="2415" t="s">
        <v>1520</v>
      </c>
      <c r="D400" s="2414"/>
      <c r="E400" s="2414"/>
      <c r="F400" s="2414"/>
      <c r="G400" s="2414"/>
      <c r="H400" s="2414"/>
      <c r="I400" s="2414"/>
      <c r="J400" s="2414"/>
      <c r="K400" s="2414"/>
      <c r="L400" s="2414"/>
      <c r="M400" s="2414"/>
      <c r="N400" s="2414"/>
      <c r="O400" s="2414"/>
      <c r="P400" s="2414"/>
      <c r="Q400" s="2414"/>
      <c r="R400" s="1964"/>
      <c r="S400" s="1964"/>
      <c r="T400" s="1964"/>
    </row>
    <row r="401" spans="1:20" ht="20.25" customHeight="1">
      <c r="A401" s="2414"/>
      <c r="B401" s="2414"/>
      <c r="C401" s="2415" t="s">
        <v>671</v>
      </c>
      <c r="D401" s="2414"/>
      <c r="E401" s="2414"/>
      <c r="F401" s="2414"/>
      <c r="G401" s="2414"/>
      <c r="H401" s="2414"/>
      <c r="I401" s="2414"/>
      <c r="J401" s="2414"/>
      <c r="K401" s="2414"/>
      <c r="L401" s="2415"/>
      <c r="M401" s="2414"/>
      <c r="N401" s="2414"/>
      <c r="O401" s="2414"/>
      <c r="P401" s="2414"/>
      <c r="Q401" s="2414"/>
      <c r="R401" s="1964"/>
      <c r="S401" s="1964"/>
      <c r="T401" s="1964"/>
    </row>
    <row r="402" spans="1:20" ht="20.25" customHeight="1">
      <c r="A402" s="2414"/>
      <c r="B402" s="2414"/>
      <c r="C402" s="2415" t="s">
        <v>672</v>
      </c>
      <c r="D402" s="2414"/>
      <c r="E402" s="2414"/>
      <c r="F402" s="2414"/>
      <c r="G402" s="2414"/>
      <c r="H402" s="2414"/>
      <c r="I402" s="2414"/>
      <c r="J402" s="2414"/>
      <c r="K402" s="2414"/>
      <c r="L402" s="2415"/>
      <c r="M402" s="2414"/>
      <c r="N402" s="2414"/>
      <c r="O402" s="2414"/>
      <c r="P402" s="2414"/>
      <c r="Q402" s="2414"/>
      <c r="R402" s="1964"/>
      <c r="S402" s="1964"/>
      <c r="T402" s="1964"/>
    </row>
    <row r="403" spans="1:20" ht="20.25" customHeight="1">
      <c r="A403" s="2414"/>
      <c r="B403" s="2414"/>
      <c r="C403" s="2415" t="s">
        <v>1996</v>
      </c>
      <c r="D403" s="2414"/>
      <c r="E403" s="2414"/>
      <c r="F403" s="2414"/>
      <c r="G403" s="2414"/>
      <c r="H403" s="2414"/>
      <c r="I403" s="2414"/>
      <c r="J403" s="2414"/>
      <c r="K403" s="2414"/>
      <c r="L403" s="2415"/>
      <c r="M403" s="2414"/>
      <c r="N403" s="2414"/>
      <c r="O403" s="2414"/>
      <c r="P403" s="2414"/>
      <c r="Q403" s="2414"/>
      <c r="R403" s="1964"/>
      <c r="S403" s="1964"/>
      <c r="T403" s="1964"/>
    </row>
    <row r="404" spans="1:20" ht="20.25" customHeight="1">
      <c r="A404" s="2414"/>
      <c r="B404" s="2414"/>
      <c r="C404" s="2415" t="s">
        <v>120</v>
      </c>
      <c r="D404" s="2414"/>
      <c r="E404" s="2414"/>
      <c r="F404" s="2414"/>
      <c r="G404" s="2414"/>
      <c r="H404" s="2414"/>
      <c r="I404" s="2414"/>
      <c r="J404" s="2414"/>
      <c r="K404" s="2414"/>
      <c r="L404" s="2415"/>
      <c r="M404" s="2414"/>
      <c r="N404" s="2414"/>
      <c r="O404" s="2414"/>
      <c r="P404" s="2414"/>
      <c r="Q404" s="2414"/>
      <c r="R404" s="1964"/>
      <c r="S404" s="1964"/>
      <c r="T404" s="1964"/>
    </row>
    <row r="405" spans="1:20" ht="20.25" customHeight="1">
      <c r="A405" s="2414"/>
      <c r="B405" s="2414"/>
      <c r="C405" s="2414" t="s">
        <v>118</v>
      </c>
      <c r="D405" s="2414"/>
      <c r="E405" s="2414"/>
      <c r="F405" s="2414"/>
      <c r="G405" s="2414"/>
      <c r="H405" s="2414"/>
      <c r="I405" s="2414"/>
      <c r="J405" s="2414"/>
      <c r="K405" s="2414"/>
      <c r="L405" s="2415"/>
      <c r="M405" s="2414"/>
      <c r="N405" s="2414"/>
      <c r="O405" s="2414"/>
      <c r="P405" s="2414"/>
      <c r="Q405" s="2414"/>
      <c r="R405" s="1964"/>
      <c r="S405" s="1964"/>
      <c r="T405" s="1964"/>
    </row>
    <row r="406" spans="1:20" ht="20.25" customHeight="1">
      <c r="A406" s="2414"/>
      <c r="B406" s="2414"/>
      <c r="C406" s="2414" t="s">
        <v>1736</v>
      </c>
      <c r="D406" s="2414"/>
      <c r="E406" s="2414"/>
      <c r="F406" s="2414"/>
      <c r="G406" s="2414"/>
      <c r="H406" s="2414"/>
      <c r="I406" s="2414"/>
      <c r="J406" s="2414"/>
      <c r="K406" s="2414"/>
      <c r="L406" s="2414"/>
      <c r="M406" s="2414"/>
      <c r="N406" s="2414"/>
      <c r="O406" s="2414"/>
      <c r="P406" s="2414"/>
      <c r="Q406" s="2414"/>
      <c r="R406" s="1964"/>
      <c r="S406" s="1964"/>
      <c r="T406" s="1964"/>
    </row>
    <row r="407" spans="1:20" ht="20.25" customHeight="1">
      <c r="A407" s="2414"/>
      <c r="B407" s="2414"/>
      <c r="C407" s="2415" t="s">
        <v>887</v>
      </c>
      <c r="D407" s="2414"/>
      <c r="E407" s="2414"/>
      <c r="F407" s="2414"/>
      <c r="G407" s="2414"/>
      <c r="H407" s="2414"/>
      <c r="I407" s="2414"/>
      <c r="J407" s="2414"/>
      <c r="K407" s="2414"/>
      <c r="L407" s="2415"/>
      <c r="M407" s="2414"/>
      <c r="N407" s="2414"/>
      <c r="O407" s="2414"/>
      <c r="P407" s="2414"/>
      <c r="Q407" s="2414"/>
      <c r="R407" s="1964"/>
      <c r="S407" s="1964"/>
      <c r="T407" s="1964"/>
    </row>
    <row r="408" spans="1:20" ht="20.25" customHeight="1">
      <c r="A408" s="2414"/>
      <c r="B408" s="2414"/>
      <c r="C408" s="2414" t="s">
        <v>119</v>
      </c>
      <c r="D408" s="2414"/>
      <c r="E408" s="2414"/>
      <c r="F408" s="2414"/>
      <c r="G408" s="2414"/>
      <c r="H408" s="2414"/>
      <c r="I408" s="2414"/>
      <c r="J408" s="2414"/>
      <c r="K408" s="2414"/>
      <c r="L408" s="2415"/>
      <c r="M408" s="2414"/>
      <c r="N408" s="2414"/>
      <c r="O408" s="2414"/>
      <c r="P408" s="2414"/>
      <c r="Q408" s="2414"/>
      <c r="R408" s="1964"/>
      <c r="S408" s="1964"/>
      <c r="T408" s="1964"/>
    </row>
    <row r="409" spans="1:20" ht="20.25" customHeight="1">
      <c r="A409" s="2414"/>
      <c r="B409" s="2414"/>
      <c r="C409" s="2414" t="s">
        <v>120</v>
      </c>
      <c r="D409" s="2414"/>
      <c r="E409" s="2414"/>
      <c r="F409" s="2414"/>
      <c r="G409" s="2414"/>
      <c r="H409" s="2414"/>
      <c r="I409" s="2414"/>
      <c r="J409" s="2414"/>
      <c r="K409" s="2414"/>
      <c r="L409" s="2415"/>
      <c r="M409" s="2414"/>
      <c r="N409" s="2414"/>
      <c r="O409" s="2414"/>
      <c r="P409" s="2414"/>
      <c r="Q409" s="2414"/>
      <c r="R409" s="1964"/>
      <c r="S409" s="1964"/>
      <c r="T409" s="1964"/>
    </row>
    <row r="410" spans="1:20" ht="20.25" customHeight="1">
      <c r="A410" s="2414"/>
      <c r="B410" s="2414"/>
      <c r="C410" s="2414" t="s">
        <v>121</v>
      </c>
      <c r="D410" s="2414"/>
      <c r="E410" s="2414"/>
      <c r="F410" s="2414"/>
      <c r="G410" s="2414"/>
      <c r="H410" s="2414"/>
      <c r="I410" s="2414"/>
      <c r="J410" s="2414"/>
      <c r="K410" s="2414"/>
      <c r="L410" s="2415"/>
      <c r="M410" s="2414"/>
      <c r="N410" s="2414"/>
      <c r="O410" s="2414"/>
      <c r="P410" s="2414"/>
      <c r="Q410" s="2414"/>
      <c r="R410" s="1964"/>
      <c r="S410" s="1964"/>
      <c r="T410" s="1964"/>
    </row>
    <row r="411" spans="1:20" ht="20.25" customHeight="1">
      <c r="A411" s="2414"/>
      <c r="B411" s="2414"/>
      <c r="C411" s="2414" t="s">
        <v>2432</v>
      </c>
      <c r="D411" s="2414"/>
      <c r="E411" s="2414"/>
      <c r="F411" s="2414"/>
      <c r="G411" s="2414"/>
      <c r="H411" s="2414"/>
      <c r="I411" s="2414"/>
      <c r="J411" s="2414"/>
      <c r="K411" s="2414"/>
      <c r="L411" s="2414"/>
      <c r="M411" s="2414"/>
      <c r="N411" s="2414"/>
      <c r="O411" s="2414"/>
      <c r="P411" s="2414"/>
      <c r="Q411" s="2414"/>
      <c r="R411" s="1964"/>
      <c r="S411" s="1964"/>
      <c r="T411" s="1964"/>
    </row>
    <row r="412" spans="1:20" ht="20.25" customHeight="1">
      <c r="A412" s="2414"/>
      <c r="B412" s="2414"/>
      <c r="C412" s="2415" t="s">
        <v>1860</v>
      </c>
      <c r="D412" s="2414"/>
      <c r="E412" s="2414"/>
      <c r="F412" s="2414"/>
      <c r="G412" s="2414"/>
      <c r="H412" s="2414"/>
      <c r="I412" s="2414"/>
      <c r="J412" s="2414"/>
      <c r="K412" s="2414"/>
      <c r="L412" s="2415"/>
      <c r="M412" s="2414"/>
      <c r="N412" s="2414"/>
      <c r="O412" s="2414"/>
      <c r="P412" s="2414"/>
      <c r="Q412" s="2414"/>
      <c r="R412" s="1964"/>
      <c r="S412" s="1964"/>
      <c r="T412" s="1964"/>
    </row>
    <row r="413" spans="1:20" ht="20.25" customHeight="1">
      <c r="A413" s="2414"/>
      <c r="B413" s="2414"/>
      <c r="C413" s="2414" t="s">
        <v>2433</v>
      </c>
      <c r="D413" s="2414"/>
      <c r="E413" s="2414"/>
      <c r="F413" s="2414"/>
      <c r="G413" s="2414"/>
      <c r="H413" s="2414"/>
      <c r="I413" s="2414"/>
      <c r="J413" s="2414"/>
      <c r="K413" s="2414"/>
      <c r="L413" s="2415"/>
      <c r="M413" s="2414"/>
      <c r="N413" s="2414"/>
      <c r="O413" s="2414"/>
      <c r="P413" s="2414"/>
      <c r="Q413" s="2414"/>
      <c r="R413" s="1964"/>
      <c r="S413" s="1964"/>
      <c r="T413" s="1964"/>
    </row>
    <row r="414" spans="1:20" ht="20.25" customHeight="1">
      <c r="A414" s="2414"/>
      <c r="B414" s="2414"/>
      <c r="C414" s="2414" t="s">
        <v>1302</v>
      </c>
      <c r="D414" s="2414"/>
      <c r="E414" s="2414"/>
      <c r="F414" s="2414"/>
      <c r="G414" s="2414"/>
      <c r="H414" s="2414"/>
      <c r="I414" s="2414"/>
      <c r="J414" s="2414"/>
      <c r="K414" s="2414"/>
      <c r="L414" s="2415"/>
      <c r="M414" s="2414"/>
      <c r="N414" s="2414"/>
      <c r="O414" s="2414"/>
      <c r="P414" s="2414"/>
      <c r="Q414" s="2414"/>
      <c r="R414" s="1964"/>
      <c r="S414" s="1964"/>
      <c r="T414" s="1964"/>
    </row>
    <row r="415" spans="1:20" ht="20.25" customHeight="1">
      <c r="A415" s="2414"/>
      <c r="B415" s="2414"/>
      <c r="C415" s="2414" t="s">
        <v>1483</v>
      </c>
      <c r="D415" s="2414"/>
      <c r="E415" s="2414"/>
      <c r="F415" s="2414"/>
      <c r="G415" s="2414"/>
      <c r="H415" s="2414"/>
      <c r="I415" s="2414"/>
      <c r="J415" s="2414"/>
      <c r="K415" s="2418" t="s">
        <v>433</v>
      </c>
      <c r="L415" s="2415"/>
      <c r="M415" s="2414"/>
      <c r="N415" s="2414"/>
      <c r="O415" s="2414"/>
      <c r="P415" s="2414"/>
      <c r="Q415" s="2414"/>
      <c r="R415" s="1964"/>
      <c r="S415" s="1964"/>
      <c r="T415" s="1964"/>
    </row>
    <row r="416" spans="1:20" ht="20.25" customHeight="1">
      <c r="A416" s="2414"/>
      <c r="B416" s="2414"/>
      <c r="C416" s="2414" t="s">
        <v>2434</v>
      </c>
      <c r="D416" s="2414"/>
      <c r="E416" s="2414"/>
      <c r="F416" s="2414"/>
      <c r="G416" s="2414"/>
      <c r="H416" s="2414"/>
      <c r="I416" s="2414"/>
      <c r="J416" s="2414"/>
      <c r="K416" s="2414" t="s">
        <v>1017</v>
      </c>
      <c r="L416" s="2415"/>
      <c r="M416" s="2414"/>
      <c r="N416" s="2414"/>
      <c r="O416" s="2414"/>
      <c r="P416" s="2414"/>
      <c r="Q416" s="2414"/>
      <c r="R416" s="1964"/>
      <c r="S416" s="1964"/>
      <c r="T416" s="1964"/>
    </row>
    <row r="417" spans="1:28" ht="20.25" customHeight="1">
      <c r="A417" s="2414"/>
      <c r="B417" s="2414"/>
      <c r="C417" s="2414" t="s">
        <v>2435</v>
      </c>
      <c r="D417" s="2414"/>
      <c r="E417" s="2414"/>
      <c r="F417" s="2414"/>
      <c r="G417" s="2414"/>
      <c r="H417" s="2414"/>
      <c r="I417" s="2414"/>
      <c r="J417" s="2414"/>
      <c r="K417" s="2414" t="s">
        <v>4978</v>
      </c>
      <c r="L417" s="2414"/>
      <c r="M417" s="2414"/>
      <c r="N417" s="2414"/>
      <c r="O417" s="2414"/>
      <c r="P417" s="2414"/>
      <c r="Q417" s="2414"/>
      <c r="R417" s="1964"/>
      <c r="S417" s="1964"/>
      <c r="T417" s="1964"/>
    </row>
    <row r="418" spans="1:28" ht="20.25" customHeight="1">
      <c r="A418" s="2414"/>
      <c r="B418" s="2414"/>
      <c r="C418" s="2415" t="s">
        <v>1129</v>
      </c>
      <c r="D418" s="2414"/>
      <c r="E418" s="2414"/>
      <c r="F418" s="2414"/>
      <c r="G418" s="2414"/>
      <c r="H418" s="2414"/>
      <c r="I418" s="2414"/>
      <c r="J418" s="2414"/>
      <c r="K418" s="2414" t="s">
        <v>4095</v>
      </c>
      <c r="L418" s="2414"/>
      <c r="M418" s="2414"/>
      <c r="N418" s="2414"/>
      <c r="O418" s="2414"/>
      <c r="P418" s="2414"/>
      <c r="Q418" s="2414"/>
      <c r="R418" s="1964"/>
      <c r="S418" s="1964"/>
      <c r="T418" s="1964"/>
    </row>
    <row r="419" spans="1:28" ht="20.25" customHeight="1">
      <c r="A419" s="2414"/>
      <c r="B419" s="2414"/>
      <c r="C419" s="2414"/>
      <c r="D419" s="2414"/>
      <c r="E419" s="2414"/>
      <c r="F419" s="2414"/>
      <c r="G419" s="2414"/>
      <c r="H419" s="2414"/>
      <c r="I419" s="2414"/>
      <c r="J419" s="2414"/>
      <c r="K419" s="2414"/>
      <c r="L419" s="2414"/>
      <c r="M419" s="2414"/>
      <c r="N419" s="2414"/>
      <c r="O419" s="2414"/>
      <c r="P419" s="2414"/>
      <c r="Q419" s="2414"/>
      <c r="R419" s="1964"/>
      <c r="S419" s="1964"/>
      <c r="T419" s="1964"/>
    </row>
    <row r="420" spans="1:28" ht="20.25" customHeight="1">
      <c r="A420" s="2414"/>
      <c r="B420" s="2414"/>
      <c r="C420" s="2418" t="s">
        <v>244</v>
      </c>
      <c r="D420" s="2414"/>
      <c r="E420" s="2414"/>
      <c r="F420" s="2414"/>
      <c r="G420" s="2414"/>
      <c r="H420" s="2414"/>
      <c r="I420" s="2414"/>
      <c r="J420" s="2414"/>
      <c r="K420" s="2418" t="s">
        <v>2067</v>
      </c>
      <c r="L420" s="2414"/>
      <c r="M420" s="2414"/>
      <c r="N420" s="2414"/>
      <c r="O420" s="2414"/>
      <c r="P420" s="2414"/>
      <c r="Q420" s="2414"/>
      <c r="R420" s="1964"/>
      <c r="S420" s="1964"/>
      <c r="T420" s="1964"/>
    </row>
    <row r="421" spans="1:28" ht="20.25" customHeight="1">
      <c r="A421" s="2414"/>
      <c r="B421" s="2414"/>
      <c r="C421" s="2414" t="s">
        <v>1018</v>
      </c>
      <c r="D421" s="2414"/>
      <c r="E421" s="2414"/>
      <c r="F421" s="2414"/>
      <c r="G421" s="2414"/>
      <c r="H421" s="2414"/>
      <c r="I421" s="2414"/>
      <c r="J421" s="2414"/>
      <c r="K421" s="2414" t="s">
        <v>2141</v>
      </c>
      <c r="L421" s="2414"/>
      <c r="M421" s="2414"/>
      <c r="N421" s="2414"/>
      <c r="O421" s="2414"/>
      <c r="P421" s="2414"/>
      <c r="Q421" s="2414"/>
      <c r="R421" s="1964"/>
      <c r="S421" s="1964"/>
      <c r="T421" s="1964"/>
    </row>
    <row r="422" spans="1:28" ht="20.25" customHeight="1">
      <c r="A422" s="2414"/>
      <c r="B422" s="2414"/>
      <c r="C422" s="2414" t="s">
        <v>163</v>
      </c>
      <c r="D422" s="2414"/>
      <c r="E422" s="2414"/>
      <c r="F422" s="2414"/>
      <c r="G422" s="2414"/>
      <c r="H422" s="2414"/>
      <c r="I422" s="2414"/>
      <c r="J422" s="2414"/>
      <c r="K422" s="2414" t="s">
        <v>4979</v>
      </c>
      <c r="L422" s="2414"/>
      <c r="M422" s="2414"/>
      <c r="N422" s="2414"/>
      <c r="O422" s="2414"/>
      <c r="P422" s="2414"/>
      <c r="Q422" s="2414"/>
      <c r="R422" s="1964"/>
      <c r="S422" s="1964"/>
      <c r="T422" s="1964"/>
    </row>
    <row r="423" spans="1:28" ht="20.25" customHeight="1">
      <c r="A423" s="2414"/>
      <c r="B423" s="2414"/>
      <c r="C423" s="2414" t="s">
        <v>1427</v>
      </c>
      <c r="D423" s="2414"/>
      <c r="E423" s="2414"/>
      <c r="F423" s="2414"/>
      <c r="G423" s="2414"/>
      <c r="H423" s="2414"/>
      <c r="I423" s="2414"/>
      <c r="J423" s="2414"/>
      <c r="K423" s="2414" t="s">
        <v>4980</v>
      </c>
      <c r="L423" s="2414"/>
      <c r="M423" s="2414"/>
      <c r="N423" s="2414"/>
      <c r="O423" s="2414"/>
      <c r="P423" s="2414"/>
      <c r="Q423" s="2414"/>
      <c r="R423" s="1964"/>
      <c r="S423" s="1964"/>
      <c r="T423" s="1964"/>
    </row>
    <row r="424" spans="1:28" ht="20.25" customHeight="1">
      <c r="A424" s="2414"/>
      <c r="B424" s="2414"/>
      <c r="C424" s="2414" t="s">
        <v>1960</v>
      </c>
      <c r="D424" s="2414"/>
      <c r="E424" s="2414"/>
      <c r="F424" s="2414"/>
      <c r="G424" s="2414"/>
      <c r="H424" s="2414"/>
      <c r="I424" s="2414"/>
      <c r="J424" s="2414"/>
      <c r="K424" s="2414" t="s">
        <v>4981</v>
      </c>
      <c r="L424" s="2414"/>
      <c r="M424" s="2414"/>
      <c r="N424" s="2414"/>
      <c r="O424" s="2414"/>
      <c r="P424" s="2414"/>
      <c r="Q424" s="2414"/>
      <c r="R424" s="1964"/>
      <c r="S424" s="1964"/>
      <c r="T424" s="1964"/>
    </row>
    <row r="425" spans="1:28" ht="20.25" customHeight="1">
      <c r="A425" s="2414"/>
      <c r="B425" s="2414"/>
      <c r="C425" s="2414" t="s">
        <v>162</v>
      </c>
      <c r="D425" s="2414"/>
      <c r="E425" s="2414"/>
      <c r="F425" s="2414"/>
      <c r="G425" s="2414"/>
      <c r="H425" s="2414"/>
      <c r="I425" s="2414"/>
      <c r="J425" s="2414"/>
      <c r="K425" s="2414" t="s">
        <v>4982</v>
      </c>
      <c r="L425" s="2414"/>
      <c r="M425" s="2414"/>
      <c r="N425" s="2414"/>
      <c r="O425" s="2414"/>
      <c r="P425" s="2414"/>
      <c r="Q425" s="2414"/>
      <c r="R425" s="1964"/>
      <c r="S425" s="1964"/>
      <c r="T425" s="1964"/>
    </row>
    <row r="426" spans="1:28" ht="20.25" customHeight="1">
      <c r="A426" s="2414"/>
      <c r="B426" s="2414"/>
      <c r="C426" s="2414"/>
      <c r="D426" s="2414"/>
      <c r="E426" s="2414"/>
      <c r="F426" s="2414"/>
      <c r="G426" s="2414"/>
      <c r="H426" s="2414"/>
      <c r="I426" s="2414"/>
      <c r="J426" s="2414"/>
      <c r="K426" s="2418" t="s">
        <v>1804</v>
      </c>
      <c r="L426" s="2414"/>
      <c r="M426" s="2414"/>
      <c r="N426" s="2414"/>
      <c r="O426" s="2414"/>
      <c r="P426" s="2414"/>
      <c r="Q426" s="2414"/>
      <c r="R426" s="1964"/>
      <c r="S426" s="1964"/>
      <c r="T426" s="1964"/>
    </row>
    <row r="427" spans="1:28" s="1912" customFormat="1" ht="20.25" customHeight="1">
      <c r="D427" s="2414"/>
      <c r="E427" s="2414"/>
      <c r="F427" s="2414"/>
      <c r="G427" s="2414"/>
      <c r="H427" s="2414"/>
      <c r="I427" s="2414"/>
      <c r="J427" s="2414"/>
      <c r="K427" s="2414" t="s">
        <v>1016</v>
      </c>
      <c r="L427" s="2414"/>
      <c r="M427" s="2414"/>
      <c r="N427" s="2414"/>
      <c r="O427" s="2414"/>
      <c r="P427" s="2414"/>
      <c r="Q427" s="2414"/>
      <c r="R427" s="1964"/>
      <c r="S427" s="1964"/>
      <c r="T427" s="1964"/>
      <c r="U427" s="1964"/>
      <c r="V427" s="1964"/>
      <c r="W427" s="1964"/>
      <c r="X427" s="1964"/>
      <c r="Y427" s="1964"/>
      <c r="Z427" s="1964"/>
      <c r="AA427" s="2491"/>
      <c r="AB427" s="1964"/>
    </row>
    <row r="428" spans="1:28" s="1912" customFormat="1" ht="20.25" customHeight="1">
      <c r="D428" s="2414"/>
      <c r="E428" s="2414"/>
      <c r="F428" s="2414"/>
      <c r="G428" s="2414"/>
      <c r="H428" s="2414"/>
      <c r="I428" s="2414"/>
      <c r="J428" s="2414"/>
      <c r="K428" s="2414" t="s">
        <v>1625</v>
      </c>
      <c r="L428" s="2414"/>
      <c r="M428" s="2414"/>
      <c r="N428" s="2414"/>
      <c r="O428" s="2414"/>
      <c r="P428" s="2414"/>
      <c r="Q428" s="2414"/>
      <c r="R428" s="1964"/>
      <c r="S428" s="1964"/>
      <c r="T428" s="1964"/>
      <c r="U428" s="1964"/>
      <c r="V428" s="1964"/>
      <c r="W428" s="1964"/>
      <c r="X428" s="1964"/>
      <c r="Y428" s="1964"/>
      <c r="Z428" s="1964"/>
      <c r="AA428" s="2491"/>
      <c r="AB428" s="1964"/>
    </row>
    <row r="429" spans="1:28" s="1912" customFormat="1" ht="20.25" customHeight="1">
      <c r="D429" s="2414"/>
      <c r="E429" s="2414"/>
      <c r="F429" s="2414"/>
      <c r="G429" s="2414"/>
      <c r="H429" s="2414"/>
      <c r="I429" s="2414"/>
      <c r="J429" s="2414"/>
      <c r="K429" s="2414" t="s">
        <v>1066</v>
      </c>
      <c r="L429" s="2414"/>
      <c r="M429" s="2414"/>
      <c r="N429" s="2414"/>
      <c r="O429" s="2414"/>
      <c r="P429" s="2414"/>
      <c r="Q429" s="2414"/>
      <c r="R429" s="1964"/>
      <c r="S429" s="1964"/>
      <c r="T429" s="1964"/>
      <c r="U429" s="1964"/>
      <c r="V429" s="1964"/>
      <c r="W429" s="1964"/>
      <c r="X429" s="1964"/>
      <c r="Y429" s="1964"/>
      <c r="Z429" s="1964"/>
      <c r="AA429" s="2491"/>
      <c r="AB429" s="1964"/>
    </row>
    <row r="430" spans="1:28" s="1912" customFormat="1" ht="20.25" customHeight="1">
      <c r="D430" s="2414"/>
      <c r="E430" s="2414"/>
      <c r="F430" s="2414"/>
      <c r="G430" s="2414"/>
      <c r="H430" s="2414"/>
      <c r="I430" s="2414"/>
      <c r="J430" s="2414"/>
      <c r="K430" s="2414" t="s">
        <v>1626</v>
      </c>
      <c r="L430" s="2414"/>
      <c r="M430" s="2414"/>
      <c r="N430" s="2414"/>
      <c r="O430" s="2414"/>
      <c r="P430" s="2414"/>
      <c r="Q430" s="2414"/>
      <c r="R430" s="1964"/>
      <c r="S430" s="1964"/>
      <c r="T430" s="1964"/>
      <c r="U430" s="1964"/>
      <c r="V430" s="1964"/>
      <c r="W430" s="1964"/>
      <c r="X430" s="1964"/>
      <c r="Y430" s="1964"/>
      <c r="Z430" s="1964"/>
      <c r="AA430" s="2491"/>
      <c r="AB430" s="1964"/>
    </row>
    <row r="431" spans="1:28" s="1912" customFormat="1" ht="20.25" customHeight="1">
      <c r="D431" s="2414"/>
      <c r="E431" s="2414"/>
      <c r="F431" s="2414"/>
      <c r="G431" s="2414"/>
      <c r="H431" s="2414"/>
      <c r="I431" s="2414"/>
      <c r="J431" s="2414"/>
      <c r="K431" s="2414" t="s">
        <v>2179</v>
      </c>
      <c r="L431" s="2414"/>
      <c r="M431" s="2414"/>
      <c r="N431" s="2414"/>
      <c r="O431" s="2414"/>
      <c r="P431" s="2414"/>
      <c r="Q431" s="2414"/>
      <c r="R431" s="1964"/>
      <c r="S431" s="1964"/>
      <c r="T431" s="1964"/>
      <c r="U431" s="1964"/>
      <c r="V431" s="1964"/>
      <c r="W431" s="1964"/>
      <c r="X431" s="1964"/>
      <c r="Y431" s="1964"/>
      <c r="Z431" s="1964"/>
      <c r="AA431" s="2491"/>
      <c r="AB431" s="1964"/>
    </row>
    <row r="432" spans="1:28" s="1912" customFormat="1" ht="20.25" customHeight="1">
      <c r="B432" s="2414"/>
      <c r="C432" s="2414"/>
      <c r="D432" s="2414"/>
      <c r="E432" s="2414"/>
      <c r="F432" s="2414"/>
      <c r="G432" s="2414"/>
      <c r="H432" s="2414"/>
      <c r="I432" s="2414"/>
      <c r="J432" s="2414"/>
      <c r="K432" s="2414"/>
      <c r="L432" s="2414"/>
      <c r="M432" s="2414"/>
      <c r="N432" s="2414"/>
      <c r="O432" s="2414"/>
      <c r="P432" s="2414"/>
      <c r="Q432" s="2414"/>
      <c r="R432" s="1964"/>
      <c r="S432" s="1964"/>
      <c r="T432" s="1964"/>
      <c r="U432" s="1964"/>
      <c r="V432" s="1964"/>
      <c r="W432" s="1964"/>
      <c r="X432" s="1964"/>
      <c r="Y432" s="1964"/>
      <c r="Z432" s="1964"/>
      <c r="AA432" s="2491"/>
      <c r="AB432" s="1964"/>
    </row>
    <row r="433" spans="2:28" s="1912" customFormat="1" ht="20.25" customHeight="1">
      <c r="B433" s="2414"/>
      <c r="C433" s="2418" t="s">
        <v>950</v>
      </c>
      <c r="D433" s="2414"/>
      <c r="E433" s="2414"/>
      <c r="F433" s="2414"/>
      <c r="G433" s="2414"/>
      <c r="H433" s="2414"/>
      <c r="I433" s="2414"/>
      <c r="J433" s="2414"/>
      <c r="K433" s="2414"/>
      <c r="L433" s="2414"/>
      <c r="M433" s="2418" t="s">
        <v>3728</v>
      </c>
      <c r="N433" s="2414"/>
      <c r="O433" s="2414"/>
      <c r="P433" s="2414"/>
      <c r="Q433" s="2414"/>
      <c r="R433" s="1964"/>
      <c r="S433" s="1964"/>
      <c r="T433" s="1964"/>
      <c r="U433" s="1964"/>
      <c r="V433" s="1964"/>
      <c r="W433" s="1964"/>
      <c r="X433" s="1964"/>
      <c r="Y433" s="1964"/>
      <c r="Z433" s="1964"/>
      <c r="AA433" s="2491"/>
      <c r="AB433" s="1964"/>
    </row>
    <row r="434" spans="2:28" s="1912" customFormat="1" ht="20.25" customHeight="1">
      <c r="B434" s="2414"/>
      <c r="C434" s="2414" t="s">
        <v>949</v>
      </c>
      <c r="D434" s="2414"/>
      <c r="E434" s="2414"/>
      <c r="F434" s="2414"/>
      <c r="G434" s="2414"/>
      <c r="H434" s="2414"/>
      <c r="I434" s="2414"/>
      <c r="J434" s="2414"/>
      <c r="K434" s="2414"/>
      <c r="L434" s="2414"/>
      <c r="M434" s="2414" t="s">
        <v>949</v>
      </c>
      <c r="N434" s="2414"/>
      <c r="O434" s="2414"/>
      <c r="P434" s="2414"/>
      <c r="Q434" s="2414"/>
      <c r="R434" s="1964"/>
      <c r="S434" s="1964"/>
      <c r="T434" s="1964"/>
      <c r="U434" s="1964"/>
      <c r="V434" s="1964"/>
      <c r="W434" s="1964"/>
      <c r="X434" s="1964"/>
      <c r="Y434" s="1964"/>
      <c r="Z434" s="1964"/>
      <c r="AA434" s="2491"/>
      <c r="AB434" s="1964"/>
    </row>
    <row r="435" spans="2:28" s="1912" customFormat="1" ht="20.25" customHeight="1">
      <c r="B435" s="2414"/>
      <c r="C435" s="2414" t="s">
        <v>1933</v>
      </c>
      <c r="D435" s="2414"/>
      <c r="E435" s="2414"/>
      <c r="F435" s="2414"/>
      <c r="G435" s="2414"/>
      <c r="H435" s="2414"/>
      <c r="I435" s="2414"/>
      <c r="J435" s="2414"/>
      <c r="K435" s="2414"/>
      <c r="L435" s="2414"/>
      <c r="M435" s="2414" t="s">
        <v>3725</v>
      </c>
      <c r="N435" s="2414"/>
      <c r="O435" s="2414"/>
      <c r="P435" s="2414"/>
      <c r="Q435" s="2414"/>
      <c r="R435" s="1964"/>
      <c r="S435" s="1964"/>
      <c r="T435" s="1964"/>
      <c r="U435" s="1964"/>
      <c r="V435" s="1964"/>
      <c r="W435" s="1964"/>
      <c r="X435" s="1964"/>
      <c r="Y435" s="1964"/>
      <c r="Z435" s="1964"/>
      <c r="AA435" s="2491"/>
      <c r="AB435" s="1964"/>
    </row>
    <row r="436" spans="2:28" s="1912" customFormat="1" ht="20.25" customHeight="1">
      <c r="B436" s="2414"/>
      <c r="C436" s="2414" t="s">
        <v>2335</v>
      </c>
      <c r="D436" s="2414"/>
      <c r="E436" s="2414"/>
      <c r="F436" s="2414"/>
      <c r="G436" s="2414"/>
      <c r="H436" s="2414"/>
      <c r="I436" s="2414"/>
      <c r="J436" s="2414"/>
      <c r="K436" s="2414"/>
      <c r="L436" s="2414"/>
      <c r="M436" s="2414" t="s">
        <v>3756</v>
      </c>
      <c r="N436" s="2414"/>
      <c r="O436" s="2414"/>
      <c r="P436" s="2414"/>
      <c r="Q436" s="2414"/>
      <c r="R436" s="1964"/>
      <c r="S436" s="1964"/>
      <c r="T436" s="1964"/>
      <c r="U436" s="1964"/>
      <c r="V436" s="1964"/>
      <c r="W436" s="1964"/>
      <c r="X436" s="1964"/>
      <c r="Y436" s="1964"/>
      <c r="Z436" s="1964"/>
      <c r="AA436" s="2491"/>
      <c r="AB436" s="1964"/>
    </row>
    <row r="437" spans="2:28" s="1912" customFormat="1" ht="20.25" customHeight="1">
      <c r="B437" s="2414"/>
      <c r="C437" s="2414" t="s">
        <v>1934</v>
      </c>
      <c r="D437" s="2414"/>
      <c r="E437" s="2414"/>
      <c r="F437" s="2414"/>
      <c r="G437" s="2414"/>
      <c r="H437" s="2414"/>
      <c r="I437" s="2414"/>
      <c r="J437" s="2414"/>
      <c r="K437" s="2414"/>
      <c r="L437" s="2414"/>
      <c r="M437" s="2414" t="s">
        <v>1538</v>
      </c>
      <c r="N437" s="2414"/>
      <c r="O437" s="2414"/>
      <c r="P437" s="2414"/>
      <c r="Q437" s="2414"/>
      <c r="R437" s="1964"/>
      <c r="S437" s="1964"/>
      <c r="T437" s="1964"/>
      <c r="U437" s="1964"/>
      <c r="V437" s="1964"/>
      <c r="W437" s="1964"/>
      <c r="X437" s="1964"/>
      <c r="Y437" s="1964"/>
      <c r="Z437" s="1964"/>
      <c r="AA437" s="2491"/>
      <c r="AB437" s="1964"/>
    </row>
    <row r="438" spans="2:28" s="1912" customFormat="1" ht="20.25" customHeight="1">
      <c r="B438" s="2414"/>
      <c r="C438" s="2414" t="s">
        <v>1805</v>
      </c>
      <c r="D438" s="2414"/>
      <c r="E438" s="2414"/>
      <c r="F438" s="2414"/>
      <c r="G438" s="2414"/>
      <c r="H438" s="2414"/>
      <c r="I438" s="2414"/>
      <c r="J438" s="2414"/>
      <c r="K438" s="2414"/>
      <c r="L438" s="2414"/>
      <c r="M438" s="2414" t="s">
        <v>3726</v>
      </c>
      <c r="N438" s="2414"/>
      <c r="O438" s="2414"/>
      <c r="P438" s="2414"/>
      <c r="Q438" s="2414"/>
      <c r="R438" s="1964"/>
      <c r="S438" s="1964"/>
      <c r="T438" s="1964"/>
      <c r="U438" s="1964"/>
      <c r="V438" s="1964"/>
      <c r="W438" s="1964"/>
      <c r="X438" s="1964"/>
      <c r="Y438" s="1964"/>
      <c r="Z438" s="1964"/>
      <c r="AA438" s="2491"/>
      <c r="AB438" s="1964"/>
    </row>
    <row r="439" spans="2:28" s="1912" customFormat="1" ht="20.25" customHeight="1">
      <c r="B439" s="2414"/>
      <c r="C439" s="2414" t="s">
        <v>547</v>
      </c>
      <c r="D439" s="2414"/>
      <c r="E439" s="2414"/>
      <c r="F439" s="2414"/>
      <c r="G439" s="2414"/>
      <c r="H439" s="2414"/>
      <c r="I439" s="2414"/>
      <c r="J439" s="2414"/>
      <c r="K439" s="2414"/>
      <c r="L439" s="2414"/>
      <c r="M439" s="2414" t="s">
        <v>3775</v>
      </c>
      <c r="N439" s="2414"/>
      <c r="O439" s="2414"/>
      <c r="P439" s="2414"/>
      <c r="Q439" s="2414"/>
      <c r="R439" s="1964"/>
      <c r="S439" s="1964"/>
      <c r="T439" s="1964"/>
      <c r="U439" s="1964"/>
      <c r="V439" s="1964"/>
      <c r="W439" s="1964"/>
      <c r="X439" s="1964"/>
      <c r="Y439" s="1964"/>
      <c r="Z439" s="1964"/>
      <c r="AA439" s="2491"/>
      <c r="AB439" s="1964"/>
    </row>
    <row r="440" spans="2:28" s="1912" customFormat="1" ht="20.25" customHeight="1">
      <c r="B440" s="2414"/>
      <c r="C440" s="2414" t="s">
        <v>2030</v>
      </c>
      <c r="D440" s="2414"/>
      <c r="E440" s="2414"/>
      <c r="F440" s="2414"/>
      <c r="G440" s="2414"/>
      <c r="H440" s="2414"/>
      <c r="I440" s="2414"/>
      <c r="J440" s="2414"/>
      <c r="K440" s="2414"/>
      <c r="L440" s="2414"/>
      <c r="M440" s="2414" t="s">
        <v>3776</v>
      </c>
      <c r="N440" s="2414"/>
      <c r="O440" s="2414"/>
      <c r="P440" s="2414"/>
      <c r="Q440" s="2414"/>
      <c r="R440" s="1964"/>
      <c r="S440" s="1964"/>
      <c r="T440" s="1964"/>
      <c r="U440" s="1964"/>
      <c r="V440" s="1964"/>
      <c r="W440" s="1964"/>
      <c r="X440" s="1964"/>
      <c r="Y440" s="1964"/>
      <c r="Z440" s="1964"/>
      <c r="AA440" s="2491"/>
      <c r="AB440" s="1964"/>
    </row>
    <row r="441" spans="2:28" s="1912" customFormat="1" ht="20.25" customHeight="1">
      <c r="B441" s="2414"/>
      <c r="C441" s="2414" t="s">
        <v>30</v>
      </c>
      <c r="D441" s="2414"/>
      <c r="E441" s="2414"/>
      <c r="F441" s="2414"/>
      <c r="G441" s="2414"/>
      <c r="H441" s="2414"/>
      <c r="I441" s="2414"/>
      <c r="J441" s="2414"/>
      <c r="K441" s="2414"/>
      <c r="L441" s="2414"/>
      <c r="M441" s="2414" t="s">
        <v>3727</v>
      </c>
      <c r="N441" s="2414"/>
      <c r="O441" s="2414"/>
      <c r="P441" s="2414"/>
      <c r="Q441" s="2414"/>
      <c r="R441" s="1964"/>
      <c r="S441" s="1964"/>
      <c r="T441" s="1964"/>
      <c r="U441" s="1964"/>
      <c r="V441" s="1964"/>
      <c r="W441" s="1964"/>
      <c r="X441" s="1964"/>
      <c r="Y441" s="1964"/>
      <c r="Z441" s="1964"/>
      <c r="AA441" s="2491"/>
      <c r="AB441" s="1964"/>
    </row>
    <row r="442" spans="2:28" s="1912" customFormat="1" ht="20.25" customHeight="1">
      <c r="D442" s="2414"/>
      <c r="E442" s="2414"/>
      <c r="F442" s="2414"/>
      <c r="G442" s="2414"/>
      <c r="H442" s="2414"/>
      <c r="I442" s="2414"/>
      <c r="J442" s="2414"/>
      <c r="K442" s="2414"/>
      <c r="L442" s="2414"/>
      <c r="M442" s="2414" t="s">
        <v>1947</v>
      </c>
      <c r="N442" s="2414"/>
      <c r="O442" s="2414"/>
      <c r="P442" s="2414"/>
      <c r="Q442" s="2414"/>
      <c r="R442" s="1964"/>
      <c r="S442" s="1964"/>
      <c r="T442" s="1964"/>
      <c r="U442" s="1964"/>
      <c r="V442" s="1964"/>
      <c r="W442" s="1964"/>
      <c r="X442" s="1964"/>
      <c r="Y442" s="1964"/>
      <c r="Z442" s="1964"/>
      <c r="AA442" s="2491"/>
      <c r="AB442" s="1964"/>
    </row>
    <row r="443" spans="2:28" s="1912" customFormat="1" ht="20.25" customHeight="1">
      <c r="D443" s="2414"/>
      <c r="E443" s="2414"/>
      <c r="F443" s="2414"/>
      <c r="G443" s="2414"/>
      <c r="H443" s="2414"/>
      <c r="I443" s="2414"/>
      <c r="J443" s="2414"/>
      <c r="K443" s="2414"/>
      <c r="L443" s="2414"/>
      <c r="M443" s="2414" t="s">
        <v>4983</v>
      </c>
      <c r="N443" s="2414"/>
      <c r="O443" s="2414"/>
      <c r="P443" s="2414"/>
      <c r="Q443" s="2414"/>
      <c r="R443" s="1964"/>
      <c r="S443" s="1964"/>
      <c r="T443" s="1964"/>
      <c r="U443" s="1964"/>
      <c r="V443" s="1964"/>
      <c r="W443" s="1964"/>
      <c r="X443" s="1964"/>
      <c r="Y443" s="1964"/>
      <c r="Z443" s="1964"/>
      <c r="AA443" s="2491"/>
      <c r="AB443" s="1964"/>
    </row>
    <row r="444" spans="2:28" s="1912" customFormat="1" ht="20.25" customHeight="1">
      <c r="D444" s="2414"/>
      <c r="E444" s="2414"/>
      <c r="F444" s="2414"/>
      <c r="G444" s="2414"/>
      <c r="H444" s="2414"/>
      <c r="I444" s="2414"/>
      <c r="J444" s="2414"/>
      <c r="K444" s="2414"/>
      <c r="L444" s="2414"/>
      <c r="M444" s="2414"/>
      <c r="N444" s="2414"/>
      <c r="O444" s="2414"/>
      <c r="P444" s="2414"/>
      <c r="Q444" s="2414"/>
      <c r="R444" s="1964"/>
      <c r="S444" s="1964"/>
      <c r="T444" s="1964"/>
      <c r="U444" s="1964"/>
      <c r="V444" s="1964"/>
      <c r="W444" s="1964"/>
      <c r="X444" s="1964"/>
      <c r="Y444" s="1964"/>
      <c r="Z444" s="1964"/>
      <c r="AA444" s="2491"/>
      <c r="AB444" s="1964"/>
    </row>
    <row r="445" spans="2:28" s="1912" customFormat="1" ht="20.25" customHeight="1">
      <c r="D445" s="2414"/>
      <c r="E445" s="2414"/>
      <c r="F445" s="2414"/>
      <c r="G445" s="2414"/>
      <c r="H445" s="2414"/>
      <c r="I445" s="2414"/>
      <c r="J445" s="2414"/>
      <c r="K445" s="2414"/>
      <c r="L445" s="2414"/>
      <c r="M445" s="2419" t="s">
        <v>297</v>
      </c>
      <c r="N445" s="2414"/>
      <c r="O445" s="2414"/>
      <c r="P445" s="2414"/>
      <c r="Q445" s="2414"/>
      <c r="R445" s="1964"/>
      <c r="S445" s="1964"/>
      <c r="T445" s="1964"/>
      <c r="U445" s="1964"/>
      <c r="V445" s="1964"/>
      <c r="W445" s="1964"/>
      <c r="X445" s="1964"/>
      <c r="Y445" s="1964"/>
      <c r="Z445" s="1964"/>
      <c r="AA445" s="2491"/>
      <c r="AB445" s="1964"/>
    </row>
    <row r="446" spans="2:28" s="1912" customFormat="1" ht="20.25" customHeight="1">
      <c r="D446" s="2414"/>
      <c r="E446" s="2414"/>
      <c r="F446" s="2414"/>
      <c r="G446" s="2414"/>
      <c r="H446" s="2414"/>
      <c r="I446" s="2414"/>
      <c r="J446" s="2414"/>
      <c r="K446" s="2414"/>
      <c r="L446" s="2414"/>
      <c r="M446" s="2414" t="s">
        <v>3249</v>
      </c>
      <c r="N446" s="2414"/>
      <c r="O446" s="2414"/>
      <c r="P446" s="2414"/>
      <c r="Q446" s="2414"/>
      <c r="R446" s="1964"/>
      <c r="S446" s="1964"/>
      <c r="T446" s="1964"/>
      <c r="U446" s="1964"/>
      <c r="V446" s="1964"/>
      <c r="W446" s="1964"/>
      <c r="X446" s="1964"/>
      <c r="Y446" s="1964"/>
      <c r="Z446" s="1964"/>
      <c r="AA446" s="2491"/>
      <c r="AB446" s="1964"/>
    </row>
    <row r="447" spans="2:28" s="1912" customFormat="1" ht="20.25" customHeight="1">
      <c r="D447" s="2414"/>
      <c r="E447" s="2414"/>
      <c r="F447" s="2414"/>
      <c r="G447" s="2414"/>
      <c r="H447" s="2414"/>
      <c r="I447" s="2414"/>
      <c r="J447" s="2414"/>
      <c r="K447" s="2414"/>
      <c r="L447" s="2414"/>
      <c r="M447" s="2414" t="s">
        <v>3171</v>
      </c>
      <c r="N447" s="2414"/>
      <c r="O447" s="2414"/>
      <c r="P447" s="2414"/>
      <c r="Q447" s="2414"/>
      <c r="R447" s="1964"/>
      <c r="S447" s="1964"/>
      <c r="T447" s="1964"/>
      <c r="U447" s="1964"/>
      <c r="V447" s="1964"/>
      <c r="W447" s="1964"/>
      <c r="X447" s="1964"/>
      <c r="Y447" s="1964"/>
      <c r="Z447" s="1964"/>
      <c r="AA447" s="2491"/>
      <c r="AB447" s="1964"/>
    </row>
    <row r="448" spans="2:28" s="1912" customFormat="1" ht="20.25" customHeight="1">
      <c r="D448" s="2414"/>
      <c r="E448" s="2414"/>
      <c r="F448" s="2414"/>
      <c r="G448" s="2414"/>
      <c r="H448" s="2414"/>
      <c r="I448" s="2414"/>
      <c r="J448" s="2414"/>
      <c r="K448" s="2414"/>
      <c r="L448" s="2414"/>
      <c r="M448" s="2414" t="s">
        <v>4988</v>
      </c>
      <c r="N448" s="2414"/>
      <c r="O448" s="2414"/>
      <c r="P448" s="2414"/>
      <c r="Q448" s="2414"/>
      <c r="R448" s="1964"/>
      <c r="S448" s="1964"/>
      <c r="T448" s="1964"/>
      <c r="U448" s="1964"/>
      <c r="V448" s="1964"/>
      <c r="W448" s="1964"/>
      <c r="X448" s="1964"/>
      <c r="Y448" s="1964"/>
      <c r="Z448" s="1964"/>
      <c r="AA448" s="2491"/>
      <c r="AB448" s="1964"/>
    </row>
    <row r="449" spans="4:28" s="1912" customFormat="1" ht="20.25" customHeight="1">
      <c r="D449" s="2414"/>
      <c r="E449" s="2414"/>
      <c r="F449" s="2414"/>
      <c r="G449" s="2414"/>
      <c r="H449" s="2414"/>
      <c r="I449" s="2414"/>
      <c r="J449" s="2414"/>
      <c r="K449" s="2414"/>
      <c r="L449" s="2414"/>
      <c r="M449" s="2414" t="s">
        <v>3172</v>
      </c>
      <c r="N449" s="2414"/>
      <c r="O449" s="2414"/>
      <c r="P449" s="2414"/>
      <c r="Q449" s="2414"/>
      <c r="R449" s="1964"/>
      <c r="S449" s="1964"/>
      <c r="T449" s="1964"/>
      <c r="U449" s="1964"/>
      <c r="V449" s="1964"/>
      <c r="W449" s="1964"/>
      <c r="X449" s="1964"/>
      <c r="Y449" s="1964"/>
      <c r="Z449" s="1964"/>
      <c r="AA449" s="2491"/>
      <c r="AB449" s="1964"/>
    </row>
    <row r="450" spans="4:28" s="1912" customFormat="1" ht="20.25" customHeight="1">
      <c r="D450" s="2419" t="s">
        <v>1883</v>
      </c>
      <c r="E450" s="2414"/>
      <c r="F450" s="2414"/>
      <c r="G450" s="2414"/>
      <c r="H450" s="2414"/>
      <c r="I450" s="2414"/>
      <c r="J450" s="2414"/>
      <c r="K450" s="2414"/>
      <c r="L450" s="2414"/>
      <c r="M450" s="2414" t="s">
        <v>3173</v>
      </c>
      <c r="N450" s="2414"/>
      <c r="O450" s="2414"/>
      <c r="P450" s="2414"/>
      <c r="Q450" s="2414"/>
      <c r="R450" s="1964"/>
      <c r="S450" s="1964"/>
      <c r="T450" s="1964"/>
      <c r="U450" s="1964"/>
      <c r="V450" s="1964"/>
      <c r="W450" s="1964"/>
      <c r="X450" s="1964"/>
      <c r="Y450" s="1964"/>
      <c r="Z450" s="1964"/>
      <c r="AA450" s="2491"/>
      <c r="AB450" s="1964"/>
    </row>
    <row r="451" spans="4:28" s="1912" customFormat="1" ht="20.25" customHeight="1">
      <c r="D451" s="2414"/>
      <c r="E451" s="2414"/>
      <c r="F451" s="2414"/>
      <c r="G451" s="2414"/>
      <c r="H451" s="2414"/>
      <c r="I451" s="2414"/>
      <c r="J451" s="2414"/>
      <c r="K451" s="2414"/>
      <c r="L451" s="2414"/>
      <c r="M451" s="2414" t="s">
        <v>4989</v>
      </c>
      <c r="N451" s="2414"/>
      <c r="O451" s="2414"/>
      <c r="P451" s="2414"/>
      <c r="Q451" s="2414"/>
      <c r="R451" s="1964"/>
      <c r="S451" s="1964"/>
      <c r="T451" s="1964"/>
      <c r="U451" s="1964"/>
      <c r="V451" s="1964"/>
      <c r="W451" s="1964"/>
      <c r="X451" s="1964"/>
      <c r="Y451" s="1964"/>
      <c r="Z451" s="1964"/>
      <c r="AA451" s="2491"/>
      <c r="AB451" s="1964"/>
    </row>
    <row r="452" spans="4:28" s="1912" customFormat="1" ht="20.25" customHeight="1">
      <c r="D452" s="2414"/>
      <c r="E452" s="2414"/>
      <c r="F452" s="2414"/>
      <c r="G452" s="2414"/>
      <c r="H452" s="2414"/>
      <c r="I452" s="2414"/>
      <c r="J452" s="2414"/>
      <c r="K452" s="2414"/>
      <c r="L452" s="2414"/>
      <c r="M452" s="2414" t="s">
        <v>3245</v>
      </c>
      <c r="N452" s="2414"/>
      <c r="O452" s="2414"/>
      <c r="P452" s="2414"/>
      <c r="Q452" s="2414"/>
      <c r="R452" s="1964"/>
      <c r="S452" s="1964"/>
      <c r="T452" s="1964"/>
      <c r="U452" s="1964"/>
      <c r="V452" s="1964"/>
      <c r="W452" s="1964"/>
      <c r="X452" s="1964"/>
      <c r="Y452" s="1964"/>
      <c r="Z452" s="1964"/>
      <c r="AA452" s="2491"/>
      <c r="AB452" s="1964"/>
    </row>
    <row r="453" spans="4:28" s="1912" customFormat="1" ht="20.25" customHeight="1">
      <c r="D453" s="2414"/>
      <c r="E453" s="2414"/>
      <c r="F453" s="2414"/>
      <c r="G453" s="2414"/>
      <c r="H453" s="2414"/>
      <c r="I453" s="2414"/>
      <c r="J453" s="2414"/>
      <c r="K453" s="2414"/>
      <c r="L453" s="2414"/>
      <c r="M453" s="2414" t="s">
        <v>4990</v>
      </c>
      <c r="N453" s="2414"/>
      <c r="O453" s="2414"/>
      <c r="P453" s="2414"/>
      <c r="Q453" s="2414"/>
      <c r="R453" s="1964"/>
      <c r="S453" s="1964"/>
      <c r="T453" s="1964"/>
      <c r="U453" s="1964"/>
      <c r="V453" s="1964"/>
      <c r="W453" s="1964"/>
      <c r="X453" s="1964"/>
      <c r="Y453" s="1964"/>
      <c r="Z453" s="1964"/>
      <c r="AA453" s="2491"/>
      <c r="AB453" s="1964"/>
    </row>
    <row r="454" spans="4:28" s="1912" customFormat="1" ht="20.25" customHeight="1">
      <c r="D454" s="2414"/>
      <c r="E454" s="2414"/>
      <c r="F454" s="2414"/>
      <c r="G454" s="2414"/>
      <c r="H454" s="2414"/>
      <c r="I454" s="2414"/>
      <c r="J454" s="2414"/>
      <c r="K454" s="2414"/>
      <c r="L454" s="2414"/>
      <c r="M454" s="2414" t="s">
        <v>4991</v>
      </c>
      <c r="N454" s="2414"/>
      <c r="O454" s="2414"/>
      <c r="P454" s="2414"/>
      <c r="Q454" s="2414"/>
      <c r="R454" s="1964"/>
      <c r="S454" s="1964"/>
      <c r="T454" s="1964"/>
      <c r="U454" s="1964"/>
      <c r="V454" s="1964"/>
      <c r="W454" s="1964"/>
      <c r="X454" s="1964"/>
      <c r="Y454" s="1964"/>
      <c r="Z454" s="1964"/>
      <c r="AA454" s="2491"/>
      <c r="AB454" s="1964"/>
    </row>
    <row r="455" spans="4:28" s="1912" customFormat="1" ht="20.25" customHeight="1">
      <c r="D455" s="2414"/>
      <c r="E455" s="2414"/>
      <c r="F455" s="2414"/>
      <c r="G455" s="2414"/>
      <c r="H455" s="2414"/>
      <c r="I455" s="2414"/>
      <c r="J455" s="2414"/>
      <c r="K455" s="2414"/>
      <c r="L455" s="2414"/>
      <c r="M455" s="2414" t="s">
        <v>4992</v>
      </c>
      <c r="N455" s="2414"/>
      <c r="O455" s="2414"/>
      <c r="P455" s="2414"/>
      <c r="Q455" s="2414"/>
      <c r="R455" s="1964"/>
      <c r="S455" s="1964"/>
      <c r="T455" s="1964"/>
      <c r="U455" s="1964"/>
      <c r="V455" s="1964"/>
      <c r="W455" s="1964"/>
      <c r="X455" s="1964"/>
      <c r="Y455" s="1964"/>
      <c r="Z455" s="1964"/>
      <c r="AA455" s="2491"/>
      <c r="AB455" s="1964"/>
    </row>
    <row r="456" spans="4:28" s="1912" customFormat="1" ht="20.25" customHeight="1">
      <c r="D456" s="2414"/>
      <c r="E456" s="2414"/>
      <c r="F456" s="2414"/>
      <c r="G456" s="2414"/>
      <c r="H456" s="2414"/>
      <c r="I456" s="2414"/>
      <c r="J456" s="2414"/>
      <c r="K456" s="2414"/>
      <c r="L456" s="2414"/>
      <c r="M456" s="2414" t="s">
        <v>4993</v>
      </c>
      <c r="N456" s="2414"/>
      <c r="O456" s="2414"/>
      <c r="P456" s="2414"/>
      <c r="Q456" s="2414"/>
      <c r="R456" s="1964"/>
      <c r="S456" s="1964"/>
      <c r="T456" s="1964"/>
      <c r="U456" s="1964"/>
      <c r="V456" s="1964"/>
      <c r="W456" s="1964"/>
      <c r="X456" s="1964"/>
      <c r="Y456" s="1964"/>
      <c r="Z456" s="1964"/>
      <c r="AA456" s="2491"/>
      <c r="AB456" s="1964"/>
    </row>
    <row r="457" spans="4:28" s="1912" customFormat="1" ht="20.25" customHeight="1">
      <c r="D457" s="2414"/>
      <c r="E457" s="2414"/>
      <c r="F457" s="2414"/>
      <c r="G457" s="2414"/>
      <c r="H457" s="2414"/>
      <c r="I457" s="2414"/>
      <c r="J457" s="2414"/>
      <c r="K457" s="2414"/>
      <c r="L457" s="2414"/>
      <c r="M457" s="2414"/>
      <c r="N457" s="2414"/>
      <c r="O457" s="2414"/>
      <c r="P457" s="2414"/>
      <c r="Q457" s="2414"/>
      <c r="R457" s="1964"/>
      <c r="S457" s="1964"/>
      <c r="T457" s="1964"/>
      <c r="U457" s="1964"/>
      <c r="V457" s="1964"/>
      <c r="W457" s="1964"/>
      <c r="X457" s="1964"/>
      <c r="Y457" s="1964"/>
      <c r="Z457" s="1964"/>
      <c r="AA457" s="2491"/>
      <c r="AB457" s="1964"/>
    </row>
    <row r="458" spans="4:28" s="1912" customFormat="1" ht="20.25" customHeight="1">
      <c r="D458" s="2414"/>
      <c r="E458" s="2414"/>
      <c r="F458" s="2414"/>
      <c r="G458" s="2414"/>
      <c r="H458" s="2414"/>
      <c r="I458" s="2414"/>
      <c r="J458" s="2414"/>
      <c r="K458" s="2414"/>
      <c r="L458" s="2414"/>
      <c r="M458" s="2414"/>
      <c r="N458" s="2414"/>
      <c r="O458" s="2414"/>
      <c r="P458" s="2414"/>
      <c r="Q458" s="2414"/>
      <c r="R458" s="1964"/>
      <c r="S458" s="1964"/>
      <c r="T458" s="1964"/>
      <c r="U458" s="1964"/>
      <c r="V458" s="1964"/>
      <c r="W458" s="1964"/>
      <c r="X458" s="1964"/>
      <c r="Y458" s="1964"/>
      <c r="Z458" s="1964"/>
      <c r="AA458" s="2491"/>
      <c r="AB458" s="1964"/>
    </row>
    <row r="459" spans="4:28" s="1912" customFormat="1" ht="20.25" customHeight="1">
      <c r="D459" s="2414"/>
      <c r="E459" s="2414"/>
      <c r="F459" s="2414"/>
      <c r="G459" s="2414"/>
      <c r="H459" s="2414"/>
      <c r="I459" s="2414"/>
      <c r="J459" s="2414"/>
      <c r="K459" s="2414"/>
      <c r="L459" s="2414"/>
      <c r="M459" s="2414"/>
      <c r="N459" s="2414"/>
      <c r="O459" s="2414"/>
      <c r="P459" s="2414"/>
      <c r="Q459" s="2414"/>
      <c r="R459" s="1964"/>
      <c r="S459" s="1964"/>
      <c r="T459" s="1964"/>
      <c r="U459" s="1964"/>
      <c r="V459" s="1964"/>
      <c r="W459" s="1964"/>
      <c r="X459" s="1964"/>
      <c r="Y459" s="1964"/>
      <c r="Z459" s="1964"/>
      <c r="AA459" s="2491"/>
      <c r="AB459" s="1964"/>
    </row>
    <row r="460" spans="4:28" s="1912" customFormat="1" ht="20.25" customHeight="1">
      <c r="D460" s="2414"/>
      <c r="E460" s="2414"/>
      <c r="F460" s="2414"/>
      <c r="G460" s="2414"/>
      <c r="H460" s="2414"/>
      <c r="I460" s="2414"/>
      <c r="J460" s="2414"/>
      <c r="K460" s="2414"/>
      <c r="L460" s="2414"/>
      <c r="M460" s="2414"/>
      <c r="N460" s="2414"/>
      <c r="O460" s="2414"/>
      <c r="P460" s="2414"/>
      <c r="Q460" s="2414"/>
      <c r="R460" s="1964"/>
      <c r="S460" s="1964"/>
      <c r="T460" s="1964"/>
      <c r="U460" s="1964"/>
      <c r="V460" s="1964"/>
      <c r="W460" s="1964"/>
      <c r="X460" s="1964"/>
      <c r="Y460" s="1964"/>
      <c r="Z460" s="1964"/>
      <c r="AA460" s="2491"/>
      <c r="AB460" s="1964"/>
    </row>
    <row r="461" spans="4:28" s="1912" customFormat="1" ht="20.25" customHeight="1">
      <c r="D461" s="2414"/>
      <c r="E461" s="2414"/>
      <c r="F461" s="2414"/>
      <c r="G461" s="2414"/>
      <c r="H461" s="2414"/>
      <c r="I461" s="2414"/>
      <c r="J461" s="2414"/>
      <c r="K461" s="2414"/>
      <c r="L461" s="2414"/>
      <c r="M461" s="2414"/>
      <c r="N461" s="2414"/>
      <c r="O461" s="2414"/>
      <c r="P461" s="2414"/>
      <c r="Q461" s="2414"/>
      <c r="R461" s="1964"/>
      <c r="S461" s="1964"/>
      <c r="T461" s="1964"/>
      <c r="U461" s="1964"/>
      <c r="V461" s="1964"/>
      <c r="W461" s="1964"/>
      <c r="X461" s="1964"/>
      <c r="Y461" s="1964"/>
      <c r="Z461" s="1964"/>
      <c r="AA461" s="2491"/>
      <c r="AB461" s="1964"/>
    </row>
    <row r="462" spans="4:28" s="1912" customFormat="1" ht="20.25" customHeight="1">
      <c r="D462" s="2414"/>
      <c r="E462" s="2414"/>
      <c r="F462" s="2414"/>
      <c r="G462" s="2414"/>
      <c r="H462" s="2414"/>
      <c r="I462" s="2414"/>
      <c r="J462" s="2414"/>
      <c r="K462" s="2414"/>
      <c r="L462" s="2414"/>
      <c r="M462" s="2414"/>
      <c r="N462" s="2414"/>
      <c r="O462" s="2414"/>
      <c r="P462" s="2414"/>
      <c r="Q462" s="2414"/>
      <c r="R462" s="1964"/>
      <c r="S462" s="1964"/>
      <c r="T462" s="1964"/>
      <c r="U462" s="1964"/>
      <c r="V462" s="1964"/>
      <c r="W462" s="1964"/>
      <c r="X462" s="1964"/>
      <c r="Y462" s="1964"/>
      <c r="Z462" s="1964"/>
      <c r="AA462" s="2491"/>
      <c r="AB462" s="1964"/>
    </row>
    <row r="463" spans="4:28" s="1912" customFormat="1" ht="20.25" customHeight="1">
      <c r="D463" s="2414"/>
      <c r="E463" s="2414"/>
      <c r="F463" s="2414"/>
      <c r="G463" s="2414"/>
      <c r="H463" s="2414"/>
      <c r="I463" s="2414"/>
      <c r="J463" s="2414"/>
      <c r="K463" s="2414"/>
      <c r="L463" s="2414"/>
      <c r="M463" s="2414"/>
      <c r="N463" s="2414"/>
      <c r="O463" s="2414"/>
      <c r="P463" s="2414"/>
      <c r="Q463" s="2414"/>
      <c r="R463" s="1964"/>
      <c r="S463" s="1964"/>
      <c r="T463" s="1964"/>
      <c r="U463" s="1964"/>
      <c r="V463" s="1964"/>
      <c r="W463" s="1964"/>
      <c r="X463" s="1964"/>
      <c r="Y463" s="1964"/>
      <c r="Z463" s="1964"/>
      <c r="AA463" s="2491"/>
      <c r="AB463" s="1964"/>
    </row>
    <row r="464" spans="4:28" s="1912" customFormat="1" ht="20.25" customHeight="1">
      <c r="D464" s="2414"/>
      <c r="E464" s="2414"/>
      <c r="F464" s="2414"/>
      <c r="G464" s="2414"/>
      <c r="H464" s="2414"/>
      <c r="I464" s="2414"/>
      <c r="J464" s="2414"/>
      <c r="K464" s="2414"/>
      <c r="L464" s="2414"/>
      <c r="M464" s="2414"/>
      <c r="N464" s="2414"/>
      <c r="O464" s="2414"/>
      <c r="P464" s="2414"/>
      <c r="Q464" s="2414"/>
      <c r="R464" s="1964"/>
      <c r="S464" s="1964"/>
      <c r="T464" s="1964"/>
      <c r="U464" s="1964"/>
      <c r="V464" s="1964"/>
      <c r="W464" s="1964"/>
      <c r="X464" s="1964"/>
      <c r="Y464" s="1964"/>
      <c r="Z464" s="1964"/>
      <c r="AA464" s="2491"/>
      <c r="AB464" s="1964"/>
    </row>
    <row r="465" spans="4:28" s="1912" customFormat="1" ht="20.25" customHeight="1">
      <c r="D465" s="2414"/>
      <c r="E465" s="2414"/>
      <c r="F465" s="2414"/>
      <c r="G465" s="2414"/>
      <c r="H465" s="2414"/>
      <c r="I465" s="2414"/>
      <c r="J465" s="2414"/>
      <c r="K465" s="2414"/>
      <c r="L465" s="2414"/>
      <c r="M465" s="2414"/>
      <c r="N465" s="2414"/>
      <c r="O465" s="2414"/>
      <c r="P465" s="2414"/>
      <c r="Q465" s="2414"/>
      <c r="R465" s="1964"/>
      <c r="S465" s="1964"/>
      <c r="T465" s="1964"/>
      <c r="U465" s="1964"/>
      <c r="V465" s="1964"/>
      <c r="W465" s="1964"/>
      <c r="X465" s="1964"/>
      <c r="Y465" s="1964"/>
      <c r="Z465" s="1964"/>
      <c r="AA465" s="2491"/>
      <c r="AB465" s="1964"/>
    </row>
    <row r="466" spans="4:28" s="1912" customFormat="1" ht="20.25" customHeight="1">
      <c r="D466" s="2414"/>
      <c r="E466" s="2414"/>
      <c r="F466" s="2414"/>
      <c r="G466" s="2414"/>
      <c r="H466" s="2414"/>
      <c r="I466" s="2414"/>
      <c r="J466" s="2414"/>
      <c r="K466" s="2414"/>
      <c r="L466" s="2414"/>
      <c r="M466" s="2414"/>
      <c r="N466" s="2414"/>
      <c r="O466" s="2414"/>
      <c r="P466" s="2414"/>
      <c r="Q466" s="2414"/>
      <c r="R466" s="1964"/>
      <c r="S466" s="1964"/>
      <c r="T466" s="1964"/>
      <c r="U466" s="1964"/>
      <c r="V466" s="1964"/>
      <c r="W466" s="1964"/>
      <c r="X466" s="1964"/>
      <c r="Y466" s="1964"/>
      <c r="Z466" s="1964"/>
      <c r="AA466" s="2491"/>
      <c r="AB466" s="1964"/>
    </row>
    <row r="467" spans="4:28" s="1912" customFormat="1" ht="20.25" customHeight="1">
      <c r="D467" s="2414"/>
      <c r="E467" s="2414"/>
      <c r="F467" s="2414"/>
      <c r="G467" s="2414"/>
      <c r="H467" s="2414"/>
      <c r="I467" s="2414"/>
      <c r="J467" s="2414"/>
      <c r="K467" s="2414"/>
      <c r="L467" s="2414"/>
      <c r="M467" s="2414"/>
      <c r="N467" s="2414"/>
      <c r="O467" s="2414"/>
      <c r="P467" s="2414"/>
      <c r="Q467" s="2414"/>
      <c r="R467" s="1964"/>
      <c r="S467" s="1964"/>
      <c r="T467" s="1964"/>
      <c r="U467" s="1964"/>
      <c r="V467" s="1964"/>
      <c r="W467" s="1964"/>
      <c r="X467" s="1964"/>
      <c r="Y467" s="1964"/>
      <c r="Z467" s="1964"/>
      <c r="AA467" s="2491"/>
      <c r="AB467" s="1964"/>
    </row>
    <row r="468" spans="4:28" s="1912" customFormat="1" ht="20.25" customHeight="1">
      <c r="D468" s="2414"/>
      <c r="E468" s="2414"/>
      <c r="F468" s="2414"/>
      <c r="G468" s="2414"/>
      <c r="H468" s="2414"/>
      <c r="I468" s="2414"/>
      <c r="J468" s="2414"/>
      <c r="K468" s="2414"/>
      <c r="L468" s="2414"/>
      <c r="M468" s="2414"/>
      <c r="N468" s="2414"/>
      <c r="O468" s="2414"/>
      <c r="P468" s="2414"/>
      <c r="Q468" s="2414"/>
      <c r="R468" s="1964"/>
      <c r="S468" s="1964"/>
      <c r="T468" s="1964"/>
      <c r="U468" s="1964"/>
      <c r="V468" s="1964"/>
      <c r="W468" s="1964"/>
      <c r="X468" s="1964"/>
      <c r="Y468" s="1964"/>
      <c r="Z468" s="1964"/>
      <c r="AA468" s="2491"/>
      <c r="AB468" s="1964"/>
    </row>
    <row r="469" spans="4:28" s="1912" customFormat="1" ht="20.25" customHeight="1">
      <c r="D469" s="2414"/>
      <c r="E469" s="2414"/>
      <c r="F469" s="2414"/>
      <c r="G469" s="2414"/>
      <c r="H469" s="2414"/>
      <c r="I469" s="2414"/>
      <c r="J469" s="2414"/>
      <c r="K469" s="2414"/>
      <c r="L469" s="2414"/>
      <c r="M469" s="2414"/>
      <c r="N469" s="2414"/>
      <c r="O469" s="2414"/>
      <c r="P469" s="2414"/>
      <c r="Q469" s="2414"/>
      <c r="R469" s="1964"/>
      <c r="S469" s="1964"/>
      <c r="T469" s="1964"/>
      <c r="U469" s="1964"/>
      <c r="V469" s="1964"/>
      <c r="W469" s="1964"/>
      <c r="X469" s="1964"/>
      <c r="Y469" s="1964"/>
      <c r="Z469" s="1964"/>
      <c r="AA469" s="2491"/>
      <c r="AB469" s="1964"/>
    </row>
    <row r="470" spans="4:28" s="1912" customFormat="1" ht="20.25" customHeight="1">
      <c r="D470" s="2414"/>
      <c r="E470" s="2414"/>
      <c r="F470" s="2414"/>
      <c r="G470" s="2414"/>
      <c r="H470" s="2414"/>
      <c r="I470" s="2414"/>
      <c r="J470" s="2414"/>
      <c r="K470" s="2414"/>
      <c r="L470" s="2414"/>
      <c r="M470" s="2414"/>
      <c r="N470" s="2414"/>
      <c r="O470" s="2414"/>
      <c r="P470" s="2414"/>
      <c r="Q470" s="2414"/>
      <c r="R470" s="1964"/>
      <c r="S470" s="1964"/>
      <c r="T470" s="1964"/>
      <c r="U470" s="1964"/>
      <c r="V470" s="1964"/>
      <c r="W470" s="1964"/>
      <c r="X470" s="1964"/>
      <c r="Y470" s="1964"/>
      <c r="Z470" s="1964"/>
      <c r="AA470" s="2491"/>
      <c r="AB470" s="1964"/>
    </row>
    <row r="471" spans="4:28" s="1912" customFormat="1" ht="20.25" customHeight="1">
      <c r="D471" s="2414"/>
      <c r="E471" s="2414"/>
      <c r="F471" s="2414"/>
      <c r="G471" s="2414"/>
      <c r="H471" s="2414"/>
      <c r="I471" s="2414"/>
      <c r="J471" s="2414"/>
      <c r="K471" s="2414"/>
      <c r="L471" s="2414"/>
      <c r="M471" s="2414"/>
      <c r="N471" s="2414"/>
      <c r="O471" s="2414"/>
      <c r="P471" s="2414"/>
      <c r="Q471" s="2414"/>
      <c r="R471" s="1964"/>
      <c r="S471" s="1964"/>
      <c r="T471" s="1964"/>
      <c r="U471" s="1964"/>
      <c r="V471" s="1964"/>
      <c r="W471" s="1964"/>
      <c r="X471" s="1964"/>
      <c r="Y471" s="1964"/>
      <c r="Z471" s="1964"/>
      <c r="AA471" s="2491"/>
      <c r="AB471" s="1964"/>
    </row>
    <row r="472" spans="4:28" s="1912" customFormat="1" ht="20.25" customHeight="1">
      <c r="D472" s="2414"/>
      <c r="E472" s="2414"/>
      <c r="F472" s="2414"/>
      <c r="G472" s="2414"/>
      <c r="H472" s="2414"/>
      <c r="I472" s="2414"/>
      <c r="J472" s="2414"/>
      <c r="K472" s="2414"/>
      <c r="L472" s="2414"/>
      <c r="M472" s="2414"/>
      <c r="N472" s="2414"/>
      <c r="O472" s="2414"/>
      <c r="P472" s="2414"/>
      <c r="Q472" s="2414"/>
      <c r="R472" s="1964"/>
      <c r="S472" s="1964"/>
      <c r="T472" s="1964"/>
      <c r="U472" s="1964"/>
      <c r="V472" s="1964"/>
      <c r="W472" s="1964"/>
      <c r="X472" s="1964"/>
      <c r="Y472" s="1964"/>
      <c r="Z472" s="1964"/>
      <c r="AA472" s="2491"/>
      <c r="AB472" s="1964"/>
    </row>
    <row r="473" spans="4:28" s="1912" customFormat="1" ht="20.25" customHeight="1">
      <c r="D473" s="2414"/>
      <c r="E473" s="2414"/>
      <c r="F473" s="2414"/>
      <c r="G473" s="2414"/>
      <c r="H473" s="2414"/>
      <c r="I473" s="2414"/>
      <c r="J473" s="2414"/>
      <c r="K473" s="2414"/>
      <c r="L473" s="2414"/>
      <c r="M473" s="2414"/>
      <c r="N473" s="2414"/>
      <c r="O473" s="2414"/>
      <c r="P473" s="2414"/>
      <c r="Q473" s="2414"/>
      <c r="R473" s="1964"/>
      <c r="S473" s="1964"/>
      <c r="T473" s="1964"/>
      <c r="U473" s="1964"/>
      <c r="V473" s="1964"/>
      <c r="W473" s="1964"/>
      <c r="X473" s="1964"/>
      <c r="Y473" s="1964"/>
      <c r="Z473" s="1964"/>
      <c r="AA473" s="2491"/>
      <c r="AB473" s="1964"/>
    </row>
    <row r="474" spans="4:28" s="1912" customFormat="1" ht="20.25" customHeight="1">
      <c r="D474" s="2414"/>
      <c r="E474" s="2414"/>
      <c r="F474" s="2414"/>
      <c r="G474" s="2414"/>
      <c r="H474" s="2414"/>
      <c r="I474" s="2414"/>
      <c r="J474" s="2414"/>
      <c r="K474" s="2414"/>
      <c r="L474" s="2414"/>
      <c r="M474" s="2414"/>
      <c r="N474" s="2414"/>
      <c r="O474" s="2414"/>
      <c r="P474" s="2414"/>
      <c r="Q474" s="2414"/>
      <c r="R474" s="1964"/>
      <c r="S474" s="1964"/>
      <c r="T474" s="1964"/>
      <c r="U474" s="1964"/>
      <c r="V474" s="1964"/>
      <c r="W474" s="1964"/>
      <c r="X474" s="1964"/>
      <c r="Y474" s="1964"/>
      <c r="Z474" s="1964"/>
      <c r="AA474" s="2491"/>
      <c r="AB474" s="1964"/>
    </row>
    <row r="475" spans="4:28" s="1912" customFormat="1" ht="20.25" customHeight="1">
      <c r="D475" s="2414"/>
      <c r="E475" s="2414"/>
      <c r="F475" s="2414"/>
      <c r="G475" s="2414"/>
      <c r="H475" s="2414"/>
      <c r="I475" s="2414"/>
      <c r="J475" s="2414"/>
      <c r="K475" s="2414"/>
      <c r="L475" s="2414"/>
      <c r="M475" s="2414"/>
      <c r="N475" s="2414"/>
      <c r="O475" s="2414"/>
      <c r="P475" s="2414"/>
      <c r="Q475" s="2414"/>
      <c r="R475" s="1964"/>
      <c r="S475" s="1964"/>
      <c r="T475" s="1964"/>
      <c r="U475" s="1964"/>
      <c r="V475" s="1964"/>
      <c r="W475" s="1964"/>
      <c r="X475" s="1964"/>
      <c r="Y475" s="1964"/>
      <c r="Z475" s="1964"/>
      <c r="AA475" s="2491"/>
      <c r="AB475" s="1964"/>
    </row>
    <row r="476" spans="4:28" s="1912" customFormat="1" ht="20.25" customHeight="1">
      <c r="D476" s="2414"/>
      <c r="E476" s="2414"/>
      <c r="F476" s="2414"/>
      <c r="G476" s="2414"/>
      <c r="H476" s="2414"/>
      <c r="I476" s="2414"/>
      <c r="J476" s="2414"/>
      <c r="K476" s="2414"/>
      <c r="L476" s="2414"/>
      <c r="M476" s="2414"/>
      <c r="N476" s="2414"/>
      <c r="O476" s="2414"/>
      <c r="P476" s="2414"/>
      <c r="Q476" s="2414"/>
      <c r="R476" s="1964"/>
      <c r="S476" s="1964"/>
      <c r="T476" s="1964"/>
      <c r="U476" s="1964"/>
      <c r="V476" s="1964"/>
      <c r="W476" s="1964"/>
      <c r="X476" s="1964"/>
      <c r="Y476" s="1964"/>
      <c r="Z476" s="1964"/>
      <c r="AA476" s="2491"/>
      <c r="AB476" s="1964"/>
    </row>
    <row r="477" spans="4:28" s="1912" customFormat="1" ht="20.25" customHeight="1">
      <c r="D477" s="2414"/>
      <c r="E477" s="2414"/>
      <c r="F477" s="2414"/>
      <c r="G477" s="2414"/>
      <c r="H477" s="2414"/>
      <c r="I477" s="2414"/>
      <c r="J477" s="2414"/>
      <c r="K477" s="2414"/>
      <c r="L477" s="2414"/>
      <c r="M477" s="2414"/>
      <c r="N477" s="2414"/>
      <c r="O477" s="2414"/>
      <c r="P477" s="2414"/>
      <c r="Q477" s="2414"/>
      <c r="R477" s="1964"/>
      <c r="S477" s="1964"/>
      <c r="T477" s="1964"/>
      <c r="U477" s="1964"/>
      <c r="V477" s="1964"/>
      <c r="W477" s="1964"/>
      <c r="X477" s="1964"/>
      <c r="Y477" s="1964"/>
      <c r="Z477" s="1964"/>
      <c r="AA477" s="2491"/>
      <c r="AB477" s="1964"/>
    </row>
    <row r="478" spans="4:28" s="1912" customFormat="1" ht="20.25" customHeight="1">
      <c r="D478" s="2414"/>
      <c r="E478" s="2414"/>
      <c r="F478" s="2414"/>
      <c r="G478" s="2414"/>
      <c r="H478" s="2414"/>
      <c r="I478" s="2414"/>
      <c r="J478" s="2414"/>
      <c r="K478" s="2414"/>
      <c r="L478" s="2414"/>
      <c r="M478" s="2414"/>
      <c r="N478" s="2414"/>
      <c r="O478" s="2414"/>
      <c r="P478" s="2414"/>
      <c r="Q478" s="2414"/>
      <c r="R478" s="1964"/>
      <c r="S478" s="1964"/>
      <c r="T478" s="1964"/>
      <c r="U478" s="1964"/>
      <c r="V478" s="1964"/>
      <c r="W478" s="1964"/>
      <c r="X478" s="1964"/>
      <c r="Y478" s="1964"/>
      <c r="Z478" s="1964"/>
      <c r="AA478" s="2491"/>
      <c r="AB478" s="1964"/>
    </row>
    <row r="479" spans="4:28" s="1912" customFormat="1" ht="20.25" customHeight="1">
      <c r="D479" s="2414"/>
      <c r="E479" s="2414"/>
      <c r="F479" s="2414"/>
      <c r="G479" s="2414"/>
      <c r="H479" s="2414"/>
      <c r="I479" s="2414"/>
      <c r="J479" s="2414"/>
      <c r="K479" s="2414"/>
      <c r="L479" s="2414"/>
      <c r="M479" s="2414"/>
      <c r="N479" s="2414"/>
      <c r="O479" s="2414"/>
      <c r="P479" s="2414"/>
      <c r="Q479" s="2414"/>
      <c r="R479" s="1964"/>
      <c r="S479" s="1964"/>
      <c r="T479" s="1964"/>
      <c r="U479" s="1964"/>
      <c r="V479" s="1964"/>
      <c r="W479" s="1964"/>
      <c r="X479" s="1964"/>
      <c r="Y479" s="1964"/>
      <c r="Z479" s="1964"/>
      <c r="AA479" s="2491"/>
      <c r="AB479" s="1964"/>
    </row>
    <row r="480" spans="4:28" s="1912" customFormat="1" ht="20.25" customHeight="1">
      <c r="D480" s="2414"/>
      <c r="E480" s="2414"/>
      <c r="F480" s="2414"/>
      <c r="G480" s="2414"/>
      <c r="H480" s="2414"/>
      <c r="I480" s="2414"/>
      <c r="J480" s="2414"/>
      <c r="K480" s="2414"/>
      <c r="L480" s="2414"/>
      <c r="M480" s="2414"/>
      <c r="N480" s="2414"/>
      <c r="O480" s="2414"/>
      <c r="P480" s="2414"/>
      <c r="Q480" s="2414"/>
      <c r="R480" s="1964"/>
      <c r="S480" s="1964"/>
      <c r="T480" s="1964"/>
      <c r="U480" s="1964"/>
      <c r="V480" s="1964"/>
      <c r="W480" s="1964"/>
      <c r="X480" s="1964"/>
      <c r="Y480" s="1964"/>
      <c r="Z480" s="1964"/>
      <c r="AA480" s="2491"/>
      <c r="AB480" s="1964"/>
    </row>
    <row r="481" spans="4:28" s="1912" customFormat="1" ht="20.25" customHeight="1">
      <c r="D481" s="2414"/>
      <c r="E481" s="2414"/>
      <c r="F481" s="2414"/>
      <c r="G481" s="2414"/>
      <c r="H481" s="2414"/>
      <c r="I481" s="2414"/>
      <c r="J481" s="2414"/>
      <c r="K481" s="2414"/>
      <c r="L481" s="2414"/>
      <c r="M481" s="2414"/>
      <c r="N481" s="2414"/>
      <c r="O481" s="2414"/>
      <c r="P481" s="2414"/>
      <c r="Q481" s="2414"/>
      <c r="R481" s="1964"/>
      <c r="S481" s="1964"/>
      <c r="T481" s="1964"/>
      <c r="U481" s="1964"/>
      <c r="V481" s="1964"/>
      <c r="W481" s="1964"/>
      <c r="X481" s="1964"/>
      <c r="Y481" s="1964"/>
      <c r="Z481" s="1964"/>
      <c r="AA481" s="2491"/>
      <c r="AB481" s="1964"/>
    </row>
    <row r="482" spans="4:28" s="1912" customFormat="1" ht="20.25" customHeight="1">
      <c r="D482" s="2414"/>
      <c r="E482" s="2414"/>
      <c r="F482" s="2414"/>
      <c r="G482" s="2414"/>
      <c r="H482" s="2414"/>
      <c r="I482" s="2414"/>
      <c r="J482" s="2414"/>
      <c r="K482" s="2414"/>
      <c r="L482" s="2414"/>
      <c r="M482" s="2414"/>
      <c r="N482" s="2414"/>
      <c r="O482" s="2414"/>
      <c r="P482" s="2414"/>
      <c r="Q482" s="2414"/>
      <c r="R482" s="1964"/>
      <c r="S482" s="1964"/>
      <c r="T482" s="1964"/>
      <c r="U482" s="1964"/>
      <c r="V482" s="1964"/>
      <c r="W482" s="1964"/>
      <c r="X482" s="1964"/>
      <c r="Y482" s="1964"/>
      <c r="Z482" s="1964"/>
      <c r="AA482" s="2491"/>
      <c r="AB482" s="1964"/>
    </row>
    <row r="483" spans="4:28" s="1912" customFormat="1" ht="20.25" customHeight="1">
      <c r="D483" s="2414"/>
      <c r="E483" s="2414"/>
      <c r="F483" s="2414"/>
      <c r="G483" s="2414"/>
      <c r="H483" s="2414"/>
      <c r="I483" s="2414"/>
      <c r="J483" s="2414"/>
      <c r="K483" s="2414"/>
      <c r="L483" s="2414"/>
      <c r="M483" s="2414"/>
      <c r="N483" s="2414"/>
      <c r="O483" s="2414"/>
      <c r="P483" s="2414"/>
      <c r="Q483" s="2414"/>
      <c r="R483" s="1964"/>
      <c r="S483" s="1964"/>
      <c r="T483" s="1964"/>
      <c r="U483" s="1964"/>
      <c r="V483" s="1964"/>
      <c r="W483" s="1964"/>
      <c r="X483" s="1964"/>
      <c r="Y483" s="1964"/>
      <c r="Z483" s="1964"/>
      <c r="AA483" s="2491"/>
      <c r="AB483" s="1964"/>
    </row>
    <row r="484" spans="4:28" s="1912" customFormat="1" ht="20.25" customHeight="1">
      <c r="D484" s="2414"/>
      <c r="E484" s="2414"/>
      <c r="F484" s="2414"/>
      <c r="G484" s="2414"/>
      <c r="H484" s="2414"/>
      <c r="I484" s="2414"/>
      <c r="J484" s="2414"/>
      <c r="K484" s="2414"/>
      <c r="L484" s="2414"/>
      <c r="M484" s="2414"/>
      <c r="N484" s="2414"/>
      <c r="O484" s="2414"/>
      <c r="P484" s="2414"/>
      <c r="Q484" s="2414"/>
      <c r="R484" s="1964"/>
      <c r="S484" s="1964"/>
      <c r="T484" s="1964"/>
      <c r="U484" s="1964"/>
      <c r="V484" s="1964"/>
      <c r="W484" s="1964"/>
      <c r="X484" s="1964"/>
      <c r="Y484" s="1964"/>
      <c r="Z484" s="1964"/>
      <c r="AA484" s="2491"/>
      <c r="AB484" s="1964"/>
    </row>
    <row r="485" spans="4:28" s="1912" customFormat="1" ht="20.25" customHeight="1">
      <c r="D485" s="2414"/>
      <c r="E485" s="2414"/>
      <c r="F485" s="2414"/>
      <c r="G485" s="2414"/>
      <c r="H485" s="2414"/>
      <c r="I485" s="2414"/>
      <c r="J485" s="2414"/>
      <c r="K485" s="2414"/>
      <c r="L485" s="2414"/>
      <c r="M485" s="2414"/>
      <c r="N485" s="2414"/>
      <c r="O485" s="2414"/>
      <c r="P485" s="2414"/>
      <c r="Q485" s="2414"/>
      <c r="R485" s="1964"/>
      <c r="S485" s="1964"/>
      <c r="T485" s="1964"/>
      <c r="U485" s="1964"/>
      <c r="V485" s="1964"/>
      <c r="W485" s="1964"/>
      <c r="X485" s="1964"/>
      <c r="Y485" s="1964"/>
      <c r="Z485" s="1964"/>
      <c r="AA485" s="2491"/>
      <c r="AB485" s="1964"/>
    </row>
    <row r="486" spans="4:28" s="1912" customFormat="1" ht="20.25" customHeight="1">
      <c r="D486" s="2414"/>
      <c r="E486" s="2414"/>
      <c r="F486" s="2414"/>
      <c r="G486" s="2414"/>
      <c r="H486" s="2414"/>
      <c r="I486" s="2414"/>
      <c r="J486" s="2414"/>
      <c r="K486" s="2414"/>
      <c r="L486" s="2414"/>
      <c r="M486" s="2414"/>
      <c r="N486" s="2414"/>
      <c r="O486" s="2414"/>
      <c r="P486" s="2414"/>
      <c r="Q486" s="2414"/>
      <c r="R486" s="1964"/>
      <c r="S486" s="1964"/>
      <c r="T486" s="1964"/>
      <c r="U486" s="1964"/>
      <c r="V486" s="1964"/>
      <c r="W486" s="1964"/>
      <c r="X486" s="1964"/>
      <c r="Y486" s="1964"/>
      <c r="Z486" s="1964"/>
      <c r="AA486" s="2491"/>
      <c r="AB486" s="1964"/>
    </row>
    <row r="487" spans="4:28" s="1912" customFormat="1" ht="20.25" customHeight="1">
      <c r="D487" s="2414"/>
      <c r="E487" s="2414"/>
      <c r="F487" s="2414"/>
      <c r="G487" s="2414"/>
      <c r="H487" s="2414"/>
      <c r="I487" s="2414"/>
      <c r="J487" s="2414"/>
      <c r="K487" s="2414"/>
      <c r="L487" s="2414"/>
      <c r="M487" s="2414"/>
      <c r="N487" s="2414"/>
      <c r="O487" s="2414"/>
      <c r="P487" s="2414"/>
      <c r="Q487" s="2414"/>
      <c r="R487" s="1964"/>
      <c r="S487" s="1964"/>
      <c r="T487" s="1964"/>
      <c r="U487" s="1964"/>
      <c r="V487" s="1964"/>
      <c r="W487" s="1964"/>
      <c r="X487" s="1964"/>
      <c r="Y487" s="1964"/>
      <c r="Z487" s="1964"/>
      <c r="AA487" s="2491"/>
      <c r="AB487" s="1964"/>
    </row>
    <row r="488" spans="4:28" s="1912" customFormat="1" ht="20.25" customHeight="1">
      <c r="D488" s="2414"/>
      <c r="E488" s="2414"/>
      <c r="F488" s="2414"/>
      <c r="G488" s="2414"/>
      <c r="H488" s="2414"/>
      <c r="I488" s="2414"/>
      <c r="J488" s="2414"/>
      <c r="K488" s="2414"/>
      <c r="L488" s="2414"/>
      <c r="M488" s="2414"/>
      <c r="N488" s="2414"/>
      <c r="O488" s="2414"/>
      <c r="P488" s="2414"/>
      <c r="Q488" s="2414"/>
      <c r="R488" s="1964"/>
      <c r="S488" s="1964"/>
      <c r="T488" s="1964"/>
      <c r="U488" s="1964"/>
      <c r="V488" s="1964"/>
      <c r="W488" s="1964"/>
      <c r="X488" s="1964"/>
      <c r="Y488" s="1964"/>
      <c r="Z488" s="1964"/>
      <c r="AA488" s="2491"/>
      <c r="AB488" s="1964"/>
    </row>
    <row r="489" spans="4:28" s="1912" customFormat="1" ht="20.25" customHeight="1">
      <c r="D489" s="2414"/>
      <c r="E489" s="2414"/>
      <c r="F489" s="2414"/>
      <c r="G489" s="2414"/>
      <c r="H489" s="2414"/>
      <c r="I489" s="2414"/>
      <c r="J489" s="2414"/>
      <c r="K489" s="2414"/>
      <c r="L489" s="2414"/>
      <c r="M489" s="2414"/>
      <c r="N489" s="2414"/>
      <c r="O489" s="2414"/>
      <c r="P489" s="2414"/>
      <c r="Q489" s="2414"/>
      <c r="R489" s="1964"/>
      <c r="S489" s="1964"/>
      <c r="T489" s="1964"/>
      <c r="U489" s="1964"/>
      <c r="V489" s="1964"/>
      <c r="W489" s="1964"/>
      <c r="X489" s="1964"/>
      <c r="Y489" s="1964"/>
      <c r="Z489" s="1964"/>
      <c r="AA489" s="2491"/>
      <c r="AB489" s="1964"/>
    </row>
    <row r="490" spans="4:28" s="1912" customFormat="1" ht="20.25" customHeight="1">
      <c r="D490" s="2414"/>
      <c r="E490" s="2414"/>
      <c r="F490" s="2414"/>
      <c r="G490" s="2414"/>
      <c r="H490" s="2414"/>
      <c r="I490" s="2414"/>
      <c r="J490" s="2414"/>
      <c r="K490" s="2414"/>
      <c r="L490" s="2414"/>
      <c r="M490" s="2414"/>
      <c r="N490" s="2414"/>
      <c r="O490" s="2414"/>
      <c r="P490" s="2414"/>
      <c r="Q490" s="2414"/>
      <c r="R490" s="1964"/>
      <c r="S490" s="1964"/>
      <c r="T490" s="1964"/>
      <c r="U490" s="1964"/>
      <c r="V490" s="1964"/>
      <c r="W490" s="1964"/>
      <c r="X490" s="1964"/>
      <c r="Y490" s="1964"/>
      <c r="Z490" s="1964"/>
      <c r="AA490" s="2491"/>
      <c r="AB490" s="1964"/>
    </row>
    <row r="491" spans="4:28" s="1912" customFormat="1" ht="20.25" customHeight="1">
      <c r="D491" s="2414"/>
      <c r="E491" s="2414"/>
      <c r="F491" s="2414"/>
      <c r="G491" s="2414"/>
      <c r="H491" s="2414"/>
      <c r="I491" s="2414"/>
      <c r="J491" s="2414"/>
      <c r="K491" s="2414"/>
      <c r="L491" s="2414"/>
      <c r="M491" s="2414"/>
      <c r="N491" s="2414"/>
      <c r="O491" s="2414"/>
      <c r="P491" s="2414"/>
      <c r="Q491" s="2414"/>
      <c r="R491" s="1964"/>
      <c r="S491" s="1964"/>
      <c r="T491" s="1964"/>
      <c r="U491" s="1964"/>
      <c r="V491" s="1964"/>
      <c r="W491" s="1964"/>
      <c r="X491" s="1964"/>
      <c r="Y491" s="1964"/>
      <c r="Z491" s="1964"/>
      <c r="AA491" s="2491"/>
      <c r="AB491" s="1964"/>
    </row>
    <row r="492" spans="4:28" s="1912" customFormat="1" ht="20.25" customHeight="1">
      <c r="R492" s="1964"/>
      <c r="S492" s="1964"/>
      <c r="T492" s="1964"/>
      <c r="U492" s="1964"/>
      <c r="V492" s="1964"/>
      <c r="W492" s="1964"/>
      <c r="X492" s="1964"/>
      <c r="Y492" s="1964"/>
      <c r="Z492" s="1964"/>
      <c r="AA492" s="2491"/>
      <c r="AB492" s="1964"/>
    </row>
    <row r="493" spans="4:28" s="1912" customFormat="1" ht="20.25" customHeight="1">
      <c r="R493" s="1964"/>
      <c r="S493" s="1964"/>
      <c r="T493" s="1964"/>
      <c r="U493" s="1964"/>
      <c r="V493" s="1964"/>
      <c r="W493" s="1964"/>
      <c r="X493" s="1964"/>
      <c r="Y493" s="1964"/>
      <c r="Z493" s="1964"/>
      <c r="AA493" s="2491"/>
      <c r="AB493" s="1964"/>
    </row>
    <row r="494" spans="4:28" s="1912" customFormat="1" ht="20.25" customHeight="1">
      <c r="R494" s="1964"/>
      <c r="S494" s="1964"/>
      <c r="T494" s="1964"/>
      <c r="U494" s="1964"/>
      <c r="V494" s="1964"/>
      <c r="W494" s="1964"/>
      <c r="X494" s="1964"/>
      <c r="Y494" s="1964"/>
      <c r="Z494" s="1964"/>
      <c r="AA494" s="2491"/>
      <c r="AB494" s="1964"/>
    </row>
    <row r="495" spans="4:28" s="1912" customFormat="1" ht="20.25" customHeight="1">
      <c r="R495" s="1964"/>
      <c r="S495" s="1964"/>
      <c r="T495" s="1964"/>
      <c r="U495" s="1964"/>
      <c r="V495" s="1964"/>
      <c r="W495" s="1964"/>
      <c r="X495" s="1964"/>
      <c r="Y495" s="1964"/>
      <c r="Z495" s="1964"/>
      <c r="AA495" s="2491"/>
      <c r="AB495" s="1964"/>
    </row>
    <row r="496" spans="4:28" s="1912" customFormat="1" ht="20.25" customHeight="1">
      <c r="R496" s="1964"/>
      <c r="S496" s="1964"/>
      <c r="T496" s="1964"/>
      <c r="U496" s="1964"/>
      <c r="V496" s="1964"/>
      <c r="W496" s="1964"/>
      <c r="X496" s="1964"/>
      <c r="Y496" s="1964"/>
      <c r="Z496" s="1964"/>
      <c r="AA496" s="2491"/>
      <c r="AB496" s="1964"/>
    </row>
    <row r="497" spans="18:28" s="1912" customFormat="1" ht="20.25" customHeight="1">
      <c r="R497" s="1964"/>
      <c r="S497" s="1964"/>
      <c r="T497" s="1964"/>
      <c r="U497" s="1964"/>
      <c r="V497" s="1964"/>
      <c r="W497" s="1964"/>
      <c r="X497" s="1964"/>
      <c r="Y497" s="1964"/>
      <c r="Z497" s="1964"/>
      <c r="AA497" s="2491"/>
      <c r="AB497" s="1964"/>
    </row>
    <row r="498" spans="18:28" s="1912" customFormat="1" ht="20.25" customHeight="1">
      <c r="R498" s="1964"/>
      <c r="S498" s="1964"/>
      <c r="T498" s="1964"/>
      <c r="U498" s="1964"/>
      <c r="V498" s="1964"/>
      <c r="W498" s="1964"/>
      <c r="X498" s="1964"/>
      <c r="Y498" s="1964"/>
      <c r="Z498" s="1964"/>
      <c r="AA498" s="2491"/>
      <c r="AB498" s="1964"/>
    </row>
    <row r="499" spans="18:28" s="1912" customFormat="1" ht="20.25" customHeight="1">
      <c r="R499" s="1964"/>
      <c r="S499" s="1964"/>
      <c r="T499" s="1964"/>
      <c r="U499" s="1964"/>
      <c r="V499" s="1964"/>
      <c r="W499" s="1964"/>
      <c r="X499" s="1964"/>
      <c r="Y499" s="1964"/>
      <c r="Z499" s="1964"/>
      <c r="AA499" s="2491"/>
      <c r="AB499" s="1964"/>
    </row>
    <row r="500" spans="18:28" s="1912" customFormat="1" ht="20.25" customHeight="1">
      <c r="R500" s="1964"/>
      <c r="S500" s="1964"/>
      <c r="T500" s="1964"/>
      <c r="U500" s="1964"/>
      <c r="V500" s="1964"/>
      <c r="W500" s="1964"/>
      <c r="X500" s="1964"/>
      <c r="Y500" s="1964"/>
      <c r="Z500" s="1964"/>
      <c r="AA500" s="2491"/>
      <c r="AB500" s="1964"/>
    </row>
    <row r="501" spans="18:28" s="1912" customFormat="1" ht="20.25" customHeight="1">
      <c r="R501" s="1964"/>
      <c r="S501" s="1964"/>
      <c r="T501" s="1964"/>
      <c r="U501" s="1964"/>
      <c r="V501" s="1964"/>
      <c r="W501" s="1964"/>
      <c r="X501" s="1964"/>
      <c r="Y501" s="1964"/>
      <c r="Z501" s="1964"/>
      <c r="AA501" s="2491"/>
      <c r="AB501" s="1964"/>
    </row>
    <row r="502" spans="18:28" s="1912" customFormat="1" ht="20.25" customHeight="1">
      <c r="R502" s="1964"/>
      <c r="S502" s="1964"/>
      <c r="T502" s="1964"/>
      <c r="U502" s="1964"/>
      <c r="V502" s="1964"/>
      <c r="W502" s="1964"/>
      <c r="X502" s="1964"/>
      <c r="Y502" s="1964"/>
      <c r="Z502" s="1964"/>
      <c r="AA502" s="2491"/>
      <c r="AB502" s="1964"/>
    </row>
    <row r="503" spans="18:28" s="1912" customFormat="1" ht="20.25" customHeight="1">
      <c r="R503" s="1964"/>
      <c r="S503" s="1964"/>
      <c r="T503" s="1964"/>
      <c r="U503" s="1964"/>
      <c r="V503" s="1964"/>
      <c r="W503" s="1964"/>
      <c r="X503" s="1964"/>
      <c r="Y503" s="1964"/>
      <c r="Z503" s="1964"/>
      <c r="AA503" s="2491"/>
      <c r="AB503" s="1964"/>
    </row>
    <row r="504" spans="18:28" s="1912" customFormat="1" ht="20.25" customHeight="1">
      <c r="R504" s="1964"/>
      <c r="S504" s="1964"/>
      <c r="T504" s="1964"/>
      <c r="U504" s="1964"/>
      <c r="V504" s="1964"/>
      <c r="W504" s="1964"/>
      <c r="X504" s="1964"/>
      <c r="Y504" s="1964"/>
      <c r="Z504" s="1964"/>
      <c r="AA504" s="2491"/>
      <c r="AB504" s="1964"/>
    </row>
    <row r="505" spans="18:28" s="1912" customFormat="1" ht="20.25" customHeight="1">
      <c r="R505" s="1964"/>
      <c r="S505" s="1964"/>
      <c r="T505" s="1964"/>
      <c r="U505" s="1964"/>
      <c r="V505" s="1964"/>
      <c r="W505" s="1964"/>
      <c r="X505" s="1964"/>
      <c r="Y505" s="1964"/>
      <c r="Z505" s="1964"/>
      <c r="AA505" s="2491"/>
      <c r="AB505" s="1964"/>
    </row>
    <row r="506" spans="18:28" s="1912" customFormat="1" ht="20.25" customHeight="1">
      <c r="R506" s="1964"/>
      <c r="S506" s="1964"/>
      <c r="T506" s="1964"/>
      <c r="U506" s="1964"/>
      <c r="V506" s="1964"/>
      <c r="W506" s="1964"/>
      <c r="X506" s="1964"/>
      <c r="Y506" s="1964"/>
      <c r="Z506" s="1964"/>
      <c r="AA506" s="2491"/>
      <c r="AB506" s="1964"/>
    </row>
    <row r="507" spans="18:28" s="1912" customFormat="1" ht="20.25" customHeight="1">
      <c r="R507" s="1964"/>
      <c r="S507" s="1964"/>
      <c r="T507" s="1964"/>
      <c r="U507" s="1964"/>
      <c r="V507" s="1964"/>
      <c r="W507" s="1964"/>
      <c r="X507" s="1964"/>
      <c r="Y507" s="1964"/>
      <c r="Z507" s="1964"/>
      <c r="AA507" s="2491"/>
      <c r="AB507" s="1964"/>
    </row>
    <row r="508" spans="18:28" s="1912" customFormat="1" ht="20.25" customHeight="1">
      <c r="R508" s="1964"/>
      <c r="S508" s="1964"/>
      <c r="T508" s="1964"/>
      <c r="U508" s="1964"/>
      <c r="V508" s="1964"/>
      <c r="W508" s="1964"/>
      <c r="X508" s="1964"/>
      <c r="Y508" s="1964"/>
      <c r="Z508" s="1964"/>
      <c r="AA508" s="2491"/>
      <c r="AB508" s="1964"/>
    </row>
    <row r="509" spans="18:28" s="1912" customFormat="1" ht="20.25" customHeight="1">
      <c r="R509" s="1964"/>
      <c r="S509" s="1964"/>
      <c r="T509" s="1964"/>
      <c r="U509" s="1964"/>
      <c r="V509" s="1964"/>
      <c r="W509" s="1964"/>
      <c r="X509" s="1964"/>
      <c r="Y509" s="1964"/>
      <c r="Z509" s="1964"/>
      <c r="AA509" s="2491"/>
      <c r="AB509" s="1964"/>
    </row>
    <row r="510" spans="18:28" s="1912" customFormat="1" ht="20.25" customHeight="1">
      <c r="R510" s="1964"/>
      <c r="S510" s="1964"/>
      <c r="T510" s="1964"/>
      <c r="U510" s="1964"/>
      <c r="V510" s="1964"/>
      <c r="W510" s="1964"/>
      <c r="X510" s="1964"/>
      <c r="Y510" s="1964"/>
      <c r="Z510" s="1964"/>
      <c r="AA510" s="2491"/>
      <c r="AB510" s="1964"/>
    </row>
    <row r="511" spans="18:28" s="1912" customFormat="1" ht="20.25" customHeight="1">
      <c r="R511" s="1964"/>
      <c r="S511" s="1964"/>
      <c r="T511" s="1964"/>
      <c r="U511" s="1964"/>
      <c r="V511" s="1964"/>
      <c r="W511" s="1964"/>
      <c r="X511" s="1964"/>
      <c r="Y511" s="1964"/>
      <c r="Z511" s="1964"/>
      <c r="AA511" s="2491"/>
      <c r="AB511" s="1964"/>
    </row>
    <row r="512" spans="18:28" s="1912" customFormat="1" ht="20.25" customHeight="1">
      <c r="R512" s="1964"/>
      <c r="S512" s="1964"/>
      <c r="T512" s="1964"/>
      <c r="U512" s="1964"/>
      <c r="V512" s="1964"/>
      <c r="W512" s="1964"/>
      <c r="X512" s="1964"/>
      <c r="Y512" s="1964"/>
      <c r="Z512" s="1964"/>
      <c r="AA512" s="2491"/>
      <c r="AB512" s="1964"/>
    </row>
    <row r="513" spans="18:28" s="1912" customFormat="1" ht="20.25" customHeight="1">
      <c r="R513" s="1964"/>
      <c r="S513" s="1964"/>
      <c r="T513" s="1964"/>
      <c r="U513" s="1964"/>
      <c r="V513" s="1964"/>
      <c r="W513" s="1964"/>
      <c r="X513" s="1964"/>
      <c r="Y513" s="1964"/>
      <c r="Z513" s="1964"/>
      <c r="AA513" s="2491"/>
      <c r="AB513" s="1964"/>
    </row>
    <row r="514" spans="18:28" s="1912" customFormat="1" ht="20.25" customHeight="1">
      <c r="R514" s="1964"/>
      <c r="S514" s="1964"/>
      <c r="T514" s="1964"/>
      <c r="U514" s="1964"/>
      <c r="V514" s="1964"/>
      <c r="W514" s="1964"/>
      <c r="X514" s="1964"/>
      <c r="Y514" s="1964"/>
      <c r="Z514" s="1964"/>
      <c r="AA514" s="2491"/>
      <c r="AB514" s="1964"/>
    </row>
    <row r="515" spans="18:28" s="1912" customFormat="1" ht="20.25" customHeight="1">
      <c r="R515" s="1964"/>
      <c r="S515" s="1964"/>
      <c r="T515" s="1964"/>
      <c r="U515" s="1964"/>
      <c r="V515" s="1964"/>
      <c r="W515" s="1964"/>
      <c r="X515" s="1964"/>
      <c r="Y515" s="1964"/>
      <c r="Z515" s="1964"/>
      <c r="AA515" s="2491"/>
      <c r="AB515" s="1964"/>
    </row>
    <row r="516" spans="18:28" s="1912" customFormat="1" ht="20.25" customHeight="1">
      <c r="R516" s="1964"/>
      <c r="S516" s="1964"/>
      <c r="T516" s="1964"/>
      <c r="U516" s="1964"/>
      <c r="V516" s="1964"/>
      <c r="W516" s="1964"/>
      <c r="X516" s="1964"/>
      <c r="Y516" s="1964"/>
      <c r="Z516" s="1964"/>
      <c r="AA516" s="2491"/>
      <c r="AB516" s="1964"/>
    </row>
    <row r="517" spans="18:28" s="1912" customFormat="1" ht="20.25" customHeight="1">
      <c r="R517" s="1964"/>
      <c r="S517" s="1964"/>
      <c r="T517" s="1964"/>
      <c r="U517" s="1964"/>
      <c r="V517" s="1964"/>
      <c r="W517" s="1964"/>
      <c r="X517" s="1964"/>
      <c r="Y517" s="1964"/>
      <c r="Z517" s="1964"/>
      <c r="AA517" s="2491"/>
      <c r="AB517" s="1964"/>
    </row>
    <row r="518" spans="18:28" s="1912" customFormat="1" ht="20.25" customHeight="1">
      <c r="R518" s="1964"/>
      <c r="S518" s="1964"/>
      <c r="T518" s="1964"/>
      <c r="U518" s="1964"/>
      <c r="V518" s="1964"/>
      <c r="W518" s="1964"/>
      <c r="X518" s="1964"/>
      <c r="Y518" s="1964"/>
      <c r="Z518" s="1964"/>
      <c r="AA518" s="2491"/>
      <c r="AB518" s="1964"/>
    </row>
    <row r="519" spans="18:28" s="1912" customFormat="1" ht="20.25" customHeight="1">
      <c r="R519" s="1964"/>
      <c r="S519" s="1964"/>
      <c r="T519" s="1964"/>
      <c r="U519" s="1964"/>
      <c r="V519" s="1964"/>
      <c r="W519" s="1964"/>
      <c r="X519" s="1964"/>
      <c r="Y519" s="1964"/>
      <c r="Z519" s="1964"/>
      <c r="AA519" s="2491"/>
      <c r="AB519" s="1964"/>
    </row>
    <row r="520" spans="18:28" s="1912" customFormat="1" ht="20.25" customHeight="1">
      <c r="R520" s="1964"/>
      <c r="S520" s="1964"/>
      <c r="T520" s="1964"/>
      <c r="U520" s="1964"/>
      <c r="V520" s="1964"/>
      <c r="W520" s="1964"/>
      <c r="X520" s="1964"/>
      <c r="Y520" s="1964"/>
      <c r="Z520" s="1964"/>
      <c r="AA520" s="2491"/>
      <c r="AB520" s="1964"/>
    </row>
    <row r="521" spans="18:28" s="1912" customFormat="1" ht="20.25" customHeight="1">
      <c r="R521" s="1964"/>
      <c r="S521" s="1964"/>
      <c r="T521" s="1964"/>
      <c r="U521" s="1964"/>
      <c r="V521" s="1964"/>
      <c r="W521" s="1964"/>
      <c r="X521" s="1964"/>
      <c r="Y521" s="1964"/>
      <c r="Z521" s="1964"/>
      <c r="AA521" s="2491"/>
      <c r="AB521" s="1964"/>
    </row>
    <row r="522" spans="18:28" s="1912" customFormat="1" ht="20.25" customHeight="1">
      <c r="R522" s="1964"/>
      <c r="S522" s="1964"/>
      <c r="T522" s="1964"/>
      <c r="U522" s="1964"/>
      <c r="V522" s="1964"/>
      <c r="W522" s="1964"/>
      <c r="X522" s="1964"/>
      <c r="Y522" s="1964"/>
      <c r="Z522" s="1964"/>
      <c r="AA522" s="2491"/>
      <c r="AB522" s="1964"/>
    </row>
    <row r="523" spans="18:28" s="1912" customFormat="1" ht="20.25" customHeight="1">
      <c r="R523" s="1964"/>
      <c r="S523" s="1964"/>
      <c r="T523" s="1964"/>
      <c r="U523" s="1964"/>
      <c r="V523" s="1964"/>
      <c r="W523" s="1964"/>
      <c r="X523" s="1964"/>
      <c r="Y523" s="1964"/>
      <c r="Z523" s="1964"/>
      <c r="AA523" s="2491"/>
      <c r="AB523" s="1964"/>
    </row>
    <row r="524" spans="18:28" s="1912" customFormat="1" ht="20.25" customHeight="1">
      <c r="R524" s="1964"/>
      <c r="S524" s="1964"/>
      <c r="T524" s="1964"/>
      <c r="U524" s="1964"/>
      <c r="V524" s="1964"/>
      <c r="W524" s="1964"/>
      <c r="X524" s="1964"/>
      <c r="Y524" s="1964"/>
      <c r="Z524" s="1964"/>
      <c r="AA524" s="2491"/>
      <c r="AB524" s="1964"/>
    </row>
    <row r="525" spans="18:28" s="1912" customFormat="1" ht="20.25" customHeight="1">
      <c r="R525" s="1964"/>
      <c r="S525" s="1964"/>
      <c r="T525" s="1964"/>
      <c r="U525" s="1964"/>
      <c r="V525" s="1964"/>
      <c r="W525" s="1964"/>
      <c r="X525" s="1964"/>
      <c r="Y525" s="1964"/>
      <c r="Z525" s="1964"/>
      <c r="AA525" s="2491"/>
      <c r="AB525" s="1964"/>
    </row>
    <row r="526" spans="18:28" s="1912" customFormat="1" ht="20.25" customHeight="1">
      <c r="R526" s="1964"/>
      <c r="S526" s="1964"/>
      <c r="T526" s="1964"/>
      <c r="U526" s="1964"/>
      <c r="V526" s="1964"/>
      <c r="W526" s="1964"/>
      <c r="X526" s="1964"/>
      <c r="Y526" s="1964"/>
      <c r="Z526" s="1964"/>
      <c r="AA526" s="2491"/>
      <c r="AB526" s="1964"/>
    </row>
    <row r="527" spans="18:28" s="1912" customFormat="1" ht="20.25" customHeight="1">
      <c r="R527" s="1964"/>
      <c r="S527" s="1964"/>
      <c r="T527" s="1964"/>
      <c r="U527" s="1964"/>
      <c r="V527" s="1964"/>
      <c r="W527" s="1964"/>
      <c r="X527" s="1964"/>
      <c r="Y527" s="1964"/>
      <c r="Z527" s="1964"/>
      <c r="AA527" s="2491"/>
      <c r="AB527" s="1964"/>
    </row>
    <row r="528" spans="18:28" s="1912" customFormat="1" ht="20.25" customHeight="1">
      <c r="R528" s="1964"/>
      <c r="S528" s="1964"/>
      <c r="T528" s="1964"/>
      <c r="U528" s="1964"/>
      <c r="V528" s="1964"/>
      <c r="W528" s="1964"/>
      <c r="X528" s="1964"/>
      <c r="Y528" s="1964"/>
      <c r="Z528" s="1964"/>
      <c r="AA528" s="2491"/>
      <c r="AB528" s="1964"/>
    </row>
    <row r="529" spans="18:28" s="1912" customFormat="1" ht="20.25" customHeight="1">
      <c r="R529" s="1964"/>
      <c r="S529" s="1964"/>
      <c r="T529" s="1964"/>
      <c r="U529" s="1964"/>
      <c r="V529" s="1964"/>
      <c r="W529" s="1964"/>
      <c r="X529" s="1964"/>
      <c r="Y529" s="1964"/>
      <c r="Z529" s="1964"/>
      <c r="AA529" s="2491"/>
      <c r="AB529" s="1964"/>
    </row>
    <row r="530" spans="18:28" s="1912" customFormat="1" ht="20.25" customHeight="1">
      <c r="R530" s="1964"/>
      <c r="S530" s="1964"/>
      <c r="T530" s="1964"/>
      <c r="U530" s="1964"/>
      <c r="V530" s="1964"/>
      <c r="W530" s="1964"/>
      <c r="X530" s="1964"/>
      <c r="Y530" s="1964"/>
      <c r="Z530" s="1964"/>
      <c r="AA530" s="2491"/>
      <c r="AB530" s="1964"/>
    </row>
    <row r="531" spans="18:28" s="1912" customFormat="1" ht="20.25" customHeight="1">
      <c r="R531" s="1964"/>
      <c r="S531" s="1964"/>
      <c r="T531" s="1964"/>
      <c r="U531" s="1964"/>
      <c r="V531" s="1964"/>
      <c r="W531" s="1964"/>
      <c r="X531" s="1964"/>
      <c r="Y531" s="1964"/>
      <c r="Z531" s="1964"/>
      <c r="AA531" s="2491"/>
      <c r="AB531" s="1964"/>
    </row>
    <row r="532" spans="18:28" s="1912" customFormat="1" ht="20.25" customHeight="1">
      <c r="R532" s="1964"/>
      <c r="S532" s="1964"/>
      <c r="T532" s="1964"/>
      <c r="U532" s="1964"/>
      <c r="V532" s="1964"/>
      <c r="W532" s="1964"/>
      <c r="X532" s="1964"/>
      <c r="Y532" s="1964"/>
      <c r="Z532" s="1964"/>
      <c r="AA532" s="2491"/>
      <c r="AB532" s="1964"/>
    </row>
    <row r="533" spans="18:28" s="1912" customFormat="1" ht="20.25" customHeight="1">
      <c r="R533" s="1964"/>
      <c r="S533" s="1964"/>
      <c r="T533" s="1964"/>
      <c r="U533" s="1964"/>
      <c r="V533" s="1964"/>
      <c r="W533" s="1964"/>
      <c r="X533" s="1964"/>
      <c r="Y533" s="1964"/>
      <c r="Z533" s="1964"/>
      <c r="AA533" s="2491"/>
      <c r="AB533" s="1964"/>
    </row>
    <row r="534" spans="18:28" s="1912" customFormat="1" ht="20.25" customHeight="1">
      <c r="R534" s="1964"/>
      <c r="S534" s="1964"/>
      <c r="T534" s="1964"/>
      <c r="U534" s="1964"/>
      <c r="V534" s="1964"/>
      <c r="W534" s="1964"/>
      <c r="X534" s="1964"/>
      <c r="Y534" s="1964"/>
      <c r="Z534" s="1964"/>
      <c r="AA534" s="2491"/>
      <c r="AB534" s="1964"/>
    </row>
    <row r="535" spans="18:28" s="1912" customFormat="1" ht="20.25" customHeight="1">
      <c r="R535" s="1964"/>
      <c r="S535" s="1964"/>
      <c r="T535" s="1964"/>
      <c r="U535" s="1964"/>
      <c r="V535" s="1964"/>
      <c r="W535" s="1964"/>
      <c r="X535" s="1964"/>
      <c r="Y535" s="1964"/>
      <c r="Z535" s="1964"/>
      <c r="AA535" s="2491"/>
      <c r="AB535" s="1964"/>
    </row>
    <row r="536" spans="18:28" s="1912" customFormat="1" ht="20.25" customHeight="1">
      <c r="R536" s="1964"/>
      <c r="S536" s="1964"/>
      <c r="T536" s="1964"/>
      <c r="U536" s="1964"/>
      <c r="V536" s="1964"/>
      <c r="W536" s="1964"/>
      <c r="X536" s="1964"/>
      <c r="Y536" s="1964"/>
      <c r="Z536" s="1964"/>
      <c r="AA536" s="2491"/>
      <c r="AB536" s="1964"/>
    </row>
    <row r="537" spans="18:28" s="1912" customFormat="1" ht="20.25" customHeight="1">
      <c r="R537" s="1964"/>
      <c r="S537" s="1964"/>
      <c r="T537" s="1964"/>
      <c r="U537" s="1964"/>
      <c r="V537" s="1964"/>
      <c r="W537" s="1964"/>
      <c r="X537" s="1964"/>
      <c r="Y537" s="1964"/>
      <c r="Z537" s="1964"/>
      <c r="AA537" s="2491"/>
      <c r="AB537" s="1964"/>
    </row>
    <row r="538" spans="18:28" s="1912" customFormat="1" ht="20.25" customHeight="1">
      <c r="R538" s="1964"/>
      <c r="S538" s="1964"/>
      <c r="T538" s="1964"/>
      <c r="U538" s="1964"/>
      <c r="V538" s="1964"/>
      <c r="W538" s="1964"/>
      <c r="X538" s="1964"/>
      <c r="Y538" s="1964"/>
      <c r="Z538" s="1964"/>
      <c r="AA538" s="2491"/>
      <c r="AB538" s="1964"/>
    </row>
    <row r="539" spans="18:28" s="1912" customFormat="1" ht="20.25" customHeight="1">
      <c r="R539" s="1964"/>
      <c r="S539" s="1964"/>
      <c r="T539" s="1964"/>
      <c r="U539" s="1964"/>
      <c r="V539" s="1964"/>
      <c r="W539" s="1964"/>
      <c r="X539" s="1964"/>
      <c r="Y539" s="1964"/>
      <c r="Z539" s="1964"/>
      <c r="AA539" s="2491"/>
      <c r="AB539" s="1964"/>
    </row>
    <row r="540" spans="18:28" s="1912" customFormat="1" ht="20.25" customHeight="1">
      <c r="R540" s="1964"/>
      <c r="S540" s="1964"/>
      <c r="T540" s="1964"/>
      <c r="U540" s="1964"/>
      <c r="V540" s="1964"/>
      <c r="W540" s="1964"/>
      <c r="X540" s="1964"/>
      <c r="Y540" s="1964"/>
      <c r="Z540" s="1964"/>
      <c r="AA540" s="2491"/>
      <c r="AB540" s="1964"/>
    </row>
    <row r="541" spans="18:28" s="1912" customFormat="1" ht="20.25" customHeight="1">
      <c r="R541" s="1964"/>
      <c r="S541" s="1964"/>
      <c r="T541" s="1964"/>
      <c r="U541" s="1964"/>
      <c r="V541" s="1964"/>
      <c r="W541" s="1964"/>
      <c r="X541" s="1964"/>
      <c r="Y541" s="1964"/>
      <c r="Z541" s="1964"/>
      <c r="AA541" s="2491"/>
      <c r="AB541" s="1964"/>
    </row>
    <row r="542" spans="18:28" s="1912" customFormat="1" ht="20.25" customHeight="1">
      <c r="R542" s="1964"/>
      <c r="S542" s="1964"/>
      <c r="T542" s="1964"/>
      <c r="U542" s="1964"/>
      <c r="V542" s="1964"/>
      <c r="W542" s="1964"/>
      <c r="X542" s="1964"/>
      <c r="Y542" s="1964"/>
      <c r="Z542" s="1964"/>
      <c r="AA542" s="2491"/>
      <c r="AB542" s="1964"/>
    </row>
    <row r="543" spans="18:28" s="1912" customFormat="1" ht="20.25" customHeight="1">
      <c r="R543" s="1964"/>
      <c r="S543" s="1964"/>
      <c r="T543" s="1964"/>
      <c r="U543" s="1964"/>
      <c r="V543" s="1964"/>
      <c r="W543" s="1964"/>
      <c r="X543" s="1964"/>
      <c r="Y543" s="1964"/>
      <c r="Z543" s="1964"/>
      <c r="AA543" s="2491"/>
      <c r="AB543" s="1964"/>
    </row>
    <row r="544" spans="18:28" s="1912" customFormat="1" ht="20.25" customHeight="1">
      <c r="R544" s="1964"/>
      <c r="S544" s="1964"/>
      <c r="T544" s="1964"/>
      <c r="U544" s="1964"/>
      <c r="V544" s="1964"/>
      <c r="W544" s="1964"/>
      <c r="X544" s="1964"/>
      <c r="Y544" s="1964"/>
      <c r="Z544" s="1964"/>
      <c r="AA544" s="2491"/>
      <c r="AB544" s="1964"/>
    </row>
    <row r="545" spans="1:28" s="1912" customFormat="1" ht="20.25" customHeight="1">
      <c r="R545" s="1964"/>
      <c r="S545" s="1964"/>
      <c r="T545" s="1964"/>
      <c r="U545" s="1964"/>
      <c r="V545" s="1964"/>
      <c r="W545" s="1964"/>
      <c r="X545" s="1964"/>
      <c r="Y545" s="1964"/>
      <c r="Z545" s="1964"/>
      <c r="AA545" s="2491"/>
      <c r="AB545" s="1964"/>
    </row>
    <row r="546" spans="1:28" s="1912" customFormat="1" ht="20.25" customHeight="1">
      <c r="R546" s="1964"/>
      <c r="S546" s="1964"/>
      <c r="T546" s="1964"/>
      <c r="U546" s="1964"/>
      <c r="V546" s="1964"/>
      <c r="W546" s="1964"/>
      <c r="X546" s="1964"/>
      <c r="Y546" s="1964"/>
      <c r="Z546" s="1964"/>
      <c r="AA546" s="2491"/>
      <c r="AB546" s="1964"/>
    </row>
    <row r="547" spans="1:28" s="1912" customFormat="1" ht="20.25" customHeight="1">
      <c r="R547" s="1964"/>
      <c r="S547" s="1964"/>
      <c r="T547" s="1964"/>
      <c r="U547" s="1964"/>
      <c r="V547" s="1964"/>
      <c r="W547" s="1964"/>
      <c r="X547" s="1964"/>
      <c r="Y547" s="1964"/>
      <c r="Z547" s="1964"/>
      <c r="AA547" s="2491"/>
      <c r="AB547" s="1964"/>
    </row>
    <row r="548" spans="1:28" s="1912" customFormat="1" ht="20.25" customHeight="1">
      <c r="R548" s="1964"/>
      <c r="S548" s="1964"/>
      <c r="T548" s="1964"/>
      <c r="U548" s="1964"/>
      <c r="V548" s="1964"/>
      <c r="W548" s="1964"/>
      <c r="X548" s="1964"/>
      <c r="Y548" s="1964"/>
      <c r="Z548" s="1964"/>
      <c r="AA548" s="2491"/>
      <c r="AB548" s="1964"/>
    </row>
    <row r="549" spans="1:28" s="1912" customFormat="1" ht="20.25" customHeight="1">
      <c r="R549" s="1964"/>
      <c r="S549" s="1964"/>
      <c r="T549" s="1964"/>
      <c r="U549" s="1964"/>
      <c r="V549" s="1964"/>
      <c r="W549" s="1964"/>
      <c r="X549" s="1964"/>
      <c r="Y549" s="1964"/>
      <c r="Z549" s="1964"/>
      <c r="AA549" s="2491"/>
      <c r="AB549" s="1964"/>
    </row>
    <row r="550" spans="1:28" s="1912" customFormat="1" ht="20.25" customHeight="1">
      <c r="R550" s="1964"/>
      <c r="S550" s="1964"/>
      <c r="T550" s="1964"/>
      <c r="U550" s="1964"/>
      <c r="V550" s="1964"/>
      <c r="W550" s="1964"/>
      <c r="X550" s="1964"/>
      <c r="Y550" s="1964"/>
      <c r="Z550" s="1964"/>
      <c r="AA550" s="2491"/>
      <c r="AB550" s="1964"/>
    </row>
    <row r="551" spans="1:28" s="1912" customFormat="1" ht="20.25" customHeight="1">
      <c r="R551" s="1964"/>
      <c r="S551" s="1964"/>
      <c r="T551" s="1964"/>
      <c r="U551" s="1964"/>
      <c r="V551" s="1964"/>
      <c r="W551" s="1964"/>
      <c r="X551" s="1964"/>
      <c r="Y551" s="1964"/>
      <c r="Z551" s="1964"/>
      <c r="AA551" s="2491"/>
      <c r="AB551" s="1964"/>
    </row>
    <row r="552" spans="1:28" s="1912" customFormat="1" ht="20.25" customHeight="1">
      <c r="R552" s="1964"/>
      <c r="S552" s="1964"/>
      <c r="T552" s="1964"/>
      <c r="U552" s="1964"/>
      <c r="V552" s="1964"/>
      <c r="W552" s="1964"/>
      <c r="X552" s="1964"/>
      <c r="Y552" s="1964"/>
      <c r="Z552" s="1964"/>
      <c r="AA552" s="2491"/>
      <c r="AB552" s="1964"/>
    </row>
    <row r="553" spans="1:28" s="1912" customFormat="1" ht="20.25" customHeight="1">
      <c r="R553" s="1964"/>
      <c r="S553" s="1964"/>
      <c r="T553" s="1964"/>
      <c r="U553" s="1964"/>
      <c r="V553" s="1964"/>
      <c r="W553" s="1964"/>
      <c r="X553" s="1964"/>
      <c r="Y553" s="1964"/>
      <c r="Z553" s="1964"/>
      <c r="AA553" s="2491"/>
      <c r="AB553" s="1964"/>
    </row>
    <row r="554" spans="1:28" s="1912" customFormat="1" ht="20.25" customHeight="1">
      <c r="R554" s="1964"/>
      <c r="S554" s="1964"/>
      <c r="T554" s="1964"/>
      <c r="U554" s="1964"/>
      <c r="V554" s="1964"/>
      <c r="W554" s="1964"/>
      <c r="X554" s="1964"/>
      <c r="Y554" s="1964"/>
      <c r="Z554" s="1964"/>
      <c r="AA554" s="2491"/>
      <c r="AB554" s="1964"/>
    </row>
    <row r="555" spans="1:28" s="1912" customFormat="1" ht="20.25" customHeight="1">
      <c r="R555" s="1964"/>
      <c r="S555" s="1964"/>
      <c r="T555" s="1964"/>
      <c r="U555" s="1964"/>
      <c r="V555" s="1964"/>
      <c r="W555" s="1964"/>
      <c r="X555" s="1964"/>
      <c r="Y555" s="1964"/>
      <c r="Z555" s="1964"/>
      <c r="AA555" s="2491"/>
      <c r="AB555" s="1964"/>
    </row>
    <row r="556" spans="1:28" s="1912" customFormat="1" ht="20.25" customHeight="1">
      <c r="R556" s="1964"/>
      <c r="S556" s="1964"/>
      <c r="T556" s="1964"/>
      <c r="U556" s="1964"/>
      <c r="V556" s="1964"/>
      <c r="W556" s="1964"/>
      <c r="X556" s="1964"/>
      <c r="Y556" s="1964"/>
      <c r="Z556" s="1964"/>
      <c r="AA556" s="2491"/>
      <c r="AB556" s="1964"/>
    </row>
    <row r="557" spans="1:28" s="1912" customFormat="1" ht="20.25" customHeight="1">
      <c r="J557" s="1920"/>
      <c r="R557" s="1964"/>
      <c r="S557" s="1964"/>
      <c r="T557" s="1964"/>
      <c r="U557" s="1964"/>
      <c r="V557" s="1964"/>
      <c r="W557" s="1964"/>
      <c r="X557" s="1964"/>
      <c r="Y557" s="1964"/>
      <c r="Z557" s="1964"/>
      <c r="AA557" s="2491"/>
      <c r="AB557" s="1964"/>
    </row>
    <row r="558" spans="1:28" s="1912" customFormat="1" ht="20.25" customHeight="1">
      <c r="A558" s="1910"/>
      <c r="B558" s="1910"/>
      <c r="C558" s="1910"/>
      <c r="G558" s="1920"/>
      <c r="H558" s="1920"/>
      <c r="I558" s="1920"/>
      <c r="J558" s="1920"/>
      <c r="K558" s="1910"/>
      <c r="L558" s="1910"/>
      <c r="M558" s="1910"/>
      <c r="P558" s="1920"/>
      <c r="Q558" s="1910"/>
      <c r="R558" s="1964"/>
      <c r="S558" s="1964"/>
      <c r="T558" s="1964"/>
      <c r="U558" s="1964"/>
      <c r="V558" s="1964"/>
      <c r="W558" s="1964"/>
      <c r="X558" s="1964"/>
      <c r="Y558" s="1964"/>
      <c r="Z558" s="1964"/>
      <c r="AA558" s="2491"/>
      <c r="AB558" s="1964"/>
    </row>
    <row r="559" spans="1:28" s="1912" customFormat="1" ht="20.25" customHeight="1">
      <c r="A559" s="1920"/>
      <c r="B559" s="1920"/>
      <c r="C559" s="1920"/>
      <c r="G559" s="1920"/>
      <c r="H559" s="1920"/>
      <c r="I559" s="1920"/>
      <c r="J559" s="1920"/>
      <c r="K559" s="1920"/>
      <c r="L559" s="1920"/>
      <c r="M559" s="1920"/>
      <c r="O559" s="1920"/>
      <c r="P559" s="1920"/>
      <c r="Q559" s="1920"/>
      <c r="R559" s="1964"/>
      <c r="S559" s="1964"/>
      <c r="T559" s="1964"/>
      <c r="U559" s="1964"/>
      <c r="V559" s="1964"/>
      <c r="W559" s="1964"/>
      <c r="X559" s="1964"/>
      <c r="Y559" s="1964"/>
      <c r="Z559" s="1964"/>
      <c r="AA559" s="2491"/>
      <c r="AB559" s="1964"/>
    </row>
    <row r="560" spans="1:28" ht="20.25" customHeight="1">
      <c r="A560" s="1920"/>
      <c r="B560" s="1920"/>
      <c r="C560" s="1920"/>
      <c r="G560" s="1920"/>
      <c r="H560" s="1920"/>
      <c r="I560" s="1920"/>
      <c r="J560" s="1920"/>
      <c r="K560" s="1920"/>
      <c r="L560" s="1920"/>
      <c r="M560" s="1920"/>
      <c r="O560" s="1920"/>
      <c r="P560" s="1920"/>
      <c r="Q560" s="1920"/>
      <c r="R560" s="1964"/>
      <c r="S560" s="1964"/>
    </row>
    <row r="561" spans="1:19" ht="20.25" customHeight="1">
      <c r="A561" s="1920"/>
      <c r="B561" s="1920"/>
      <c r="C561" s="1920"/>
      <c r="G561" s="1920"/>
      <c r="H561" s="1920"/>
      <c r="I561" s="1920"/>
      <c r="J561" s="1920"/>
      <c r="K561" s="1920"/>
      <c r="L561" s="1920"/>
      <c r="M561" s="1920"/>
      <c r="O561" s="1920"/>
      <c r="P561" s="1920"/>
      <c r="Q561" s="1920"/>
      <c r="R561" s="1964"/>
      <c r="S561" s="1964"/>
    </row>
    <row r="562" spans="1:19" ht="20.25" customHeight="1">
      <c r="A562" s="1920"/>
      <c r="B562" s="1920"/>
      <c r="C562" s="1920"/>
      <c r="I562" s="1920"/>
      <c r="K562" s="1920"/>
      <c r="L562" s="1920"/>
      <c r="M562" s="1920"/>
      <c r="O562" s="1920"/>
      <c r="Q562" s="1920"/>
      <c r="R562" s="1964"/>
      <c r="S562" s="1964"/>
    </row>
    <row r="563" spans="1:19" ht="20.25" customHeight="1">
      <c r="A563" s="1920"/>
      <c r="B563" s="1920"/>
      <c r="C563" s="1920"/>
      <c r="K563" s="1920"/>
      <c r="L563" s="1920"/>
      <c r="M563" s="1920"/>
      <c r="O563" s="1920"/>
      <c r="Q563" s="1920"/>
      <c r="R563" s="1964"/>
      <c r="S563" s="1964"/>
    </row>
    <row r="564" spans="1:19">
      <c r="R564" s="1964"/>
      <c r="S564" s="1964"/>
    </row>
    <row r="565" spans="1:19">
      <c r="R565" s="1964"/>
      <c r="S565" s="1964"/>
    </row>
  </sheetData>
  <sheetProtection algorithmName="SHA-512" hashValue="BzxmqZAGRS+0SeMIw142WhnnVJzAzStphO1m5OzjzPE0L+9UIVEqxr+BpInI+Lty/cXXt/MNLMhefULnlCOlTA==" saltValue="LSZO0VSxuTyLZgJ0UU5Y2A==" spinCount="100000" sheet="1" objects="1" scenarios="1" formatRows="0"/>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abSelected="1" topLeftCell="A101" zoomScale="74" zoomScaleNormal="74" workbookViewId="0">
      <selection activeCell="A112" sqref="A112:P112"/>
    </sheetView>
  </sheetViews>
  <sheetFormatPr defaultColWidth="9.26953125" defaultRowHeight="14"/>
  <cols>
    <col min="1" max="1" width="6" style="2074" customWidth="1"/>
    <col min="2" max="2" width="3.453125" style="2074" customWidth="1"/>
    <col min="3" max="3" width="12.453125" style="2074" customWidth="1"/>
    <col min="4" max="4" width="12.1796875" style="2074" customWidth="1"/>
    <col min="5" max="5" width="7.453125" style="2074" customWidth="1"/>
    <col min="6" max="7" width="15.26953125" style="2074" customWidth="1"/>
    <col min="8" max="9" width="14.1796875" style="2074" customWidth="1"/>
    <col min="10" max="10" width="11" style="2074" customWidth="1"/>
    <col min="11" max="11" width="13.453125" style="2074" customWidth="1"/>
    <col min="12" max="12" width="14.7265625" style="2074" customWidth="1"/>
    <col min="13" max="13" width="6.7265625" style="2074" customWidth="1"/>
    <col min="14" max="14" width="3.54296875" style="2095" customWidth="1"/>
    <col min="15" max="16" width="8.7265625" style="2087" customWidth="1"/>
    <col min="17" max="17" width="6" style="2074" customWidth="1"/>
    <col min="18" max="20" width="9.26953125" style="2074"/>
    <col min="21" max="21" width="10" style="2074" customWidth="1"/>
    <col min="22" max="22" width="10.81640625" style="2074" customWidth="1"/>
    <col min="23" max="23" width="10" style="2074" customWidth="1"/>
    <col min="24" max="24" width="10.26953125" style="2074" customWidth="1"/>
    <col min="25" max="25" width="11.54296875" style="2074" customWidth="1"/>
    <col min="26" max="27" width="9.26953125" style="2074"/>
    <col min="28" max="32" width="10.453125" style="2074" customWidth="1"/>
    <col min="33" max="38" width="9.26953125" style="2074"/>
    <col min="39" max="39" width="9.26953125" style="2494"/>
    <col min="40" max="42" width="9.26953125" style="2074"/>
    <col min="43" max="47" width="10.453125" style="2074" customWidth="1"/>
    <col min="48" max="16384" width="9.26953125" style="2074"/>
  </cols>
  <sheetData>
    <row r="1" spans="1:39" ht="14.15" customHeight="1">
      <c r="A1" s="3912" t="str">
        <f>CONCATENATE("PART EIGHT - SCORING CRITERIA","  -  ",'Part I-Project Identification'!$O$7," ",'Part I-Project Identification'!$F$26,", ",'Part I-Project Identification'!F27,", ",'Part I-Project Identification'!J27," County")</f>
        <v>PART EIGHT - SCORING CRITERIA  -  2025-5 Princeton Court, College Park, Fulton County</v>
      </c>
      <c r="B1" s="3913"/>
      <c r="C1" s="3913"/>
      <c r="D1" s="3913"/>
      <c r="E1" s="3913"/>
      <c r="F1" s="3913"/>
      <c r="G1" s="3913"/>
      <c r="H1" s="3913"/>
      <c r="I1" s="3913"/>
      <c r="J1" s="3913"/>
      <c r="K1" s="3913"/>
      <c r="L1" s="3913"/>
      <c r="M1" s="3913"/>
      <c r="N1" s="3913"/>
      <c r="O1" s="3913"/>
      <c r="P1" s="3914"/>
      <c r="Q1" s="2072"/>
      <c r="R1" s="2072"/>
      <c r="S1" s="2072"/>
      <c r="T1" s="2072"/>
      <c r="U1" s="2072"/>
      <c r="V1" s="2072"/>
      <c r="W1" s="2072"/>
      <c r="X1" s="2073"/>
      <c r="AM1" s="2492">
        <v>1</v>
      </c>
    </row>
    <row r="2" spans="1:39" ht="4.4000000000000004" customHeight="1">
      <c r="A2" s="2075"/>
      <c r="B2" s="2075"/>
      <c r="C2" s="2076"/>
      <c r="D2" s="2075"/>
      <c r="E2" s="2075"/>
      <c r="F2" s="2075"/>
      <c r="G2" s="2075"/>
      <c r="H2" s="2075"/>
      <c r="I2" s="2075"/>
      <c r="J2" s="2075"/>
      <c r="K2" s="2075"/>
      <c r="L2" s="2075"/>
      <c r="M2" s="2077"/>
      <c r="N2" s="2077"/>
      <c r="O2" s="2078"/>
      <c r="P2" s="2078"/>
      <c r="Q2" s="2072"/>
      <c r="R2" s="2072"/>
      <c r="S2" s="2072"/>
      <c r="T2" s="2072"/>
      <c r="U2" s="2072"/>
      <c r="V2" s="2072"/>
      <c r="W2" s="2072"/>
      <c r="X2" s="2073"/>
      <c r="AM2" s="2492">
        <v>2</v>
      </c>
    </row>
    <row r="3" spans="1:39" s="2075" customFormat="1" ht="20.5" customHeight="1">
      <c r="A3" s="3915" t="s">
        <v>4971</v>
      </c>
      <c r="B3" s="3915"/>
      <c r="C3" s="3915"/>
      <c r="D3" s="3915"/>
      <c r="E3" s="3915"/>
      <c r="F3" s="3915"/>
      <c r="G3" s="3915"/>
      <c r="H3" s="3915"/>
      <c r="I3" s="3915"/>
      <c r="J3" s="3915"/>
      <c r="K3" s="3915"/>
      <c r="L3" s="3915"/>
      <c r="M3" s="2079" t="s">
        <v>4715</v>
      </c>
      <c r="N3" s="2077"/>
      <c r="O3" s="2080" t="s">
        <v>2045</v>
      </c>
      <c r="P3" s="2079" t="s">
        <v>245</v>
      </c>
      <c r="Q3" s="2072"/>
      <c r="R3" s="2072"/>
      <c r="S3" s="2072"/>
      <c r="T3" s="2072"/>
      <c r="U3" s="2072"/>
      <c r="V3" s="2081"/>
      <c r="W3" s="2081"/>
      <c r="X3" s="2082"/>
      <c r="AM3" s="2493">
        <v>3</v>
      </c>
    </row>
    <row r="4" spans="1:39" s="2075" customFormat="1" ht="16.5" customHeight="1">
      <c r="A4" s="3915"/>
      <c r="B4" s="3915"/>
      <c r="C4" s="3915"/>
      <c r="D4" s="3915"/>
      <c r="E4" s="3915"/>
      <c r="F4" s="3915"/>
      <c r="G4" s="3915"/>
      <c r="H4" s="3915"/>
      <c r="I4" s="3915"/>
      <c r="J4" s="3915"/>
      <c r="K4" s="3915"/>
      <c r="L4" s="3915"/>
      <c r="M4" s="2083" t="s">
        <v>2046</v>
      </c>
      <c r="N4" s="2084"/>
      <c r="O4" s="2083" t="s">
        <v>2046</v>
      </c>
      <c r="P4" s="2083" t="s">
        <v>2046</v>
      </c>
      <c r="Q4" s="2072"/>
      <c r="R4" s="2072"/>
      <c r="S4" s="2072"/>
      <c r="T4" s="2072"/>
      <c r="U4" s="2072"/>
      <c r="V4" s="2081"/>
      <c r="AM4" s="2493">
        <v>4</v>
      </c>
    </row>
    <row r="5" spans="1:39" s="2075" customFormat="1" ht="3" customHeight="1" thickBot="1">
      <c r="M5" s="2085"/>
      <c r="N5" s="2086"/>
      <c r="O5" s="2078"/>
      <c r="P5" s="2087"/>
      <c r="Q5" s="2072"/>
      <c r="R5" s="2072"/>
      <c r="S5" s="2072"/>
      <c r="T5" s="2072"/>
      <c r="U5" s="2072"/>
      <c r="V5" s="2081"/>
      <c r="AM5" s="2493">
        <v>5</v>
      </c>
    </row>
    <row r="6" spans="1:39" s="2075" customFormat="1" ht="13.5" customHeight="1" thickTop="1" thickBot="1">
      <c r="B6" s="3916" t="str">
        <f>'Part I-Project Identification'!$A$6</f>
        <v>August 11, 2025</v>
      </c>
      <c r="C6" s="3916"/>
      <c r="D6" s="3916"/>
      <c r="E6" s="3916"/>
      <c r="F6" s="3916"/>
      <c r="L6" s="2078" t="s">
        <v>1151</v>
      </c>
      <c r="M6" s="2088"/>
      <c r="N6" s="2089"/>
      <c r="O6" s="2090">
        <f>O408</f>
        <v>65</v>
      </c>
      <c r="P6" s="2090">
        <f>P408</f>
        <v>12</v>
      </c>
      <c r="Q6" s="2091" t="s">
        <v>4678</v>
      </c>
      <c r="R6" s="2092"/>
      <c r="S6" s="2092"/>
      <c r="T6" s="2092"/>
      <c r="U6" s="2092"/>
      <c r="V6" s="2093"/>
      <c r="W6" s="2093"/>
      <c r="X6" s="2093"/>
      <c r="Y6" s="2093"/>
      <c r="AM6" s="2493">
        <v>6</v>
      </c>
    </row>
    <row r="7" spans="1:39" ht="15.75" customHeight="1" thickTop="1">
      <c r="A7" s="2075"/>
      <c r="B7" s="2094"/>
      <c r="C7" s="2075"/>
      <c r="D7" s="2075"/>
      <c r="E7" s="2075"/>
      <c r="F7" s="2075"/>
      <c r="G7" s="2075"/>
      <c r="H7" s="2075"/>
      <c r="I7" s="2075"/>
      <c r="J7" s="2075"/>
      <c r="K7" s="2075"/>
      <c r="L7" s="2075"/>
      <c r="M7" s="2077"/>
      <c r="O7" s="2088"/>
      <c r="P7" s="2078"/>
      <c r="Q7" s="2092"/>
      <c r="R7" s="2092"/>
      <c r="S7" s="2092"/>
      <c r="T7" s="2092"/>
      <c r="U7" s="2092"/>
      <c r="V7" s="2093"/>
      <c r="W7" s="2093"/>
      <c r="X7" s="2093"/>
      <c r="Y7" s="2093"/>
      <c r="AM7" s="2492">
        <v>7</v>
      </c>
    </row>
    <row r="8" spans="1:39" s="2075" customFormat="1" ht="14.5">
      <c r="A8" s="2098" t="s">
        <v>688</v>
      </c>
      <c r="B8" s="2099" t="s">
        <v>4034</v>
      </c>
      <c r="C8" s="2086"/>
      <c r="G8" s="2097"/>
      <c r="I8" s="2097"/>
      <c r="J8" s="2097"/>
      <c r="K8" s="2097"/>
      <c r="L8" s="2097"/>
      <c r="M8" s="2097"/>
      <c r="N8" s="2097"/>
      <c r="O8" s="2097"/>
      <c r="P8" s="2097"/>
      <c r="Q8" s="2092"/>
      <c r="AM8" s="2493">
        <v>8</v>
      </c>
    </row>
    <row r="9" spans="1:39" ht="7.5" customHeight="1">
      <c r="Q9" s="2100"/>
      <c r="AM9" s="2492">
        <v>9</v>
      </c>
    </row>
    <row r="10" spans="1:39" ht="14.25" customHeight="1">
      <c r="A10" s="3921" t="str">
        <f>IF(OR((D12-C12&gt;0),(E12-C12&gt;0)),"Points Exceed Max!","")</f>
        <v/>
      </c>
      <c r="B10" s="3921"/>
      <c r="C10" s="3918" t="s">
        <v>4733</v>
      </c>
      <c r="D10" s="3918"/>
      <c r="E10" s="3918"/>
      <c r="P10" s="2086"/>
      <c r="Q10" s="2100"/>
      <c r="AM10" s="2492">
        <v>10</v>
      </c>
    </row>
    <row r="11" spans="1:39" ht="18" customHeight="1">
      <c r="A11" s="3921"/>
      <c r="B11" s="3921"/>
      <c r="C11" s="2423" t="s">
        <v>4715</v>
      </c>
      <c r="D11" s="2101" t="s">
        <v>2881</v>
      </c>
      <c r="E11" s="2102" t="s">
        <v>245</v>
      </c>
      <c r="F11" s="3897" t="s">
        <v>5068</v>
      </c>
      <c r="G11" s="3897"/>
      <c r="H11" s="3898" t="s">
        <v>4398</v>
      </c>
      <c r="I11" s="3899"/>
      <c r="J11" s="3900"/>
      <c r="K11" s="3917" t="s">
        <v>4037</v>
      </c>
      <c r="L11" s="3922" t="s">
        <v>2939</v>
      </c>
      <c r="M11" s="3923"/>
      <c r="N11" s="3924"/>
      <c r="P11" s="2086"/>
      <c r="AM11" s="2492">
        <v>11</v>
      </c>
    </row>
    <row r="12" spans="1:39" ht="9.75" customHeight="1">
      <c r="A12" s="3921"/>
      <c r="B12" s="3921"/>
      <c r="C12" s="3919">
        <v>33</v>
      </c>
      <c r="D12" s="3925">
        <f>IF($C$16="4%",O160+O169+O190+O206+O238+O265,0)</f>
        <v>9.5</v>
      </c>
      <c r="E12" s="3927">
        <f>IF($C$16="4%",P160+P169+P190+P206+P238+P265,0)</f>
        <v>0</v>
      </c>
      <c r="F12" s="3897"/>
      <c r="G12" s="3897"/>
      <c r="H12" s="3901" t="s">
        <v>4595</v>
      </c>
      <c r="I12" s="3902"/>
      <c r="J12" s="3903"/>
      <c r="K12" s="3917"/>
      <c r="L12" s="3901" t="s">
        <v>4596</v>
      </c>
      <c r="M12" s="3902"/>
      <c r="N12" s="3903"/>
      <c r="P12" s="2091"/>
      <c r="AM12" s="2492">
        <v>12</v>
      </c>
    </row>
    <row r="13" spans="1:39" ht="9.75" customHeight="1">
      <c r="A13" s="3921"/>
      <c r="B13" s="3921"/>
      <c r="C13" s="3920"/>
      <c r="D13" s="3926"/>
      <c r="E13" s="3928"/>
      <c r="F13" s="3897"/>
      <c r="G13" s="3897"/>
      <c r="H13" s="3904"/>
      <c r="I13" s="3905"/>
      <c r="J13" s="3906"/>
      <c r="K13" s="3917"/>
      <c r="L13" s="3904"/>
      <c r="M13" s="3905"/>
      <c r="N13" s="3906"/>
      <c r="P13" s="2091"/>
      <c r="AM13" s="2492">
        <v>13</v>
      </c>
    </row>
    <row r="14" spans="1:39" ht="15.75" customHeight="1">
      <c r="A14" s="2075"/>
      <c r="B14" s="2094"/>
      <c r="D14" s="1973"/>
      <c r="E14" s="1974"/>
      <c r="F14" s="1974"/>
      <c r="G14" s="2104"/>
      <c r="H14" s="2104"/>
      <c r="I14" s="2104"/>
      <c r="J14" s="2104"/>
      <c r="K14" s="2104"/>
      <c r="L14" s="2104"/>
      <c r="M14" s="2077"/>
      <c r="O14" s="2088"/>
      <c r="P14" s="2078"/>
      <c r="W14" s="2075"/>
      <c r="X14" s="2105"/>
      <c r="Y14" s="2105"/>
      <c r="Z14" s="2105"/>
      <c r="AA14" s="2105"/>
      <c r="AB14" s="2105"/>
      <c r="AC14" s="2105"/>
      <c r="AD14" s="2105"/>
      <c r="AE14" s="2105"/>
      <c r="AF14" s="2105"/>
      <c r="AG14" s="2105"/>
      <c r="AH14" s="2105"/>
      <c r="AI14" s="2105"/>
      <c r="AM14" s="2492">
        <v>14</v>
      </c>
    </row>
    <row r="15" spans="1:39" ht="17.25" customHeight="1">
      <c r="C15" s="3897" t="s">
        <v>4699</v>
      </c>
      <c r="D15" s="3897"/>
      <c r="F15" s="3897" t="s">
        <v>5065</v>
      </c>
      <c r="G15" s="3897"/>
      <c r="H15" s="3898" t="s">
        <v>3908</v>
      </c>
      <c r="I15" s="3899"/>
      <c r="J15" s="3899"/>
      <c r="K15" s="3899"/>
      <c r="L15" s="3899"/>
      <c r="M15" s="3899"/>
      <c r="N15" s="3900"/>
      <c r="AA15" s="2092"/>
      <c r="AB15" s="2092"/>
      <c r="AC15" s="2092"/>
      <c r="AD15" s="2092"/>
      <c r="AE15" s="2092"/>
      <c r="AF15" s="2105"/>
      <c r="AG15" s="2105"/>
      <c r="AH15" s="2105"/>
      <c r="AI15" s="2105"/>
      <c r="AM15" s="2493">
        <v>15</v>
      </c>
    </row>
    <row r="16" spans="1:39" ht="17.25" customHeight="1">
      <c r="C16" s="390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3908"/>
      <c r="F16" s="3897"/>
      <c r="G16" s="3897"/>
      <c r="H16" s="3894" t="s">
        <v>4917</v>
      </c>
      <c r="I16" s="3895"/>
      <c r="J16" s="3895"/>
      <c r="K16" s="3895"/>
      <c r="L16" s="3895"/>
      <c r="M16" s="3895"/>
      <c r="N16" s="3896"/>
      <c r="AA16" s="2092"/>
      <c r="AB16" s="2092"/>
      <c r="AC16" s="2092"/>
      <c r="AD16" s="2092"/>
      <c r="AE16" s="2092"/>
      <c r="AF16" s="2105"/>
      <c r="AG16" s="2105"/>
      <c r="AH16" s="2105"/>
      <c r="AI16" s="2105"/>
      <c r="AM16" s="2493">
        <v>16</v>
      </c>
    </row>
    <row r="17" spans="1:39" ht="16" customHeight="1">
      <c r="C17" s="2091"/>
      <c r="Q17" s="2092"/>
      <c r="R17" s="2092"/>
      <c r="S17" s="2092"/>
      <c r="T17" s="2092"/>
      <c r="U17" s="2092"/>
      <c r="V17" s="2092"/>
      <c r="W17" s="2092"/>
      <c r="X17" s="2092"/>
      <c r="Y17" s="2092"/>
      <c r="Z17" s="2092"/>
      <c r="AA17" s="2092"/>
      <c r="AB17" s="2092"/>
      <c r="AC17" s="2092"/>
      <c r="AD17" s="2092"/>
      <c r="AE17" s="2092"/>
      <c r="AM17" s="2493">
        <v>17</v>
      </c>
    </row>
    <row r="18" spans="1:39" ht="56.25" customHeight="1">
      <c r="C18" s="2451" t="s">
        <v>5066</v>
      </c>
      <c r="D18" s="3910" t="s">
        <v>5067</v>
      </c>
      <c r="E18" s="3911"/>
      <c r="F18" s="3911"/>
      <c r="G18" s="3911"/>
      <c r="H18" s="3911"/>
      <c r="I18" s="3911"/>
      <c r="J18" s="3911"/>
      <c r="K18" s="3911"/>
      <c r="L18" s="3911"/>
      <c r="M18" s="3911"/>
      <c r="N18" s="3911"/>
      <c r="O18" s="2447"/>
      <c r="P18" s="2446"/>
      <c r="Q18" s="2092"/>
      <c r="R18" s="2092"/>
      <c r="S18" s="2092"/>
      <c r="T18" s="2092"/>
      <c r="U18" s="2092"/>
      <c r="V18" s="2092"/>
      <c r="W18" s="2092"/>
      <c r="X18" s="2092"/>
      <c r="Y18" s="2092"/>
      <c r="Z18" s="2092"/>
      <c r="AA18" s="2092"/>
      <c r="AB18" s="2092"/>
      <c r="AC18" s="2092"/>
      <c r="AD18" s="2092"/>
      <c r="AE18" s="2092"/>
      <c r="AM18" s="2492">
        <v>18</v>
      </c>
    </row>
    <row r="19" spans="1:39" ht="24" customHeight="1" thickBot="1">
      <c r="Q19" s="2092"/>
      <c r="R19" s="2092"/>
      <c r="S19" s="2092"/>
      <c r="T19" s="2092"/>
      <c r="U19" s="2092"/>
      <c r="V19" s="2092"/>
      <c r="W19" s="2092"/>
      <c r="X19" s="2092"/>
      <c r="Y19" s="2092"/>
      <c r="Z19" s="2092"/>
      <c r="AA19" s="2092"/>
      <c r="AB19" s="2092"/>
      <c r="AC19" s="2092"/>
      <c r="AD19" s="2092"/>
      <c r="AE19" s="2092"/>
      <c r="AM19" s="2492">
        <v>19</v>
      </c>
    </row>
    <row r="20" spans="1:39" ht="16" customHeight="1" thickBot="1">
      <c r="A20" s="2098" t="s">
        <v>690</v>
      </c>
      <c r="B20" s="2099" t="s">
        <v>2509</v>
      </c>
      <c r="H20" s="2107"/>
      <c r="J20" s="2077"/>
      <c r="K20" s="2075"/>
      <c r="L20" s="2108" t="s">
        <v>4866</v>
      </c>
      <c r="M20" s="2078">
        <v>6</v>
      </c>
      <c r="N20" s="2077"/>
      <c r="O20" s="2109">
        <f>IF(AND(O21&gt;0,O25&gt;0),"AorB?",MIN($M20,SUM(O21,O25,O27)))</f>
        <v>6</v>
      </c>
      <c r="P20" s="2109">
        <f>IF(AND(P21&gt;0,P25&gt;0),"AorB?",MIN($M20,SUM(P21,P25,P27)))</f>
        <v>0</v>
      </c>
      <c r="Q20" s="2110" t="s">
        <v>415</v>
      </c>
      <c r="T20" s="2106"/>
      <c r="U20" s="2106"/>
      <c r="AM20" s="2493">
        <v>20</v>
      </c>
    </row>
    <row r="21" spans="1:39" s="2075" customFormat="1" ht="16" customHeight="1">
      <c r="A21" s="2078" t="s">
        <v>1836</v>
      </c>
      <c r="B21" s="2086" t="s">
        <v>2060</v>
      </c>
      <c r="D21" s="2111"/>
      <c r="E21" s="2111"/>
      <c r="G21" s="2074"/>
      <c r="L21" s="2112"/>
      <c r="M21" s="2077">
        <v>5</v>
      </c>
      <c r="N21" s="2113"/>
      <c r="O21" s="2114">
        <f>IF(OR(AND(O22="Yes",O23="Yes",O24="Yes"),AND(O22="Yes",O24="Yes"),AND(O23="Yes",O24="Yes"),AND(O22="Yes",O23="Yes")),"choose",IF(O22="Yes",$M$22,IF(O23="Yes",$M$23, IF(O24="Yes",$M$24,0))))</f>
        <v>5</v>
      </c>
      <c r="P21" s="2114">
        <f>IF(OR(AND(P22="Yes",P23="Yes",P24="Yes"),AND(P22="Yes",P24="Yes"),AND(P23="Yes",P24="Yes"),AND(P22="Yes",P23="Yes")),"choose",IF(P22="Yes",$M$22,IF(P23="Yes",$M$23, IF(P24="Yes",$M$24,0))))</f>
        <v>0</v>
      </c>
      <c r="Q21" s="2115"/>
      <c r="R21" s="2116"/>
      <c r="T21" s="2106"/>
      <c r="U21" s="2106"/>
      <c r="AM21" s="2492">
        <v>21</v>
      </c>
    </row>
    <row r="22" spans="1:39" s="2075" customFormat="1" ht="16" customHeight="1">
      <c r="A22" s="2078"/>
      <c r="B22" s="2117" t="s">
        <v>1839</v>
      </c>
      <c r="C22" s="2107" t="s">
        <v>4918</v>
      </c>
      <c r="D22" s="2111"/>
      <c r="E22" s="2111"/>
      <c r="G22" s="2074"/>
      <c r="L22" s="2112"/>
      <c r="M22" s="2077">
        <v>5</v>
      </c>
      <c r="N22" s="2118"/>
      <c r="O22" s="1980" t="s">
        <v>2642</v>
      </c>
      <c r="P22" s="2119"/>
      <c r="Q22" s="2115"/>
      <c r="R22" s="2116"/>
      <c r="T22" s="2106"/>
      <c r="U22" s="2106"/>
      <c r="AM22" s="2492">
        <v>22</v>
      </c>
    </row>
    <row r="23" spans="1:39" s="2075" customFormat="1" ht="16" customHeight="1">
      <c r="A23" s="2078"/>
      <c r="B23" s="2120" t="s">
        <v>1841</v>
      </c>
      <c r="C23" s="2107" t="s">
        <v>4919</v>
      </c>
      <c r="D23" s="2111"/>
      <c r="E23" s="2111"/>
      <c r="G23" s="2074"/>
      <c r="L23" s="2112"/>
      <c r="M23" s="2077">
        <v>3</v>
      </c>
      <c r="N23" s="2118"/>
      <c r="O23" s="1982" t="s">
        <v>5205</v>
      </c>
      <c r="P23" s="2121"/>
      <c r="Q23" s="2115"/>
      <c r="R23" s="2116"/>
      <c r="T23" s="2106"/>
      <c r="U23" s="2106"/>
      <c r="AM23" s="2493">
        <v>23</v>
      </c>
    </row>
    <row r="24" spans="1:39" s="2075" customFormat="1" ht="16" customHeight="1">
      <c r="A24" s="2078"/>
      <c r="B24" s="2120" t="s">
        <v>2326</v>
      </c>
      <c r="C24" s="2107" t="s">
        <v>4920</v>
      </c>
      <c r="D24" s="2111"/>
      <c r="E24" s="2111"/>
      <c r="G24" s="2074"/>
      <c r="K24" s="2113"/>
      <c r="M24" s="2077">
        <v>1</v>
      </c>
      <c r="N24" s="2118"/>
      <c r="O24" s="1979" t="s">
        <v>5205</v>
      </c>
      <c r="P24" s="2122"/>
      <c r="R24" s="2074"/>
      <c r="T24" s="2106"/>
      <c r="U24" s="2106"/>
      <c r="AM24" s="2493">
        <v>24</v>
      </c>
    </row>
    <row r="25" spans="1:39" ht="16" customHeight="1">
      <c r="A25" s="2078" t="s">
        <v>1838</v>
      </c>
      <c r="B25" s="2086" t="s">
        <v>3826</v>
      </c>
      <c r="D25" s="2075"/>
      <c r="K25" s="2075"/>
      <c r="L25" s="2112" t="str">
        <f>IF(OR($O25=$M25,$O25=0,$O25=""),"","* * Check Score! * *")</f>
        <v/>
      </c>
      <c r="M25" s="2077">
        <v>1</v>
      </c>
      <c r="N25" s="2113"/>
      <c r="O25" s="2123">
        <f>IF(O26="Yes",$M$25,0)</f>
        <v>0</v>
      </c>
      <c r="P25" s="2123">
        <f>IF(P26="Yes",$M$25,0)</f>
        <v>0</v>
      </c>
      <c r="Q25" s="2115" t="str">
        <f>IF(OR($O25=$M25,$O25=0,$O25=""),"","*CHECK!*")</f>
        <v/>
      </c>
      <c r="R25" s="2116"/>
      <c r="T25" s="2106"/>
      <c r="U25" s="2106"/>
      <c r="AM25" s="2493">
        <v>25</v>
      </c>
    </row>
    <row r="26" spans="1:39">
      <c r="A26" s="2124"/>
      <c r="B26" s="3909" t="s">
        <v>4921</v>
      </c>
      <c r="C26" s="3909"/>
      <c r="D26" s="3909"/>
      <c r="E26" s="3909"/>
      <c r="F26" s="3909"/>
      <c r="G26" s="3909"/>
      <c r="H26" s="3909"/>
      <c r="I26" s="3909"/>
      <c r="J26" s="3909"/>
      <c r="K26" s="3909"/>
      <c r="L26" s="3909"/>
      <c r="M26" s="2077"/>
      <c r="N26" s="2113"/>
      <c r="O26" s="1994" t="s">
        <v>5205</v>
      </c>
      <c r="P26" s="2126"/>
      <c r="R26" s="2112"/>
      <c r="T26" s="2106"/>
      <c r="U26" s="2106"/>
      <c r="AM26" s="2493">
        <v>26</v>
      </c>
    </row>
    <row r="27" spans="1:39" ht="16" customHeight="1">
      <c r="A27" s="2078" t="s">
        <v>697</v>
      </c>
      <c r="B27" s="2086" t="s">
        <v>4826</v>
      </c>
      <c r="D27" s="2075"/>
      <c r="H27" s="2075"/>
      <c r="K27" s="2075"/>
      <c r="L27" s="2112"/>
      <c r="M27" s="2077">
        <v>1</v>
      </c>
      <c r="N27" s="2113"/>
      <c r="O27" s="2123">
        <f>IF(O21=0,0,IF(OR(O29="Yes",O30="Yes",O32="Yes"),$M$27,0))</f>
        <v>1</v>
      </c>
      <c r="P27" s="2123">
        <f>IF(P21=0,0,IF(OR(P29="Yes",P30="Yes",P32="Yes"),$M$27,0))</f>
        <v>0</v>
      </c>
      <c r="Q27" s="2115" t="str">
        <f>IF(OR($O27=$M27,$O27=0,$O27=""),"","*CHECK!*")</f>
        <v/>
      </c>
      <c r="R27" s="2116"/>
      <c r="T27" s="2106"/>
      <c r="U27" s="2106"/>
      <c r="AM27" s="2492">
        <v>27</v>
      </c>
    </row>
    <row r="28" spans="1:39">
      <c r="B28" s="3877" t="s">
        <v>5047</v>
      </c>
      <c r="C28" s="3877"/>
      <c r="D28" s="3877"/>
      <c r="E28" s="3877"/>
      <c r="F28" s="3877"/>
      <c r="G28" s="3877"/>
      <c r="H28" s="3877"/>
      <c r="I28" s="3877"/>
      <c r="J28" s="3877"/>
      <c r="K28" s="3877"/>
      <c r="L28" s="3877"/>
      <c r="M28" s="2077"/>
      <c r="N28" s="2077"/>
      <c r="O28" s="2077"/>
      <c r="P28" s="2077"/>
      <c r="R28" s="2112"/>
      <c r="T28" s="2106"/>
      <c r="U28" s="2106"/>
      <c r="AM28" s="2493">
        <v>28</v>
      </c>
    </row>
    <row r="29" spans="1:39" s="2130" customFormat="1">
      <c r="B29" s="2120" t="s">
        <v>1839</v>
      </c>
      <c r="C29" s="2129" t="s">
        <v>4922</v>
      </c>
      <c r="D29" s="2127"/>
      <c r="E29" s="2127"/>
      <c r="F29" s="2127"/>
      <c r="G29" s="2127"/>
      <c r="H29" s="2127"/>
      <c r="I29" s="2127"/>
      <c r="J29" s="2127"/>
      <c r="K29" s="2127"/>
      <c r="L29" s="2127"/>
      <c r="M29" s="2131"/>
      <c r="N29" s="2132"/>
      <c r="O29" s="2067" t="s">
        <v>2642</v>
      </c>
      <c r="P29" s="2133"/>
      <c r="R29" s="2134"/>
      <c r="T29" s="2135"/>
      <c r="U29" s="2135"/>
      <c r="AM29" s="2492">
        <v>29</v>
      </c>
    </row>
    <row r="30" spans="1:39" s="2130" customFormat="1">
      <c r="B30" s="2120" t="s">
        <v>1841</v>
      </c>
      <c r="C30" s="2129" t="s">
        <v>4923</v>
      </c>
      <c r="D30" s="2127"/>
      <c r="E30" s="2127"/>
      <c r="F30" s="2127"/>
      <c r="G30" s="2127"/>
      <c r="H30" s="2127"/>
      <c r="I30" s="2127"/>
      <c r="J30" s="2127"/>
      <c r="K30" s="2127"/>
      <c r="L30" s="2127"/>
      <c r="M30" s="2131"/>
      <c r="N30" s="2132"/>
      <c r="O30" s="1991" t="s">
        <v>5205</v>
      </c>
      <c r="P30" s="2128"/>
      <c r="R30" s="2134"/>
      <c r="T30" s="2135"/>
      <c r="U30" s="2135"/>
      <c r="AM30" s="2492">
        <v>30</v>
      </c>
    </row>
    <row r="31" spans="1:39" s="2130" customFormat="1">
      <c r="C31" s="2129" t="s">
        <v>4924</v>
      </c>
      <c r="D31" s="2127"/>
      <c r="E31" s="2127"/>
      <c r="F31" s="2127"/>
      <c r="G31" s="2127"/>
      <c r="H31" s="2127"/>
      <c r="J31" s="3888" t="s">
        <v>5203</v>
      </c>
      <c r="K31" s="3889"/>
      <c r="L31" s="3889"/>
      <c r="M31" s="3889"/>
      <c r="N31" s="3890"/>
      <c r="O31" s="2132"/>
      <c r="P31" s="2132"/>
      <c r="R31" s="2134"/>
      <c r="T31" s="2135"/>
      <c r="U31" s="2135"/>
      <c r="AM31" s="2492">
        <v>31</v>
      </c>
    </row>
    <row r="32" spans="1:39" s="2130" customFormat="1">
      <c r="B32" s="2120" t="s">
        <v>2326</v>
      </c>
      <c r="C32" s="3877" t="s">
        <v>4925</v>
      </c>
      <c r="D32" s="3877"/>
      <c r="E32" s="3877"/>
      <c r="F32" s="3877"/>
      <c r="G32" s="3877"/>
      <c r="H32" s="3877"/>
      <c r="I32" s="3877"/>
      <c r="J32" s="3877"/>
      <c r="K32" s="3877"/>
      <c r="L32" s="3877"/>
      <c r="M32" s="2131"/>
      <c r="N32" s="2132"/>
      <c r="O32" s="1993" t="s">
        <v>2642</v>
      </c>
      <c r="P32" s="2219"/>
      <c r="R32" s="2134"/>
      <c r="T32" s="2135"/>
      <c r="U32" s="2135"/>
      <c r="AM32" s="2492">
        <v>32</v>
      </c>
    </row>
    <row r="33" spans="1:39" ht="16" customHeight="1">
      <c r="A33" s="2075"/>
      <c r="B33" s="2136" t="s">
        <v>1725</v>
      </c>
      <c r="C33" s="2137"/>
      <c r="D33" s="2136"/>
      <c r="E33" s="2138"/>
      <c r="F33" s="2127"/>
      <c r="G33" s="2127"/>
      <c r="H33" s="2127"/>
      <c r="I33" s="2127"/>
      <c r="J33" s="2127"/>
      <c r="K33" s="2127"/>
      <c r="L33" s="2127"/>
      <c r="M33" s="2127"/>
      <c r="N33" s="2139"/>
      <c r="O33" s="2140"/>
      <c r="P33" s="2078"/>
      <c r="AM33" s="2493">
        <v>33</v>
      </c>
    </row>
    <row r="34" spans="1:39" ht="45" customHeight="1">
      <c r="A34" s="3878"/>
      <c r="B34" s="3879"/>
      <c r="C34" s="3879"/>
      <c r="D34" s="3879"/>
      <c r="E34" s="3879"/>
      <c r="F34" s="3879"/>
      <c r="G34" s="3879"/>
      <c r="H34" s="3879"/>
      <c r="I34" s="3879"/>
      <c r="J34" s="3879"/>
      <c r="K34" s="3879"/>
      <c r="L34" s="3879"/>
      <c r="M34" s="3879"/>
      <c r="N34" s="3879"/>
      <c r="O34" s="3879"/>
      <c r="P34" s="3880"/>
      <c r="Q34" s="2141"/>
      <c r="AM34" s="2493">
        <v>34</v>
      </c>
    </row>
    <row r="35" spans="1:39" ht="9.75" customHeight="1">
      <c r="A35" s="2075"/>
      <c r="B35" s="2094"/>
      <c r="C35" s="2075"/>
      <c r="D35" s="1973"/>
      <c r="E35" s="1974"/>
      <c r="F35" s="1974"/>
      <c r="G35" s="2104"/>
      <c r="H35" s="2104"/>
      <c r="I35" s="2104"/>
      <c r="J35" s="2104"/>
      <c r="K35" s="2104"/>
      <c r="L35" s="2104"/>
      <c r="M35" s="2077"/>
      <c r="O35" s="2088"/>
      <c r="P35" s="2078"/>
      <c r="R35" s="2075"/>
      <c r="S35" s="2075"/>
      <c r="T35" s="2075"/>
      <c r="U35" s="2075"/>
      <c r="V35" s="2075"/>
      <c r="W35" s="2075"/>
      <c r="X35" s="2105"/>
      <c r="Y35" s="2105"/>
      <c r="Z35" s="2105"/>
      <c r="AA35" s="2105"/>
      <c r="AB35" s="2105"/>
      <c r="AC35" s="2105"/>
      <c r="AD35" s="2105"/>
      <c r="AE35" s="2105"/>
      <c r="AF35" s="2105"/>
      <c r="AG35" s="2105"/>
      <c r="AH35" s="2105"/>
      <c r="AI35" s="2105"/>
      <c r="AM35" s="2493">
        <v>35</v>
      </c>
    </row>
    <row r="36" spans="1:39" ht="9.75" customHeight="1" thickBot="1">
      <c r="T36" s="2106"/>
      <c r="U36" s="2106"/>
      <c r="AM36" s="2493">
        <v>36</v>
      </c>
    </row>
    <row r="37" spans="1:39" s="2075" customFormat="1" ht="16" customHeight="1" thickBot="1">
      <c r="A37" s="2098" t="s">
        <v>1661</v>
      </c>
      <c r="B37" s="2099" t="s">
        <v>4468</v>
      </c>
      <c r="D37" s="2099"/>
      <c r="E37" s="2099"/>
      <c r="G37" s="2142"/>
      <c r="L37" s="2143" t="str">
        <f>IF(AND(O44&gt;0,O46&gt;0), "Choose only one option!","")</f>
        <v/>
      </c>
      <c r="M37" s="2078">
        <v>2</v>
      </c>
      <c r="N37" s="2077"/>
      <c r="O37" s="2109">
        <f>IF(O44=$M$44,$M$44,IF(O46=$M$46,$M$46,0))</f>
        <v>2</v>
      </c>
      <c r="P37" s="2109">
        <f>IF(P44=$M$44,$M$44,IF(P46=$M$46,$M$46,0))</f>
        <v>0</v>
      </c>
      <c r="Q37" s="2110" t="s">
        <v>415</v>
      </c>
      <c r="R37" s="2072"/>
      <c r="S37" s="2072"/>
      <c r="T37" s="2072"/>
      <c r="U37" s="2072"/>
      <c r="V37" s="2072"/>
      <c r="AM37" s="2492">
        <v>37</v>
      </c>
    </row>
    <row r="38" spans="1:39" s="2075" customFormat="1" ht="16" customHeight="1">
      <c r="A38" s="2098"/>
      <c r="B38" s="2075" t="s">
        <v>4708</v>
      </c>
      <c r="D38" s="2099"/>
      <c r="E38" s="2099"/>
      <c r="J38" s="2144"/>
      <c r="M38" s="2145"/>
      <c r="O38" s="3881" t="s">
        <v>4709</v>
      </c>
      <c r="P38" s="3881" t="s">
        <v>3067</v>
      </c>
      <c r="Q38" s="2110"/>
      <c r="R38" s="2072"/>
      <c r="S38" s="2072"/>
      <c r="T38" s="2072"/>
      <c r="U38" s="2072"/>
      <c r="V38" s="2072"/>
      <c r="W38" s="2074"/>
      <c r="X38" s="2074"/>
      <c r="AM38" s="2493">
        <v>38</v>
      </c>
    </row>
    <row r="39" spans="1:39" s="2075" customFormat="1" ht="15" customHeight="1">
      <c r="A39" s="2098"/>
      <c r="C39" s="2075" t="s">
        <v>4576</v>
      </c>
      <c r="J39" s="3891" t="s">
        <v>5203</v>
      </c>
      <c r="K39" s="3892"/>
      <c r="L39" s="3892"/>
      <c r="M39" s="3892"/>
      <c r="N39" s="3893"/>
      <c r="O39" s="3882"/>
      <c r="P39" s="3882"/>
      <c r="Q39" s="2110"/>
      <c r="V39" s="2072"/>
      <c r="W39" s="2074"/>
      <c r="X39" s="2074"/>
      <c r="AM39" s="2492">
        <v>39</v>
      </c>
    </row>
    <row r="40" spans="1:39" s="2075" customFormat="1" ht="15" customHeight="1">
      <c r="A40" s="2098"/>
      <c r="C40" s="2075" t="s">
        <v>4926</v>
      </c>
      <c r="J40" s="3884" t="s">
        <v>5204</v>
      </c>
      <c r="K40" s="3885"/>
      <c r="L40" s="2312"/>
      <c r="O40" s="3882"/>
      <c r="P40" s="3882"/>
      <c r="Q40" s="2110"/>
      <c r="X40" s="2074"/>
      <c r="AM40" s="2492">
        <v>40</v>
      </c>
    </row>
    <row r="41" spans="1:39" s="2075" customFormat="1" ht="15" customHeight="1">
      <c r="A41" s="2098"/>
      <c r="C41" s="2075" t="s">
        <v>4575</v>
      </c>
      <c r="J41" s="3886">
        <v>531110</v>
      </c>
      <c r="K41" s="3887"/>
      <c r="L41" s="2312"/>
      <c r="O41" s="3883"/>
      <c r="P41" s="3883"/>
      <c r="Q41" s="2110"/>
      <c r="X41" s="2074"/>
      <c r="AM41" s="2492">
        <v>41</v>
      </c>
    </row>
    <row r="42" spans="1:39" ht="28.5" customHeight="1" thickBot="1">
      <c r="A42" s="2147"/>
      <c r="B42" s="2113"/>
      <c r="C42" s="3909" t="s">
        <v>4827</v>
      </c>
      <c r="D42" s="3909"/>
      <c r="E42" s="3909"/>
      <c r="F42" s="3909"/>
      <c r="G42" s="3909"/>
      <c r="H42" s="3909"/>
      <c r="I42" s="3909"/>
      <c r="J42" s="3909"/>
      <c r="K42" s="3909"/>
      <c r="L42" s="3909"/>
      <c r="M42" s="2075"/>
      <c r="N42" s="2113"/>
      <c r="O42" s="1996" t="s">
        <v>2642</v>
      </c>
      <c r="P42" s="2160"/>
      <c r="Q42" s="2110"/>
      <c r="R42" s="2146"/>
      <c r="S42" s="2146"/>
      <c r="AM42" s="2492">
        <v>42</v>
      </c>
    </row>
    <row r="43" spans="1:39" ht="2.25" hidden="1" customHeight="1">
      <c r="A43" s="2075"/>
      <c r="D43" s="2075"/>
      <c r="E43" s="2075"/>
      <c r="F43" s="2078"/>
      <c r="G43" s="2078"/>
      <c r="H43" s="2078"/>
      <c r="I43" s="2078"/>
      <c r="J43" s="2107"/>
      <c r="K43" s="2107"/>
      <c r="L43" s="2107"/>
      <c r="M43" s="2077"/>
      <c r="N43" s="2078"/>
      <c r="P43" s="2088"/>
      <c r="AM43" s="2493">
        <v>43</v>
      </c>
    </row>
    <row r="44" spans="1:39" ht="16" customHeight="1" thickBot="1">
      <c r="A44" s="2078" t="s">
        <v>1836</v>
      </c>
      <c r="B44" s="2148" t="s">
        <v>4469</v>
      </c>
      <c r="D44" s="2129"/>
      <c r="E44" s="2129"/>
      <c r="H44" s="2129"/>
      <c r="L44" s="2129"/>
      <c r="M44" s="2095">
        <v>2</v>
      </c>
      <c r="N44" s="2113"/>
      <c r="O44" s="2109">
        <f>IF(O45="Yes",$M44,0)</f>
        <v>0</v>
      </c>
      <c r="P44" s="2109">
        <f>IF(P45="Yes",$M44,0)</f>
        <v>0</v>
      </c>
      <c r="Q44" s="2149" t="str">
        <f>IF(OR(O44=0,O44="",O44=$M44),"","Check!")</f>
        <v/>
      </c>
      <c r="R44" s="2116"/>
      <c r="S44" s="2072"/>
      <c r="T44" s="2072"/>
      <c r="U44" s="2072"/>
      <c r="V44" s="2072"/>
      <c r="AM44" s="2493">
        <v>44</v>
      </c>
    </row>
    <row r="45" spans="1:39" s="2130" customFormat="1" ht="14.5" thickBot="1">
      <c r="A45" s="2150"/>
      <c r="B45" s="2129" t="s">
        <v>4927</v>
      </c>
      <c r="C45" s="2225"/>
      <c r="D45" s="2225"/>
      <c r="E45" s="2225"/>
      <c r="F45" s="2225"/>
      <c r="G45" s="2225"/>
      <c r="H45" s="2225"/>
      <c r="I45" s="2225"/>
      <c r="J45" s="2225"/>
      <c r="K45" s="2225"/>
      <c r="L45" s="2225"/>
      <c r="M45" s="2225"/>
      <c r="N45" s="2118"/>
      <c r="O45" s="1980" t="s">
        <v>5205</v>
      </c>
      <c r="P45" s="2119"/>
      <c r="Q45" s="2151"/>
      <c r="R45" s="2152"/>
      <c r="S45" s="2152"/>
      <c r="T45" s="2152"/>
      <c r="U45" s="2152"/>
      <c r="AM45" s="2493">
        <v>45</v>
      </c>
    </row>
    <row r="46" spans="1:39" ht="16" customHeight="1" thickBot="1">
      <c r="A46" s="2078" t="s">
        <v>1838</v>
      </c>
      <c r="B46" s="2148" t="s">
        <v>4470</v>
      </c>
      <c r="D46" s="2129"/>
      <c r="L46" s="2129"/>
      <c r="M46" s="2095">
        <v>2</v>
      </c>
      <c r="N46" s="2113"/>
      <c r="O46" s="2109">
        <f>IF(AND(O47="Yes",O48="Yes"),$M46,0)</f>
        <v>2</v>
      </c>
      <c r="P46" s="2109">
        <f>IF(AND(P47="Yes",P48="Yes"),$M46,0)</f>
        <v>0</v>
      </c>
      <c r="Q46" s="2149" t="str">
        <f>IF(OR(O46=0,O46="",O46=$M46),"","Check!")</f>
        <v/>
      </c>
      <c r="R46" s="2116"/>
      <c r="S46" s="2072"/>
      <c r="T46" s="2072"/>
      <c r="U46" s="2072"/>
      <c r="V46" s="2072"/>
      <c r="AM46" s="2493">
        <v>46</v>
      </c>
    </row>
    <row r="47" spans="1:39" ht="16" customHeight="1">
      <c r="A47" s="2078"/>
      <c r="B47" s="2075" t="s">
        <v>4928</v>
      </c>
      <c r="D47" s="2129"/>
      <c r="L47" s="2129"/>
      <c r="M47" s="2095"/>
      <c r="N47" s="2113"/>
      <c r="O47" s="1980" t="s">
        <v>2642</v>
      </c>
      <c r="P47" s="2119"/>
      <c r="Q47" s="2149"/>
      <c r="R47" s="2116"/>
      <c r="S47" s="2072"/>
      <c r="T47" s="2072"/>
      <c r="U47" s="2072"/>
      <c r="V47" s="2072"/>
      <c r="AM47" s="2492">
        <v>47</v>
      </c>
    </row>
    <row r="48" spans="1:39" ht="28.5" customHeight="1">
      <c r="A48" s="2078"/>
      <c r="B48" s="3877" t="s">
        <v>4828</v>
      </c>
      <c r="C48" s="3877"/>
      <c r="D48" s="3877"/>
      <c r="E48" s="3877"/>
      <c r="F48" s="3877"/>
      <c r="G48" s="3877"/>
      <c r="H48" s="3877"/>
      <c r="I48" s="3877"/>
      <c r="J48" s="3877"/>
      <c r="K48" s="3877"/>
      <c r="L48" s="3877"/>
      <c r="M48" s="3877"/>
      <c r="N48" s="2113"/>
      <c r="O48" s="1991" t="s">
        <v>2642</v>
      </c>
      <c r="P48" s="2128"/>
      <c r="Q48" s="2149"/>
      <c r="R48" s="2116"/>
      <c r="S48" s="2072"/>
      <c r="T48" s="2072"/>
      <c r="U48" s="2072"/>
      <c r="V48" s="2072"/>
      <c r="AM48" s="2493">
        <v>48</v>
      </c>
    </row>
    <row r="49" spans="1:39" ht="16" customHeight="1">
      <c r="A49" s="2075"/>
      <c r="B49" s="2097" t="s">
        <v>4817</v>
      </c>
      <c r="C49" s="2075"/>
      <c r="D49" s="2075"/>
      <c r="E49" s="2075"/>
      <c r="F49" s="2075"/>
      <c r="G49" s="2075"/>
      <c r="H49" s="2075"/>
      <c r="I49" s="2075"/>
      <c r="J49" s="2075"/>
      <c r="K49" s="2075"/>
      <c r="M49" s="2077"/>
      <c r="O49" s="2088"/>
      <c r="R49" s="2072"/>
      <c r="S49" s="2072"/>
      <c r="T49" s="2072"/>
      <c r="U49" s="2072"/>
      <c r="V49" s="2072"/>
      <c r="AM49" s="2492">
        <v>49</v>
      </c>
    </row>
    <row r="50" spans="1:39" ht="62" customHeight="1">
      <c r="A50" s="3934" t="s">
        <v>5253</v>
      </c>
      <c r="B50" s="3935"/>
      <c r="C50" s="3935"/>
      <c r="D50" s="3935"/>
      <c r="E50" s="3935"/>
      <c r="F50" s="3935"/>
      <c r="G50" s="3935"/>
      <c r="H50" s="3935"/>
      <c r="I50" s="3935"/>
      <c r="J50" s="3935"/>
      <c r="K50" s="3935"/>
      <c r="L50" s="3935"/>
      <c r="M50" s="3935"/>
      <c r="N50" s="3935"/>
      <c r="O50" s="3935"/>
      <c r="P50" s="3936"/>
      <c r="Q50" s="2154"/>
      <c r="AM50" s="2492">
        <v>50</v>
      </c>
    </row>
    <row r="51" spans="1:39" ht="16" customHeight="1">
      <c r="A51" s="2075"/>
      <c r="B51" s="2136" t="s">
        <v>1725</v>
      </c>
      <c r="C51" s="2075"/>
      <c r="D51" s="2136"/>
      <c r="E51" s="2127"/>
      <c r="F51" s="2127"/>
      <c r="G51" s="2127"/>
      <c r="H51" s="2127"/>
      <c r="I51" s="2127"/>
      <c r="J51" s="2127"/>
      <c r="K51" s="2127"/>
      <c r="L51" s="2127"/>
      <c r="M51" s="2127"/>
      <c r="N51" s="2139"/>
      <c r="O51" s="2140"/>
      <c r="P51" s="2078"/>
      <c r="AM51" s="2492">
        <v>51</v>
      </c>
    </row>
    <row r="52" spans="1:39" ht="15" customHeight="1">
      <c r="A52" s="3878"/>
      <c r="B52" s="3879"/>
      <c r="C52" s="3879"/>
      <c r="D52" s="3879"/>
      <c r="E52" s="3879"/>
      <c r="F52" s="3879"/>
      <c r="G52" s="3879"/>
      <c r="H52" s="3879"/>
      <c r="I52" s="3879"/>
      <c r="J52" s="3879"/>
      <c r="K52" s="3879"/>
      <c r="L52" s="3879"/>
      <c r="M52" s="3879"/>
      <c r="N52" s="3879"/>
      <c r="O52" s="3879"/>
      <c r="P52" s="3880"/>
      <c r="Q52" s="2141"/>
      <c r="AM52" s="2492">
        <v>52</v>
      </c>
    </row>
    <row r="53" spans="1:39" ht="9.75" customHeight="1">
      <c r="A53" s="2075"/>
      <c r="B53" s="2094"/>
      <c r="C53" s="2075"/>
      <c r="D53" s="1973"/>
      <c r="E53" s="1974"/>
      <c r="F53" s="1974"/>
      <c r="G53" s="2104"/>
      <c r="H53" s="2104"/>
      <c r="I53" s="2104"/>
      <c r="J53" s="2104"/>
      <c r="K53" s="2104"/>
      <c r="L53" s="2104"/>
      <c r="M53" s="2077"/>
      <c r="O53" s="2088"/>
      <c r="P53" s="2078"/>
      <c r="R53" s="2075"/>
      <c r="S53" s="2075"/>
      <c r="T53" s="2075"/>
      <c r="U53" s="2075"/>
      <c r="V53" s="2075"/>
      <c r="W53" s="2075"/>
      <c r="X53" s="2105"/>
      <c r="Y53" s="2105"/>
      <c r="Z53" s="2105"/>
      <c r="AA53" s="2105"/>
      <c r="AB53" s="2105"/>
      <c r="AC53" s="2105"/>
      <c r="AD53" s="2105"/>
      <c r="AE53" s="2105"/>
      <c r="AF53" s="2105"/>
      <c r="AG53" s="2105"/>
      <c r="AH53" s="2105"/>
      <c r="AI53" s="2105"/>
      <c r="AM53" s="2492">
        <v>53</v>
      </c>
    </row>
    <row r="54" spans="1:39" ht="6" customHeight="1" thickBot="1">
      <c r="T54" s="2106"/>
      <c r="U54" s="2106"/>
      <c r="AM54" s="2492">
        <v>54</v>
      </c>
    </row>
    <row r="55" spans="1:39" ht="16" customHeight="1" thickBot="1">
      <c r="A55" s="2098" t="s">
        <v>1663</v>
      </c>
      <c r="B55" s="2099" t="s">
        <v>3259</v>
      </c>
      <c r="D55" s="2155"/>
      <c r="E55" s="2155"/>
      <c r="F55" s="2075"/>
      <c r="G55" s="2075"/>
      <c r="H55" s="2075"/>
      <c r="J55" s="2156"/>
      <c r="K55" s="2145"/>
      <c r="L55" s="2108" t="s">
        <v>4866</v>
      </c>
      <c r="M55" s="2088">
        <v>5</v>
      </c>
      <c r="N55" s="2077"/>
      <c r="O55" s="2157">
        <f>O56+O78</f>
        <v>2</v>
      </c>
      <c r="P55" s="2157">
        <f>P56+P78</f>
        <v>0</v>
      </c>
      <c r="Q55" s="2110" t="s">
        <v>415</v>
      </c>
      <c r="AM55" s="2493">
        <v>55</v>
      </c>
    </row>
    <row r="56" spans="1:39" ht="16" customHeight="1" thickBot="1">
      <c r="A56" s="2158" t="s">
        <v>1836</v>
      </c>
      <c r="B56" s="2086" t="s">
        <v>3260</v>
      </c>
      <c r="L56" s="2112" t="str">
        <f>IF(O56&lt;=M56,"","* * Check Score! * *")</f>
        <v/>
      </c>
      <c r="M56" s="2077">
        <v>4</v>
      </c>
      <c r="N56" s="2113"/>
      <c r="O56" s="1995">
        <v>2</v>
      </c>
      <c r="P56" s="2159"/>
      <c r="Q56" s="2115" t="str">
        <f>IF(O56&lt;=M56,"","*CHECK!*")</f>
        <v/>
      </c>
      <c r="R56" s="2091"/>
      <c r="S56" s="2091"/>
      <c r="T56" s="2073"/>
      <c r="AM56" s="2493">
        <v>56</v>
      </c>
    </row>
    <row r="57" spans="1:39" ht="31" customHeight="1">
      <c r="A57" s="2158"/>
      <c r="B57" s="3937" t="s">
        <v>4831</v>
      </c>
      <c r="C57" s="3937"/>
      <c r="D57" s="3937"/>
      <c r="E57" s="3937"/>
      <c r="F57" s="3937"/>
      <c r="G57" s="3937"/>
      <c r="H57" s="3937"/>
      <c r="I57" s="3937"/>
      <c r="J57" s="3937"/>
      <c r="K57" s="3937"/>
      <c r="L57" s="3937"/>
      <c r="N57" s="2074"/>
      <c r="O57" s="1996" t="s">
        <v>2642</v>
      </c>
      <c r="P57" s="2160"/>
      <c r="R57" s="2091"/>
      <c r="S57" s="2091"/>
      <c r="T57" s="2073"/>
      <c r="AM57" s="2492">
        <v>57</v>
      </c>
    </row>
    <row r="58" spans="1:39" ht="16" customHeight="1">
      <c r="A58" s="2158"/>
      <c r="B58" s="2161"/>
      <c r="C58" s="2130"/>
      <c r="D58" s="2130"/>
      <c r="E58" s="2130"/>
      <c r="F58" s="2130"/>
      <c r="G58" s="2130"/>
      <c r="H58" s="2130"/>
      <c r="I58" s="2130"/>
      <c r="J58" s="3938" t="s">
        <v>1843</v>
      </c>
      <c r="K58" s="3938"/>
      <c r="M58" s="3938" t="s">
        <v>1843</v>
      </c>
      <c r="N58" s="3938"/>
      <c r="O58" s="3938"/>
      <c r="P58" s="3938"/>
      <c r="R58" s="2162"/>
      <c r="S58" s="2162"/>
      <c r="T58" s="2073"/>
      <c r="AM58" s="2492">
        <v>58</v>
      </c>
    </row>
    <row r="59" spans="1:39" ht="14.15" customHeight="1">
      <c r="A59" s="2113"/>
      <c r="B59" s="2117" t="s">
        <v>1839</v>
      </c>
      <c r="C59" s="2075" t="s">
        <v>1386</v>
      </c>
      <c r="I59" s="2113"/>
      <c r="J59" s="3939"/>
      <c r="K59" s="3940"/>
      <c r="L59" s="2113"/>
      <c r="M59" s="3941"/>
      <c r="N59" s="3942"/>
      <c r="O59" s="3942"/>
      <c r="P59" s="3943"/>
      <c r="R59" s="2112"/>
      <c r="AM59" s="2493">
        <v>59</v>
      </c>
    </row>
    <row r="60" spans="1:39" ht="14.15" customHeight="1">
      <c r="A60" s="2108"/>
      <c r="B60" s="2120" t="s">
        <v>1841</v>
      </c>
      <c r="C60" s="2075" t="s">
        <v>3072</v>
      </c>
      <c r="I60" s="2132"/>
      <c r="J60" s="3944"/>
      <c r="K60" s="3945"/>
      <c r="L60" s="2132"/>
      <c r="M60" s="3931"/>
      <c r="N60" s="3932"/>
      <c r="O60" s="3932"/>
      <c r="P60" s="3933"/>
      <c r="AM60" s="2493">
        <v>60</v>
      </c>
    </row>
    <row r="61" spans="1:39" ht="14.15" customHeight="1">
      <c r="B61" s="2117" t="s">
        <v>2326</v>
      </c>
      <c r="C61" s="2075" t="s">
        <v>3827</v>
      </c>
      <c r="I61" s="2113"/>
      <c r="J61" s="3929">
        <f>'Part II-Sources of Funds'!$H$7</f>
        <v>0</v>
      </c>
      <c r="K61" s="3930"/>
      <c r="L61" s="2113"/>
      <c r="M61" s="3931"/>
      <c r="N61" s="3932"/>
      <c r="O61" s="3932"/>
      <c r="P61" s="3933"/>
      <c r="AM61" s="2493">
        <v>61</v>
      </c>
    </row>
    <row r="62" spans="1:39" ht="14.15" customHeight="1">
      <c r="B62" s="2117" t="s">
        <v>1149</v>
      </c>
      <c r="C62" s="2075" t="s">
        <v>4829</v>
      </c>
      <c r="I62" s="2113"/>
      <c r="J62" s="3929">
        <f>'Part II-Sources of Funds'!$H$9</f>
        <v>0</v>
      </c>
      <c r="K62" s="3930"/>
      <c r="L62" s="2113"/>
      <c r="M62" s="3931"/>
      <c r="N62" s="3932"/>
      <c r="O62" s="3932"/>
      <c r="P62" s="3933"/>
      <c r="AM62" s="2493">
        <v>62</v>
      </c>
    </row>
    <row r="63" spans="1:39" ht="14.15" customHeight="1">
      <c r="A63" s="2108"/>
      <c r="B63" s="2120" t="s">
        <v>1150</v>
      </c>
      <c r="C63" s="2075" t="s">
        <v>2988</v>
      </c>
      <c r="I63" s="2113"/>
      <c r="J63" s="3944"/>
      <c r="K63" s="3945"/>
      <c r="L63" s="2113"/>
      <c r="M63" s="3931"/>
      <c r="N63" s="3932"/>
      <c r="O63" s="3932"/>
      <c r="P63" s="3933"/>
      <c r="AM63" s="2492">
        <v>63</v>
      </c>
    </row>
    <row r="64" spans="1:39" ht="14.15" customHeight="1">
      <c r="A64" s="2113"/>
      <c r="B64" s="2117" t="s">
        <v>1737</v>
      </c>
      <c r="C64" s="2075" t="s">
        <v>2467</v>
      </c>
      <c r="I64" s="2132"/>
      <c r="J64" s="3944">
        <f>709420+573796</f>
        <v>1283216</v>
      </c>
      <c r="K64" s="3945"/>
      <c r="L64" s="2132"/>
      <c r="M64" s="3931"/>
      <c r="N64" s="3932"/>
      <c r="O64" s="3932"/>
      <c r="P64" s="3933"/>
      <c r="AM64" s="2493">
        <v>64</v>
      </c>
    </row>
    <row r="65" spans="1:39" ht="14.15" customHeight="1">
      <c r="B65" s="2117" t="s">
        <v>472</v>
      </c>
      <c r="C65" s="2075" t="s">
        <v>1385</v>
      </c>
      <c r="I65" s="2113"/>
      <c r="J65" s="3944"/>
      <c r="K65" s="3945"/>
      <c r="L65" s="2113"/>
      <c r="M65" s="3931"/>
      <c r="N65" s="3932"/>
      <c r="O65" s="3932"/>
      <c r="P65" s="3933"/>
      <c r="AM65" s="2492">
        <v>65</v>
      </c>
    </row>
    <row r="66" spans="1:39" ht="14.15" customHeight="1">
      <c r="B66" s="2117" t="s">
        <v>473</v>
      </c>
      <c r="C66" s="2075" t="s">
        <v>4126</v>
      </c>
      <c r="I66" s="2113"/>
      <c r="J66" s="3944"/>
      <c r="K66" s="3945"/>
      <c r="L66" s="2113"/>
      <c r="M66" s="3931"/>
      <c r="N66" s="3932"/>
      <c r="O66" s="3932"/>
      <c r="P66" s="3933"/>
      <c r="R66" s="2112"/>
      <c r="AM66" s="2492">
        <v>66</v>
      </c>
    </row>
    <row r="67" spans="1:39" ht="14.15" customHeight="1">
      <c r="A67" s="2108"/>
      <c r="B67" s="2117" t="s">
        <v>3765</v>
      </c>
      <c r="C67" s="2075" t="s">
        <v>3071</v>
      </c>
      <c r="I67" s="2113"/>
      <c r="J67" s="3944"/>
      <c r="K67" s="3945"/>
      <c r="L67" s="2113"/>
      <c r="M67" s="3931"/>
      <c r="N67" s="3932"/>
      <c r="O67" s="3932"/>
      <c r="P67" s="3933"/>
      <c r="R67" s="2112"/>
      <c r="AM67" s="2492">
        <v>67</v>
      </c>
    </row>
    <row r="68" spans="1:39" ht="14.15" customHeight="1">
      <c r="B68" s="2117" t="s">
        <v>4690</v>
      </c>
      <c r="C68" s="2075" t="s">
        <v>4689</v>
      </c>
      <c r="I68" s="2113"/>
      <c r="J68" s="3944"/>
      <c r="K68" s="3945"/>
      <c r="L68" s="2113"/>
      <c r="M68" s="3931"/>
      <c r="N68" s="3932"/>
      <c r="O68" s="3932"/>
      <c r="P68" s="3933"/>
      <c r="R68" s="2112"/>
      <c r="AM68" s="2492">
        <v>68</v>
      </c>
    </row>
    <row r="69" spans="1:39" ht="14.15" customHeight="1">
      <c r="B69" s="2117" t="s">
        <v>4691</v>
      </c>
      <c r="C69" s="2075" t="s">
        <v>4710</v>
      </c>
      <c r="I69" s="2113"/>
      <c r="J69" s="3944"/>
      <c r="K69" s="3945"/>
      <c r="L69" s="2113"/>
      <c r="M69" s="3931"/>
      <c r="N69" s="3932"/>
      <c r="O69" s="3932"/>
      <c r="P69" s="3933"/>
      <c r="R69" s="2112"/>
      <c r="AM69" s="2492">
        <v>69</v>
      </c>
    </row>
    <row r="70" spans="1:39" ht="14.15" customHeight="1" thickBot="1">
      <c r="B70" s="2117" t="s">
        <v>4830</v>
      </c>
      <c r="C70" s="2075" t="s">
        <v>4711</v>
      </c>
      <c r="I70" s="2113"/>
      <c r="J70" s="3944"/>
      <c r="K70" s="3945"/>
      <c r="L70" s="2113"/>
      <c r="M70" s="3957"/>
      <c r="N70" s="3958"/>
      <c r="O70" s="3958"/>
      <c r="P70" s="3959"/>
      <c r="R70" s="2112"/>
      <c r="AM70" s="2492">
        <v>70</v>
      </c>
    </row>
    <row r="71" spans="1:39" ht="16" customHeight="1" thickBot="1">
      <c r="B71" s="2075"/>
      <c r="I71" s="2094" t="s">
        <v>2406</v>
      </c>
      <c r="J71" s="3946">
        <f>SUM(J59:K70)</f>
        <v>1283216</v>
      </c>
      <c r="K71" s="3947"/>
      <c r="M71" s="3946">
        <f>SUM($M59:$M70)</f>
        <v>0</v>
      </c>
      <c r="N71" s="3948"/>
      <c r="O71" s="3948"/>
      <c r="P71" s="3947"/>
      <c r="V71" s="3949" t="s">
        <v>4716</v>
      </c>
      <c r="W71" s="3949"/>
      <c r="X71" s="3949"/>
      <c r="Y71" s="3949"/>
      <c r="Z71" s="3949"/>
      <c r="AA71" s="3949"/>
      <c r="AM71" s="2493">
        <v>71</v>
      </c>
    </row>
    <row r="72" spans="1:39" ht="6" customHeight="1">
      <c r="M72" s="2091"/>
      <c r="N72" s="2091"/>
      <c r="O72" s="2074"/>
      <c r="P72" s="2091"/>
      <c r="V72" s="2277" t="s">
        <v>4714</v>
      </c>
      <c r="W72" s="2277" t="s">
        <v>4715</v>
      </c>
      <c r="X72" s="2277" t="s">
        <v>4714</v>
      </c>
      <c r="Y72" s="2277" t="s">
        <v>4715</v>
      </c>
      <c r="Z72" s="2277" t="s">
        <v>4714</v>
      </c>
      <c r="AA72" s="2277" t="s">
        <v>4715</v>
      </c>
      <c r="AM72" s="2493">
        <v>72</v>
      </c>
    </row>
    <row r="73" spans="1:39" ht="16" customHeight="1">
      <c r="A73" s="2075"/>
      <c r="B73" s="2117"/>
      <c r="C73" s="2155" t="s">
        <v>2405</v>
      </c>
      <c r="D73" s="2093"/>
      <c r="E73" s="2093"/>
      <c r="I73" s="2113" t="s">
        <v>4129</v>
      </c>
      <c r="J73" s="3950">
        <f>'Part V-Revenues &amp; Expenses'!$P$76</f>
        <v>116</v>
      </c>
      <c r="K73" s="3951"/>
      <c r="L73" s="2091"/>
      <c r="M73" s="2091"/>
      <c r="N73" s="2091"/>
      <c r="O73" s="2074"/>
      <c r="P73" s="2091"/>
      <c r="R73" s="2163" t="s">
        <v>4712</v>
      </c>
      <c r="V73" s="2164">
        <v>500000</v>
      </c>
      <c r="W73" s="2165">
        <v>999999.99</v>
      </c>
      <c r="X73" s="2164">
        <v>1000000</v>
      </c>
      <c r="Y73" s="2165">
        <v>1999999.99</v>
      </c>
      <c r="Z73" s="2164">
        <v>2000000</v>
      </c>
      <c r="AA73" s="2166"/>
      <c r="AM73" s="2493">
        <v>73</v>
      </c>
    </row>
    <row r="74" spans="1:39" ht="16" customHeight="1">
      <c r="C74" s="2093"/>
      <c r="D74" s="2093"/>
      <c r="E74" s="2093"/>
      <c r="I74" s="2167" t="s">
        <v>4130</v>
      </c>
      <c r="J74" s="3952">
        <f>IF(J73=0,0,J71/J73)</f>
        <v>11062.206896551725</v>
      </c>
      <c r="K74" s="3953"/>
      <c r="M74" s="3954">
        <f>IF(J73=0,0,M71/J73)</f>
        <v>0</v>
      </c>
      <c r="N74" s="3955"/>
      <c r="O74" s="3955"/>
      <c r="P74" s="3956"/>
      <c r="R74" s="2163" t="s">
        <v>4713</v>
      </c>
      <c r="V74" s="2168">
        <v>10000</v>
      </c>
      <c r="W74" s="2169">
        <v>19999.990000000002</v>
      </c>
      <c r="X74" s="2168">
        <v>20000</v>
      </c>
      <c r="Y74" s="2169">
        <v>29999.99</v>
      </c>
      <c r="Z74" s="2168">
        <v>30000</v>
      </c>
      <c r="AA74" s="2170"/>
      <c r="AM74" s="2492">
        <v>74</v>
      </c>
    </row>
    <row r="75" spans="1:39" ht="16" customHeight="1">
      <c r="C75" s="2093"/>
      <c r="D75" s="2093"/>
      <c r="E75" s="2093"/>
      <c r="I75" s="2108" t="s">
        <v>4692</v>
      </c>
      <c r="J75" s="3950">
        <f>IF(AND(J62+J67&gt;0,J71&gt;=$Z$73),$Z$75, IF(AND(J62+J67=0,J71&gt;=$Z$73),$Z$76, IF(AND(J62+J67&gt;0,J71&gt;=$X$73),$X$75,IF(AND(J62+J67=0,J71&gt;=$X$73),$X$76, IF(AND(J62+J67&gt;0,J71&gt;=$V$73),$V$75,IF(AND(J62+J67=0,J71&gt;=$V$73),$V$76,0))))))</f>
        <v>2</v>
      </c>
      <c r="K75" s="3951"/>
      <c r="M75" s="3950">
        <f>IF(AND(M62+M67&gt;0,M71&gt;=$Z$73),$Z$75, IF(AND(M62+M67=0,M71&gt;=$Z$73),$Z$76, IF(AND(M62+M67&gt;0,M71&gt;=$X$73),$X$75,IF(AND(M62+M67=0,M71&gt;=$X$73),$X$76, IF(AND(M62+M67&gt;0,M71&gt;=$V$73),$V$75,IF(AND(M62+M67=0,M71&gt;=$V$73),$V$76,0))))))</f>
        <v>0</v>
      </c>
      <c r="N75" s="3960"/>
      <c r="O75" s="3960">
        <f>IF(AND(O62+O67&gt;0,O71&gt;=$Z$73),$Z$75, IF(AND(O62+O67=0,O71&gt;=$Z$73),$Z$76, IF(AND(O62+O67&gt;0,O71&gt;=$X$73),$X$75,IF(AND(O62+O67=0,O71&gt;=$X$73),$X$76, IF(AND(O62+O67&gt;0,O71&gt;=$V$73),$V$75,IF(AND(O62+O67=0,O71&gt;=$V$73),$V$76,0))))))</f>
        <v>0</v>
      </c>
      <c r="P75" s="3951"/>
      <c r="R75" s="2163" t="s">
        <v>4832</v>
      </c>
      <c r="V75" s="3961">
        <v>2</v>
      </c>
      <c r="W75" s="3962"/>
      <c r="X75" s="3961">
        <v>3</v>
      </c>
      <c r="Y75" s="3962"/>
      <c r="Z75" s="3961">
        <v>4</v>
      </c>
      <c r="AA75" s="3962"/>
      <c r="AM75" s="2492">
        <v>75</v>
      </c>
    </row>
    <row r="76" spans="1:39" ht="16" customHeight="1">
      <c r="C76" s="2093"/>
      <c r="D76" s="2093"/>
      <c r="E76" s="2093"/>
      <c r="I76" s="2108" t="s">
        <v>4131</v>
      </c>
      <c r="J76" s="3963">
        <f>IF(AND(J62+J67&gt;0,$J$74&gt;=$Z$74),$Z$75,IF(AND(J62+J67=0,$J$74&gt;=$Z$74),$Z$76,IF(AND(J62+J67&gt;0,$J$74&gt;=$X$74),$X$75,IF(AND(J62+J67=0,$J$74&gt;=$X$74),$X$76,IF(AND(J62+J67&gt;0,$J$74&gt;=$V$74),$V$75,IF(AND(J62+J67=0,$J$74&gt;=$V$74),$V$76,0))))))</f>
        <v>1</v>
      </c>
      <c r="K76" s="3964"/>
      <c r="L76" s="2091"/>
      <c r="M76" s="3963">
        <f>IF(AND(M62+M67&gt;0,$M$74&gt;=$Z$74),$Z$75,IF(AND(M62+M67=0,$M$74&gt;=$Z$74),$Z$76,IF(AND(M62+M67&gt;0,$M$74&gt;=$X$74),$X$75,IF(AND(M62+M67=0,$M$74&gt;=$X$74),$X$76,IF(AND(M62+M67&gt;0,$M$74&gt;=$V$74),$V$75,IF(AND(M62+M67=0,$M$74&gt;=$V$74),$V$76,0))))))</f>
        <v>0</v>
      </c>
      <c r="N76" s="3965"/>
      <c r="O76" s="3965">
        <f>IF(AND(O62+O67&gt;0,$J$73&gt;=$Z$74),$Z$75, IF(AND(O62+O67=0,$J$73&gt;=$Z$74),$Z$76, IF(AND(O62+O67&gt;0,$J$73&gt;=$X$74),$X$75,IF(AND(O62+O67=0,$J$73&gt;=$X$74),$X$76, IF(AND(O62+O67&gt;0,$J$73&gt;=$V$74),$V$75,IF(AND(O62+O67=0,$J$73&gt;=$V$74),$V$76,0))))))</f>
        <v>0</v>
      </c>
      <c r="P76" s="3964"/>
      <c r="R76" s="2163" t="s">
        <v>4833</v>
      </c>
      <c r="V76" s="3961">
        <v>1</v>
      </c>
      <c r="W76" s="3962"/>
      <c r="X76" s="3961">
        <v>2</v>
      </c>
      <c r="Y76" s="3962"/>
      <c r="Z76" s="3961">
        <v>3</v>
      </c>
      <c r="AA76" s="3962"/>
      <c r="AM76" s="2493">
        <v>76</v>
      </c>
    </row>
    <row r="77" spans="1:39" ht="6" customHeight="1" thickBot="1">
      <c r="AM77" s="2492">
        <v>77</v>
      </c>
    </row>
    <row r="78" spans="1:39" ht="16" customHeight="1" thickBot="1">
      <c r="A78" s="2078" t="s">
        <v>1838</v>
      </c>
      <c r="B78" s="2086" t="s">
        <v>4834</v>
      </c>
      <c r="D78" s="2075"/>
      <c r="F78" s="2171" t="s">
        <v>4838</v>
      </c>
      <c r="K78" s="2075"/>
      <c r="L78" s="2172" t="s">
        <v>4837</v>
      </c>
      <c r="M78" s="2077">
        <v>1</v>
      </c>
      <c r="N78" s="2113"/>
      <c r="O78" s="2173">
        <f>IF(AND(O79&gt;0,O80&gt;0),"1or2?",MIN($M78,SUM(O79,O80)))</f>
        <v>0</v>
      </c>
      <c r="P78" s="2173">
        <f>IF(AND(P79&gt;0,P80&gt;0),"1or2?",MIN($M78,SUM(P79,P80)))</f>
        <v>0</v>
      </c>
      <c r="Q78" s="2115"/>
      <c r="R78" s="2116"/>
      <c r="T78" s="2106"/>
      <c r="AM78" s="2492">
        <v>78</v>
      </c>
    </row>
    <row r="79" spans="1:39" s="2075" customFormat="1" ht="16" customHeight="1" thickBot="1">
      <c r="A79" s="2078"/>
      <c r="B79" s="2117" t="s">
        <v>1839</v>
      </c>
      <c r="C79" s="2107" t="s">
        <v>4835</v>
      </c>
      <c r="F79" s="2174" t="s">
        <v>4836</v>
      </c>
      <c r="I79" s="2078"/>
      <c r="J79" s="2107"/>
      <c r="K79" s="2107"/>
      <c r="L79" s="2112" t="str">
        <f>IF(OR($O79=$M79,$O79=0,$O79=""),"","* * Check Score! * *")</f>
        <v/>
      </c>
      <c r="M79" s="2175">
        <v>0.5</v>
      </c>
      <c r="N79" s="2113"/>
      <c r="O79" s="2068">
        <v>0</v>
      </c>
      <c r="P79" s="2176"/>
      <c r="Q79" s="2116"/>
      <c r="AM79" s="2493">
        <v>79</v>
      </c>
    </row>
    <row r="80" spans="1:39" s="2075" customFormat="1" ht="16" customHeight="1">
      <c r="A80" s="2078"/>
      <c r="B80" s="2120" t="s">
        <v>1841</v>
      </c>
      <c r="C80" s="2107" t="s">
        <v>3074</v>
      </c>
      <c r="F80" s="2078"/>
      <c r="I80" s="2078"/>
      <c r="J80" s="2107"/>
      <c r="K80" s="2107"/>
      <c r="L80" s="2112" t="str">
        <f>IF(OR($O80=$M80,$O80=0,$O80=""),"","* * Check Score! * *")</f>
        <v/>
      </c>
      <c r="M80" s="2175">
        <v>1</v>
      </c>
      <c r="N80" s="2113"/>
      <c r="O80" s="2177">
        <f>IF(AND(O81="Yes",O82="Yes"),$M80,0)</f>
        <v>0</v>
      </c>
      <c r="P80" s="2177">
        <f>IF(AND(P81="Yes",P82="Yes"),$M80,0)</f>
        <v>0</v>
      </c>
      <c r="Q80" s="2116"/>
      <c r="AM80" s="2493">
        <v>80</v>
      </c>
    </row>
    <row r="81" spans="1:39">
      <c r="A81" s="2094"/>
      <c r="B81" s="2153"/>
      <c r="C81" s="2129" t="s">
        <v>4927</v>
      </c>
      <c r="D81" s="2225"/>
      <c r="E81" s="2225"/>
      <c r="F81" s="2225"/>
      <c r="G81" s="2225"/>
      <c r="H81" s="2225"/>
      <c r="I81" s="2225"/>
      <c r="J81" s="2225"/>
      <c r="K81" s="2225"/>
      <c r="L81" s="2225"/>
      <c r="M81" s="2225"/>
      <c r="N81" s="2178"/>
      <c r="O81" s="1997" t="s">
        <v>5205</v>
      </c>
      <c r="P81" s="2179"/>
      <c r="AM81" s="2493">
        <v>81</v>
      </c>
    </row>
    <row r="82" spans="1:39" ht="16" customHeight="1">
      <c r="A82" s="2094"/>
      <c r="B82" s="2153"/>
      <c r="C82" s="2075" t="s">
        <v>4693</v>
      </c>
      <c r="D82" s="2075"/>
      <c r="E82" s="2075"/>
      <c r="F82" s="2075"/>
      <c r="G82" s="2075"/>
      <c r="H82" s="2075"/>
      <c r="I82" s="2075"/>
      <c r="J82" s="2075"/>
      <c r="K82" s="2075"/>
      <c r="M82" s="2075"/>
      <c r="N82" s="2180"/>
      <c r="O82" s="1979" t="s">
        <v>5205</v>
      </c>
      <c r="P82" s="2122"/>
      <c r="AM82" s="2493">
        <v>82</v>
      </c>
    </row>
    <row r="83" spans="1:39" ht="13.5" customHeight="1">
      <c r="A83" s="2075"/>
      <c r="B83" s="2097" t="s">
        <v>4817</v>
      </c>
      <c r="C83" s="2075"/>
      <c r="D83" s="2075"/>
      <c r="E83" s="2075"/>
      <c r="F83" s="2075"/>
      <c r="G83" s="2075"/>
      <c r="H83" s="2075"/>
      <c r="I83" s="2075"/>
      <c r="J83" s="2075"/>
      <c r="K83" s="2075"/>
      <c r="M83" s="2077"/>
      <c r="O83" s="2088"/>
      <c r="AM83" s="2492">
        <v>83</v>
      </c>
    </row>
    <row r="84" spans="1:39" ht="60" customHeight="1">
      <c r="A84" s="3934" t="s">
        <v>5258</v>
      </c>
      <c r="B84" s="3935"/>
      <c r="C84" s="3935"/>
      <c r="D84" s="3935"/>
      <c r="E84" s="3935"/>
      <c r="F84" s="3935"/>
      <c r="G84" s="3935"/>
      <c r="H84" s="3935"/>
      <c r="I84" s="3935"/>
      <c r="J84" s="3935"/>
      <c r="K84" s="3935"/>
      <c r="L84" s="3935"/>
      <c r="M84" s="3935"/>
      <c r="N84" s="3935"/>
      <c r="O84" s="3935"/>
      <c r="P84" s="3936"/>
      <c r="Q84" s="2154"/>
      <c r="AM84" s="2493">
        <v>84</v>
      </c>
    </row>
    <row r="85" spans="1:39" s="2075" customFormat="1" ht="13.5" customHeight="1">
      <c r="B85" s="2181" t="s">
        <v>1725</v>
      </c>
      <c r="C85" s="2137"/>
      <c r="D85" s="2181"/>
      <c r="E85" s="2182"/>
      <c r="F85" s="2125"/>
      <c r="G85" s="2125"/>
      <c r="H85" s="2125"/>
      <c r="I85" s="2125"/>
      <c r="J85" s="2125"/>
      <c r="K85" s="2125"/>
      <c r="L85" s="2125"/>
      <c r="M85" s="2125"/>
      <c r="N85" s="2183"/>
      <c r="O85" s="2103"/>
      <c r="P85" s="2078"/>
      <c r="Q85" s="2074"/>
      <c r="AM85" s="2492">
        <v>85</v>
      </c>
    </row>
    <row r="86" spans="1:39" ht="30" customHeight="1">
      <c r="A86" s="3878"/>
      <c r="B86" s="3879"/>
      <c r="C86" s="3879"/>
      <c r="D86" s="3879"/>
      <c r="E86" s="3879"/>
      <c r="F86" s="3879"/>
      <c r="G86" s="3879"/>
      <c r="H86" s="3879"/>
      <c r="I86" s="3879"/>
      <c r="J86" s="3879"/>
      <c r="K86" s="3879"/>
      <c r="L86" s="3879"/>
      <c r="M86" s="3879"/>
      <c r="N86" s="3879"/>
      <c r="O86" s="3879"/>
      <c r="P86" s="3880"/>
      <c r="Q86" s="2141"/>
      <c r="AM86" s="2492">
        <v>86</v>
      </c>
    </row>
    <row r="87" spans="1:39" ht="6" customHeight="1">
      <c r="A87" s="2075"/>
      <c r="B87" s="2094"/>
      <c r="C87" s="2075"/>
      <c r="D87" s="1973"/>
      <c r="E87" s="1974"/>
      <c r="F87" s="1974"/>
      <c r="G87" s="2104"/>
      <c r="H87" s="2104"/>
      <c r="I87" s="2104"/>
      <c r="J87" s="2104"/>
      <c r="K87" s="2104"/>
      <c r="L87" s="2104"/>
      <c r="M87" s="2077"/>
      <c r="O87" s="2088"/>
      <c r="P87" s="2078"/>
      <c r="R87" s="2075"/>
      <c r="S87" s="2075"/>
      <c r="T87" s="2075"/>
      <c r="U87" s="2075"/>
      <c r="V87" s="2075"/>
      <c r="W87" s="2075"/>
      <c r="X87" s="2105"/>
      <c r="Y87" s="2105"/>
      <c r="Z87" s="2105"/>
      <c r="AA87" s="2105"/>
      <c r="AB87" s="2105"/>
      <c r="AC87" s="2105"/>
      <c r="AD87" s="2105"/>
      <c r="AE87" s="2105"/>
      <c r="AF87" s="2105"/>
      <c r="AG87" s="2105"/>
      <c r="AH87" s="2105"/>
      <c r="AI87" s="2105"/>
      <c r="AM87" s="2492">
        <v>87</v>
      </c>
    </row>
    <row r="88" spans="1:39" ht="6" customHeight="1" thickBot="1">
      <c r="T88" s="2106"/>
      <c r="U88" s="2106"/>
      <c r="AM88" s="2492">
        <v>88</v>
      </c>
    </row>
    <row r="89" spans="1:39" s="2075" customFormat="1" ht="16" customHeight="1" thickBot="1">
      <c r="A89" s="2184" t="s">
        <v>495</v>
      </c>
      <c r="B89" s="2099" t="s">
        <v>3905</v>
      </c>
      <c r="D89" s="2099"/>
      <c r="E89" s="2099"/>
      <c r="K89" s="2112"/>
      <c r="L89" s="2108" t="s">
        <v>4866</v>
      </c>
      <c r="M89" s="2078">
        <v>10</v>
      </c>
      <c r="N89" s="2077"/>
      <c r="O89" s="2109">
        <f>IF(O91-O92&lt;$M$89,MIN($M$89,O91-O92+O95),$M$89)</f>
        <v>10</v>
      </c>
      <c r="P89" s="2109">
        <f>IF(P96="Yes",0,IF(P91-P92&lt;$M$89,MIN($M$89,P91-P92+P95),$M$89))</f>
        <v>10</v>
      </c>
      <c r="Q89" s="2110" t="s">
        <v>415</v>
      </c>
      <c r="AM89" s="2493">
        <v>89</v>
      </c>
    </row>
    <row r="90" spans="1:39" s="2075" customFormat="1" ht="16" hidden="1" customHeight="1">
      <c r="A90" s="2184"/>
      <c r="B90" s="2099"/>
      <c r="D90" s="2099"/>
      <c r="E90" s="2099"/>
      <c r="L90" s="2112"/>
      <c r="M90" s="2078"/>
      <c r="N90" s="2077"/>
      <c r="O90" s="2077"/>
      <c r="P90" s="2077"/>
      <c r="Q90" s="2110"/>
      <c r="AM90" s="2493">
        <v>90</v>
      </c>
    </row>
    <row r="91" spans="1:39" s="2075" customFormat="1" ht="16" customHeight="1">
      <c r="A91" s="2184"/>
      <c r="B91" s="2086" t="s">
        <v>3094</v>
      </c>
      <c r="D91" s="2099"/>
      <c r="E91" s="2099"/>
      <c r="L91" s="2112"/>
      <c r="M91" s="2078"/>
      <c r="N91" s="2077"/>
      <c r="O91" s="2185">
        <v>10</v>
      </c>
      <c r="P91" s="2185">
        <v>10</v>
      </c>
      <c r="Q91" s="2110"/>
      <c r="AM91" s="2493">
        <v>91</v>
      </c>
    </row>
    <row r="92" spans="1:39" s="2075" customFormat="1" ht="16" customHeight="1">
      <c r="A92" s="2078" t="s">
        <v>1836</v>
      </c>
      <c r="B92" s="2086" t="s">
        <v>4728</v>
      </c>
      <c r="D92" s="2099"/>
      <c r="E92" s="2099"/>
      <c r="L92" s="2112"/>
      <c r="M92" s="2078"/>
      <c r="N92" s="2077"/>
      <c r="O92" s="2123">
        <f>SUM(O93:O94)</f>
        <v>0</v>
      </c>
      <c r="P92" s="2123">
        <f>SUM(P93:P94)</f>
        <v>0</v>
      </c>
      <c r="Q92" s="2110"/>
      <c r="AM92" s="2493">
        <v>92</v>
      </c>
    </row>
    <row r="93" spans="1:39" s="2075" customFormat="1" ht="16" customHeight="1">
      <c r="A93" s="2078"/>
      <c r="B93" s="2117" t="s">
        <v>1839</v>
      </c>
      <c r="C93" s="2075" t="s">
        <v>4908</v>
      </c>
      <c r="D93" s="2099"/>
      <c r="E93" s="2099"/>
      <c r="L93" s="2112"/>
      <c r="M93" s="2186"/>
      <c r="N93" s="2077"/>
      <c r="O93" s="1998">
        <v>0</v>
      </c>
      <c r="P93" s="2187"/>
      <c r="Q93" s="2110"/>
      <c r="AM93" s="2492">
        <v>93</v>
      </c>
    </row>
    <row r="94" spans="1:39" s="2075" customFormat="1" ht="16" customHeight="1">
      <c r="A94" s="2078"/>
      <c r="B94" s="2120" t="s">
        <v>1841</v>
      </c>
      <c r="C94" s="2075" t="s">
        <v>4909</v>
      </c>
      <c r="D94" s="2099"/>
      <c r="E94" s="2099"/>
      <c r="L94" s="2112"/>
      <c r="M94" s="2186"/>
      <c r="N94" s="2077"/>
      <c r="O94" s="2071">
        <v>0</v>
      </c>
      <c r="P94" s="2188"/>
      <c r="Q94" s="2110"/>
      <c r="AM94" s="2493">
        <v>94</v>
      </c>
    </row>
    <row r="95" spans="1:39" s="2075" customFormat="1" ht="16" customHeight="1">
      <c r="A95" s="2078" t="s">
        <v>1838</v>
      </c>
      <c r="B95" s="2086" t="s">
        <v>4729</v>
      </c>
      <c r="D95" s="2099"/>
      <c r="E95" s="2099"/>
      <c r="L95" s="2112"/>
      <c r="M95" s="2078"/>
      <c r="N95" s="2077"/>
      <c r="O95" s="1999">
        <v>0</v>
      </c>
      <c r="P95" s="2189"/>
      <c r="Q95" s="2110"/>
      <c r="AM95" s="2492">
        <v>95</v>
      </c>
    </row>
    <row r="96" spans="1:39" s="2075" customFormat="1" ht="15.75" customHeight="1">
      <c r="A96" s="2097"/>
      <c r="B96" s="2097" t="s">
        <v>1725</v>
      </c>
      <c r="D96" s="2097"/>
      <c r="E96" s="2125"/>
      <c r="F96" s="2125"/>
      <c r="G96" s="2125"/>
      <c r="H96" s="2125"/>
      <c r="I96" s="2125"/>
      <c r="J96" s="2075" t="s">
        <v>5001</v>
      </c>
      <c r="K96" s="2125"/>
      <c r="L96" s="2125"/>
      <c r="M96" s="2125"/>
      <c r="N96" s="2183"/>
      <c r="O96" s="2103"/>
      <c r="P96" s="2255"/>
      <c r="AM96" s="2492">
        <v>96</v>
      </c>
    </row>
    <row r="97" spans="1:39" ht="15" customHeight="1">
      <c r="A97" s="3878"/>
      <c r="B97" s="3879"/>
      <c r="C97" s="3879"/>
      <c r="D97" s="3879"/>
      <c r="E97" s="3879"/>
      <c r="F97" s="3879"/>
      <c r="G97" s="3879"/>
      <c r="H97" s="3879"/>
      <c r="I97" s="3879"/>
      <c r="J97" s="3879"/>
      <c r="K97" s="3879"/>
      <c r="L97" s="3879"/>
      <c r="M97" s="3879"/>
      <c r="N97" s="3879"/>
      <c r="O97" s="3879"/>
      <c r="P97" s="3880"/>
      <c r="Q97" s="2154"/>
      <c r="R97" s="2154"/>
      <c r="AM97" s="2492">
        <v>97</v>
      </c>
    </row>
    <row r="98" spans="1:39" ht="6" customHeight="1">
      <c r="A98" s="2075"/>
      <c r="B98" s="2094"/>
      <c r="C98" s="2075"/>
      <c r="D98" s="1973"/>
      <c r="E98" s="1974"/>
      <c r="F98" s="1974"/>
      <c r="G98" s="2104"/>
      <c r="H98" s="2104"/>
      <c r="I98" s="2104"/>
      <c r="J98" s="2104"/>
      <c r="K98" s="2104"/>
      <c r="L98" s="2104"/>
      <c r="M98" s="2077"/>
      <c r="O98" s="2088"/>
      <c r="P98" s="2078"/>
      <c r="R98" s="2075"/>
      <c r="S98" s="2075"/>
      <c r="T98" s="2075"/>
      <c r="U98" s="2075"/>
      <c r="V98" s="2075"/>
      <c r="W98" s="2075"/>
      <c r="X98" s="2105"/>
      <c r="Y98" s="2105"/>
      <c r="Z98" s="2105"/>
      <c r="AA98" s="2105"/>
      <c r="AB98" s="2105"/>
      <c r="AC98" s="2105"/>
      <c r="AD98" s="2105"/>
      <c r="AE98" s="2105"/>
      <c r="AF98" s="2105"/>
      <c r="AG98" s="2105"/>
      <c r="AH98" s="2105"/>
      <c r="AI98" s="2105"/>
      <c r="AM98" s="2492">
        <v>98</v>
      </c>
    </row>
    <row r="99" spans="1:39" ht="6" customHeight="1" thickBot="1">
      <c r="T99" s="2106"/>
      <c r="U99" s="2106"/>
      <c r="AM99" s="2493">
        <v>99</v>
      </c>
    </row>
    <row r="100" spans="1:39" ht="16" customHeight="1" thickBot="1">
      <c r="A100" s="2184" t="s">
        <v>719</v>
      </c>
      <c r="B100" s="2099" t="s">
        <v>4495</v>
      </c>
      <c r="C100" s="2127"/>
      <c r="D100" s="2127"/>
      <c r="E100" s="2127"/>
      <c r="F100" s="2127"/>
      <c r="G100" s="2190" t="s">
        <v>4843</v>
      </c>
      <c r="H100" s="2127"/>
      <c r="K100" s="2127"/>
      <c r="L100" s="2108" t="s">
        <v>4866</v>
      </c>
      <c r="M100" s="2078">
        <v>5</v>
      </c>
      <c r="N100" s="2139"/>
      <c r="O100" s="2109">
        <f>IF(OR((O101+O107+O108)&gt;$M100,(O101+O107)&gt;$M101,O108&gt;$M$108),"Check",IF((O101+O107+O108)&lt;=$M$100,(O101+O107+O108),""))</f>
        <v>4</v>
      </c>
      <c r="P100" s="2109">
        <f>IF(OR((P101+P107+P108)&gt;$M100,(P101+P107)&gt;$M101,P108&gt;$M$108),"Check",IF((P101+P107+P108)&lt;=$M$100,(P101+P107+P108),""))</f>
        <v>2</v>
      </c>
      <c r="Q100" s="2110" t="s">
        <v>415</v>
      </c>
      <c r="R100" s="2116"/>
      <c r="AM100" s="2493">
        <v>100</v>
      </c>
    </row>
    <row r="101" spans="1:39" ht="16" customHeight="1">
      <c r="A101" s="2078" t="s">
        <v>1836</v>
      </c>
      <c r="B101" s="2086" t="s">
        <v>4840</v>
      </c>
      <c r="C101" s="2075"/>
      <c r="D101" s="2075"/>
      <c r="E101" s="2086"/>
      <c r="F101" s="2075"/>
      <c r="G101" s="2171"/>
      <c r="H101" s="2075"/>
      <c r="I101" s="2075"/>
      <c r="J101" s="2075"/>
      <c r="K101" s="2077"/>
      <c r="L101" s="2113"/>
      <c r="M101" s="2077">
        <v>3</v>
      </c>
      <c r="N101" s="2191"/>
      <c r="O101" s="2456">
        <f>IF(AND(O103&gt;0,O104&gt;0),"1or2?",MIN($M101,SUM(O103,O104)))</f>
        <v>2</v>
      </c>
      <c r="P101" s="2456">
        <f>IF(AND(P103&gt;0,P104&gt;0),"1or2?",MIN($M101,SUM(P103,P104)))</f>
        <v>0</v>
      </c>
      <c r="Q101" s="2115"/>
      <c r="R101" s="2116"/>
      <c r="AM101" s="2493">
        <v>101</v>
      </c>
    </row>
    <row r="102" spans="1:39" ht="31.5" customHeight="1">
      <c r="A102" s="2078"/>
      <c r="B102" s="3909" t="s">
        <v>4976</v>
      </c>
      <c r="C102" s="3909"/>
      <c r="D102" s="3909"/>
      <c r="E102" s="3909"/>
      <c r="F102" s="3909"/>
      <c r="G102" s="3909"/>
      <c r="H102" s="3909"/>
      <c r="I102" s="3909"/>
      <c r="J102" s="3909"/>
      <c r="K102" s="3909"/>
      <c r="L102" s="3909"/>
      <c r="M102" s="2077"/>
      <c r="N102" s="2077"/>
      <c r="O102" s="2077"/>
      <c r="P102" s="2077"/>
      <c r="Q102" s="2115"/>
      <c r="R102" s="2116"/>
      <c r="AM102" s="2493">
        <v>102</v>
      </c>
    </row>
    <row r="103" spans="1:39" s="2130" customFormat="1" ht="16" customHeight="1">
      <c r="A103" s="2078"/>
      <c r="B103" s="2539" t="s">
        <v>1839</v>
      </c>
      <c r="C103" s="2075" t="s">
        <v>4841</v>
      </c>
      <c r="D103" s="2093"/>
      <c r="E103" s="2093"/>
      <c r="F103" s="2093"/>
      <c r="G103" s="2075"/>
      <c r="H103" s="2093"/>
      <c r="I103" s="2093"/>
      <c r="J103" s="3969" t="s">
        <v>4665</v>
      </c>
      <c r="K103" s="3970"/>
      <c r="L103" s="2093"/>
      <c r="M103" s="2175">
        <v>2</v>
      </c>
      <c r="N103" s="2192"/>
      <c r="O103" s="1984">
        <v>2</v>
      </c>
      <c r="P103" s="2237"/>
      <c r="Q103" s="2115" t="str">
        <f>IF(OR($O103=$M103,$O103=0,$O103=""),"","*CHECK!*")</f>
        <v/>
      </c>
      <c r="R103" s="2116"/>
      <c r="AM103" s="2492">
        <v>103</v>
      </c>
    </row>
    <row r="104" spans="1:39" s="2130" customFormat="1" ht="16" customHeight="1">
      <c r="A104" s="2078"/>
      <c r="B104" s="2272" t="s">
        <v>1841</v>
      </c>
      <c r="C104" s="2075" t="s">
        <v>4842</v>
      </c>
      <c r="D104" s="2093"/>
      <c r="E104" s="2093"/>
      <c r="F104" s="2093"/>
      <c r="G104" s="2075"/>
      <c r="H104" s="2093"/>
      <c r="J104" s="2452" t="s">
        <v>4666</v>
      </c>
      <c r="K104" s="2453" t="s">
        <v>4987</v>
      </c>
      <c r="L104" s="2420"/>
      <c r="M104" s="2175">
        <v>3</v>
      </c>
      <c r="N104" s="2192"/>
      <c r="O104" s="1988">
        <v>0</v>
      </c>
      <c r="P104" s="2197"/>
      <c r="Q104" s="2115" t="str">
        <f>IF(OR($O104=$M104,$O104=0,$O104=""),"","*CHECK!*")</f>
        <v/>
      </c>
      <c r="R104" s="2116"/>
      <c r="AM104" s="2493">
        <v>104</v>
      </c>
    </row>
    <row r="105" spans="1:39">
      <c r="B105" s="2272" t="s">
        <v>2326</v>
      </c>
      <c r="C105" s="2074" t="s">
        <v>4975</v>
      </c>
      <c r="H105" s="2108"/>
      <c r="J105" s="2454">
        <f>'Part V-Revenues &amp; Expenses'!P76*'Part VIII Scoring Criteria'!K105</f>
        <v>11.600000000000001</v>
      </c>
      <c r="K105" s="2455">
        <v>0.1</v>
      </c>
      <c r="N105" s="2108" t="s">
        <v>5046</v>
      </c>
      <c r="O105" s="1977">
        <v>12</v>
      </c>
      <c r="P105" s="2200"/>
      <c r="T105" s="2106"/>
      <c r="U105" s="2106"/>
      <c r="AM105" s="2492">
        <v>105</v>
      </c>
    </row>
    <row r="106" spans="1:39" ht="45" customHeight="1">
      <c r="B106" s="2161" t="s">
        <v>1149</v>
      </c>
      <c r="C106" s="3909" t="s">
        <v>4974</v>
      </c>
      <c r="D106" s="3909"/>
      <c r="E106" s="3909"/>
      <c r="F106" s="3909"/>
      <c r="G106" s="3909"/>
      <c r="H106" s="3909"/>
      <c r="I106" s="3909"/>
      <c r="J106" s="3909"/>
      <c r="K106" s="3909"/>
      <c r="L106" s="3909"/>
      <c r="O106" s="1991" t="s">
        <v>2642</v>
      </c>
      <c r="P106" s="2128"/>
      <c r="T106" s="2106"/>
      <c r="U106" s="2106"/>
      <c r="AM106" s="2492">
        <v>106</v>
      </c>
    </row>
    <row r="107" spans="1:39" ht="16" customHeight="1">
      <c r="A107" s="2078" t="s">
        <v>1838</v>
      </c>
      <c r="B107" s="2086" t="s">
        <v>4132</v>
      </c>
      <c r="C107" s="2075"/>
      <c r="D107" s="2075"/>
      <c r="E107" s="2075"/>
      <c r="F107" s="2075"/>
      <c r="G107" s="2075"/>
      <c r="H107" s="2075"/>
      <c r="I107" s="2075"/>
      <c r="J107" s="2075"/>
      <c r="K107" s="2075"/>
      <c r="L107" s="2075"/>
      <c r="M107" s="2077">
        <v>1</v>
      </c>
      <c r="N107" s="2191"/>
      <c r="O107" s="1986">
        <v>0</v>
      </c>
      <c r="P107" s="2189"/>
      <c r="Q107" s="2115" t="str">
        <f>IF(OR($O107=$M107,$O107=0,$O107=""),"","*CHECK!*")</f>
        <v/>
      </c>
      <c r="R107" s="2116"/>
      <c r="AM107" s="2492">
        <v>107</v>
      </c>
    </row>
    <row r="108" spans="1:39" s="2075" customFormat="1" ht="16" customHeight="1">
      <c r="A108" s="2078" t="s">
        <v>697</v>
      </c>
      <c r="B108" s="2086" t="s">
        <v>4839</v>
      </c>
      <c r="G108" s="2193" t="s">
        <v>4844</v>
      </c>
      <c r="M108" s="2077">
        <v>2</v>
      </c>
      <c r="N108" s="2191"/>
      <c r="O108" s="2123">
        <f>O109-O110</f>
        <v>2</v>
      </c>
      <c r="P108" s="2123">
        <f>P109-P110</f>
        <v>2</v>
      </c>
      <c r="Q108" s="2115" t="str">
        <f>IF(OR($O108=$M108,$O108=0,$O108=""),"","*CHECK!*")</f>
        <v/>
      </c>
      <c r="AM108" s="2492">
        <v>108</v>
      </c>
    </row>
    <row r="109" spans="1:39" s="2075" customFormat="1" ht="16" customHeight="1">
      <c r="A109" s="2184"/>
      <c r="C109" s="2086" t="s">
        <v>3094</v>
      </c>
      <c r="D109" s="2099"/>
      <c r="E109" s="2099"/>
      <c r="L109" s="2112"/>
      <c r="M109" s="2078"/>
      <c r="N109" s="2077"/>
      <c r="O109" s="2194">
        <v>2</v>
      </c>
      <c r="P109" s="2194">
        <v>2</v>
      </c>
      <c r="Q109" s="2110"/>
      <c r="AM109" s="2492">
        <v>109</v>
      </c>
    </row>
    <row r="110" spans="1:39" s="2075" customFormat="1" ht="16" customHeight="1">
      <c r="A110" s="2184"/>
      <c r="C110" s="2086" t="s">
        <v>3095</v>
      </c>
      <c r="D110" s="2099"/>
      <c r="E110" s="2099"/>
      <c r="L110" s="2112"/>
      <c r="M110" s="2078"/>
      <c r="N110" s="2077"/>
      <c r="O110" s="1999">
        <v>0</v>
      </c>
      <c r="P110" s="2189"/>
      <c r="Q110" s="2110"/>
      <c r="R110" s="2116"/>
      <c r="AM110" s="2492">
        <v>110</v>
      </c>
    </row>
    <row r="111" spans="1:39" ht="16" customHeight="1">
      <c r="A111" s="2075"/>
      <c r="B111" s="2097" t="s">
        <v>4817</v>
      </c>
      <c r="C111" s="2075"/>
      <c r="D111" s="2075"/>
      <c r="E111" s="2075"/>
      <c r="F111" s="2075"/>
      <c r="G111" s="2075"/>
      <c r="H111" s="2075"/>
      <c r="I111" s="2075"/>
      <c r="J111" s="2075"/>
      <c r="K111" s="2075"/>
      <c r="M111" s="2077"/>
      <c r="O111" s="2088"/>
      <c r="P111" s="2088"/>
      <c r="AM111" s="2492">
        <v>111</v>
      </c>
    </row>
    <row r="112" spans="1:39" ht="90" customHeight="1">
      <c r="A112" s="3934" t="s">
        <v>5297</v>
      </c>
      <c r="B112" s="3935"/>
      <c r="C112" s="3935"/>
      <c r="D112" s="3935"/>
      <c r="E112" s="3935"/>
      <c r="F112" s="3935"/>
      <c r="G112" s="3935"/>
      <c r="H112" s="3935"/>
      <c r="I112" s="3935"/>
      <c r="J112" s="3935"/>
      <c r="K112" s="3935"/>
      <c r="L112" s="3935"/>
      <c r="M112" s="3935"/>
      <c r="N112" s="3935"/>
      <c r="O112" s="3935"/>
      <c r="P112" s="3936"/>
      <c r="Q112" s="2154"/>
      <c r="R112" s="2154"/>
      <c r="AM112" s="2493">
        <v>112</v>
      </c>
    </row>
    <row r="113" spans="1:39" ht="16" customHeight="1">
      <c r="B113" s="2136" t="s">
        <v>1725</v>
      </c>
      <c r="C113" s="2137"/>
      <c r="D113" s="2136"/>
      <c r="E113" s="2138"/>
      <c r="F113" s="2127"/>
      <c r="G113" s="2127"/>
      <c r="H113" s="2127"/>
      <c r="I113" s="2127"/>
      <c r="J113" s="2127"/>
      <c r="K113" s="2127"/>
      <c r="L113" s="2127"/>
      <c r="M113" s="2127"/>
      <c r="N113" s="2139"/>
      <c r="O113" s="2140"/>
      <c r="P113" s="2078"/>
      <c r="AM113" s="2493">
        <v>113</v>
      </c>
    </row>
    <row r="114" spans="1:39" ht="30" customHeight="1">
      <c r="A114" s="3878"/>
      <c r="B114" s="3879"/>
      <c r="C114" s="3879"/>
      <c r="D114" s="3879"/>
      <c r="E114" s="3879"/>
      <c r="F114" s="3879"/>
      <c r="G114" s="3879"/>
      <c r="H114" s="3879"/>
      <c r="I114" s="3879"/>
      <c r="J114" s="3879"/>
      <c r="K114" s="3879"/>
      <c r="L114" s="3879"/>
      <c r="M114" s="3879"/>
      <c r="N114" s="3879"/>
      <c r="O114" s="3879"/>
      <c r="P114" s="3880"/>
      <c r="Q114" s="2141"/>
      <c r="AM114" s="2493">
        <v>114</v>
      </c>
    </row>
    <row r="115" spans="1:39" ht="9.75" customHeight="1">
      <c r="A115" s="2184"/>
      <c r="B115" s="2075"/>
      <c r="C115" s="2127"/>
      <c r="D115" s="2127"/>
      <c r="E115" s="2127"/>
      <c r="F115" s="2127"/>
      <c r="G115" s="2127"/>
      <c r="H115" s="2127"/>
      <c r="I115" s="2127"/>
      <c r="J115" s="2127"/>
      <c r="K115" s="2127"/>
      <c r="L115" s="2127"/>
      <c r="M115" s="2127"/>
      <c r="N115" s="2139"/>
      <c r="O115" s="2140"/>
      <c r="P115" s="2078"/>
      <c r="AM115" s="2493">
        <v>115</v>
      </c>
    </row>
    <row r="116" spans="1:39" ht="9.75" customHeight="1" thickBot="1">
      <c r="A116" s="2184"/>
      <c r="B116" s="2075"/>
      <c r="C116" s="2127"/>
      <c r="D116" s="2127"/>
      <c r="E116" s="2127"/>
      <c r="F116" s="2127"/>
      <c r="G116" s="2127"/>
      <c r="H116" s="2127"/>
      <c r="I116" s="2127"/>
      <c r="J116" s="2127"/>
      <c r="K116" s="2127"/>
      <c r="L116" s="2127"/>
      <c r="M116" s="2127"/>
      <c r="N116" s="2139"/>
      <c r="O116" s="2140"/>
      <c r="P116" s="2078"/>
      <c r="AM116" s="2492">
        <v>116</v>
      </c>
    </row>
    <row r="117" spans="1:39" s="2075" customFormat="1" ht="16" customHeight="1" thickBot="1">
      <c r="A117" s="2184" t="s">
        <v>280</v>
      </c>
      <c r="B117" s="2099" t="s">
        <v>4818</v>
      </c>
      <c r="D117" s="2099"/>
      <c r="E117" s="2099"/>
      <c r="L117" s="2108" t="s">
        <v>4866</v>
      </c>
      <c r="M117" s="2078">
        <v>13</v>
      </c>
      <c r="N117" s="2077"/>
      <c r="O117" s="2109">
        <f>MIN($M$117,O121+SUM(O124:O132))</f>
        <v>13</v>
      </c>
      <c r="P117" s="2109">
        <f>MIN($M$117,P121+SUM(P124:P132))</f>
        <v>0</v>
      </c>
      <c r="Q117" s="2110" t="s">
        <v>415</v>
      </c>
      <c r="R117" s="2116"/>
      <c r="AM117" s="2493">
        <v>117</v>
      </c>
    </row>
    <row r="118" spans="1:39" s="2075" customFormat="1" ht="16" customHeight="1">
      <c r="A118" s="2078" t="s">
        <v>1836</v>
      </c>
      <c r="B118" s="2086" t="s">
        <v>4861</v>
      </c>
      <c r="C118" s="2086"/>
      <c r="D118" s="2086"/>
      <c r="F118" s="2195"/>
      <c r="H118" s="2113"/>
      <c r="I118" s="2072"/>
      <c r="J118" s="2072"/>
      <c r="K118" s="2072"/>
      <c r="L118" s="2072"/>
      <c r="M118" s="2072"/>
      <c r="N118" s="2072"/>
      <c r="O118" s="2072"/>
      <c r="P118" s="2072"/>
      <c r="Q118" s="2196"/>
      <c r="R118" s="2116"/>
      <c r="AM118" s="2492">
        <v>118</v>
      </c>
    </row>
    <row r="119" spans="1:39" s="2075" customFormat="1" ht="16" customHeight="1">
      <c r="A119" s="2078"/>
      <c r="B119" s="2075" t="s">
        <v>5114</v>
      </c>
      <c r="C119" s="2086"/>
      <c r="D119" s="2086"/>
      <c r="F119" s="2195"/>
      <c r="H119" s="2113"/>
      <c r="I119" s="2072"/>
      <c r="J119" s="2072"/>
      <c r="K119" s="2072"/>
      <c r="L119" s="2072"/>
      <c r="M119" s="2072"/>
      <c r="N119" s="2072"/>
      <c r="O119" s="2072"/>
      <c r="P119" s="2072"/>
      <c r="Q119" s="2196"/>
      <c r="R119" s="2116"/>
      <c r="AM119" s="2492">
        <v>119</v>
      </c>
    </row>
    <row r="120" spans="1:39" s="2075" customFormat="1" ht="16" customHeight="1">
      <c r="A120" s="2078"/>
      <c r="B120" s="2086" t="s">
        <v>4935</v>
      </c>
      <c r="D120" s="2086"/>
      <c r="F120" s="2195"/>
      <c r="H120" s="2113"/>
      <c r="I120" s="2072"/>
      <c r="J120" s="2072"/>
      <c r="K120" s="2072"/>
      <c r="L120" s="2072"/>
      <c r="M120" s="2072"/>
      <c r="N120" s="2072"/>
      <c r="O120" s="2072"/>
      <c r="P120" s="2072"/>
      <c r="Q120" s="2196"/>
      <c r="R120" s="2116"/>
      <c r="AM120" s="2492">
        <v>120</v>
      </c>
    </row>
    <row r="121" spans="1:39" s="2075" customFormat="1" ht="16" customHeight="1">
      <c r="A121" s="2078"/>
      <c r="B121" s="2117"/>
      <c r="C121" s="2199" t="s">
        <v>4929</v>
      </c>
      <c r="F121" s="2078"/>
      <c r="I121" s="2078"/>
      <c r="J121" s="2077" t="s">
        <v>4930</v>
      </c>
      <c r="L121" s="2112"/>
      <c r="M121" s="2175">
        <v>5</v>
      </c>
      <c r="N121" s="2113"/>
      <c r="O121" s="2177">
        <f>IF(AND(O122="Yes", O123="Yes"),$M121,0)</f>
        <v>5</v>
      </c>
      <c r="P121" s="2177">
        <f>IF(AND(P122="Yes", P123="Yes"),$M121,0)</f>
        <v>0</v>
      </c>
      <c r="Q121" s="2116"/>
      <c r="V121" s="2106"/>
      <c r="AM121" s="2492">
        <v>121</v>
      </c>
    </row>
    <row r="122" spans="1:39" s="2075" customFormat="1" ht="16" customHeight="1">
      <c r="A122" s="2078"/>
      <c r="B122" s="2539" t="s">
        <v>1839</v>
      </c>
      <c r="C122" s="2086"/>
      <c r="D122" s="2107" t="s">
        <v>4932</v>
      </c>
      <c r="F122" s="2078"/>
      <c r="I122" s="2078"/>
      <c r="J122" s="2533" t="s">
        <v>905</v>
      </c>
      <c r="M122" s="2175"/>
      <c r="N122" s="2113"/>
      <c r="O122" s="2351" t="str">
        <f>IF(OR($J122="Submitted",$J122="N/A"), "Yes","")</f>
        <v>Yes</v>
      </c>
      <c r="P122" s="2119"/>
      <c r="Q122" s="2113"/>
      <c r="V122" s="2106"/>
      <c r="AM122" s="2492">
        <v>122</v>
      </c>
    </row>
    <row r="123" spans="1:39" s="2075" customFormat="1" ht="16" customHeight="1">
      <c r="A123" s="2078"/>
      <c r="B123" s="2272" t="s">
        <v>1841</v>
      </c>
      <c r="C123" s="2086"/>
      <c r="D123" s="2107" t="s">
        <v>4933</v>
      </c>
      <c r="F123" s="2444"/>
      <c r="I123" s="2078"/>
      <c r="J123" s="2535" t="s">
        <v>905</v>
      </c>
      <c r="K123" s="2113"/>
      <c r="M123" s="2175"/>
      <c r="N123" s="2113"/>
      <c r="O123" s="2443" t="str">
        <f>IF(OR($J123="Submitted",$J123="N/A"), "Yes","")</f>
        <v>Yes</v>
      </c>
      <c r="P123" s="2128"/>
      <c r="Q123" s="2113"/>
      <c r="V123" s="2106"/>
      <c r="AM123" s="2492">
        <v>123</v>
      </c>
    </row>
    <row r="124" spans="1:39" s="2075" customFormat="1" ht="16" customHeight="1">
      <c r="A124" s="2078"/>
      <c r="B124" s="2272" t="s">
        <v>2326</v>
      </c>
      <c r="C124" s="2107" t="s">
        <v>4863</v>
      </c>
      <c r="D124" s="2086"/>
      <c r="F124" s="2078"/>
      <c r="I124" s="2078"/>
      <c r="J124" s="2533" t="s">
        <v>905</v>
      </c>
      <c r="K124" s="2107"/>
      <c r="L124" s="2112" t="str">
        <f t="shared" ref="L124:L132" si="0">IF(OR($O124=$M124,$O124=0,$O124=""),"","* * Check Score! * *")</f>
        <v/>
      </c>
      <c r="M124" s="2175">
        <v>1</v>
      </c>
      <c r="N124" s="2113"/>
      <c r="O124" s="2351">
        <f>IF(OR($J124="Submitted",$J124="N/A"),1,"")</f>
        <v>1</v>
      </c>
      <c r="P124" s="2197"/>
      <c r="Q124" s="2113"/>
      <c r="V124" s="2106"/>
      <c r="AM124" s="2493">
        <v>124</v>
      </c>
    </row>
    <row r="125" spans="1:39" s="2075" customFormat="1" ht="16" customHeight="1">
      <c r="A125" s="2078"/>
      <c r="B125" s="2272" t="s">
        <v>1149</v>
      </c>
      <c r="C125" s="2107" t="s">
        <v>4864</v>
      </c>
      <c r="D125" s="2086"/>
      <c r="F125" s="2078"/>
      <c r="I125" s="2078"/>
      <c r="J125" s="2534" t="s">
        <v>905</v>
      </c>
      <c r="K125" s="2107"/>
      <c r="L125" s="2134" t="str">
        <f t="shared" si="0"/>
        <v/>
      </c>
      <c r="M125" s="2175">
        <v>1</v>
      </c>
      <c r="N125" s="2113"/>
      <c r="O125" s="2470">
        <f t="shared" ref="O125:O126" si="1">IF(OR($J125="Submitted",$J125="N/A"),1,"")</f>
        <v>1</v>
      </c>
      <c r="P125" s="2200"/>
      <c r="Q125" s="2116"/>
      <c r="V125" s="2106"/>
      <c r="AM125" s="2493">
        <v>125</v>
      </c>
    </row>
    <row r="126" spans="1:39" s="2075" customFormat="1" ht="16" customHeight="1">
      <c r="A126" s="2078"/>
      <c r="B126" s="2272" t="s">
        <v>1150</v>
      </c>
      <c r="C126" s="2107" t="s">
        <v>4934</v>
      </c>
      <c r="D126" s="2086"/>
      <c r="F126" s="2078"/>
      <c r="I126" s="2078"/>
      <c r="J126" s="2535" t="s">
        <v>5206</v>
      </c>
      <c r="K126" s="2107"/>
      <c r="L126" s="2112" t="str">
        <f t="shared" si="0"/>
        <v/>
      </c>
      <c r="M126" s="2175">
        <v>1</v>
      </c>
      <c r="N126" s="2113"/>
      <c r="O126" s="2443">
        <f t="shared" si="1"/>
        <v>1</v>
      </c>
      <c r="P126" s="2198"/>
      <c r="Q126" s="2116"/>
      <c r="V126" s="2106"/>
      <c r="AM126" s="2493">
        <v>126</v>
      </c>
    </row>
    <row r="127" spans="1:39" s="2075" customFormat="1" ht="16" customHeight="1">
      <c r="A127" s="2078"/>
      <c r="B127" s="2272"/>
      <c r="C127" s="2199" t="s">
        <v>4966</v>
      </c>
      <c r="D127" s="2086"/>
      <c r="F127" s="2078"/>
      <c r="V127" s="2106"/>
      <c r="AM127" s="2492">
        <v>127</v>
      </c>
    </row>
    <row r="128" spans="1:39" s="2075" customFormat="1" ht="16" customHeight="1">
      <c r="A128" s="2078"/>
      <c r="B128" s="2539" t="s">
        <v>1737</v>
      </c>
      <c r="C128" s="2107" t="s">
        <v>4967</v>
      </c>
      <c r="F128" s="2077"/>
      <c r="I128" s="2077"/>
      <c r="J128" s="2533" t="s">
        <v>5206</v>
      </c>
      <c r="K128" s="2107"/>
      <c r="L128" s="2112" t="str">
        <f t="shared" si="0"/>
        <v/>
      </c>
      <c r="M128" s="2175">
        <v>1</v>
      </c>
      <c r="N128" s="2113"/>
      <c r="O128" s="2351">
        <f>IF(OR($J128="Submitted",$J128="N/A"),1,"")</f>
        <v>1</v>
      </c>
      <c r="P128" s="2197"/>
      <c r="Q128" s="2116"/>
      <c r="V128" s="2106"/>
      <c r="AM128" s="2492">
        <v>128</v>
      </c>
    </row>
    <row r="129" spans="1:39" s="2075" customFormat="1" ht="15" customHeight="1">
      <c r="A129" s="2078"/>
      <c r="B129" s="2272" t="s">
        <v>472</v>
      </c>
      <c r="C129" s="2130" t="s">
        <v>4936</v>
      </c>
      <c r="D129" s="2130"/>
      <c r="E129" s="2130"/>
      <c r="F129" s="2130"/>
      <c r="G129" s="2130"/>
      <c r="H129" s="2130"/>
      <c r="I129" s="2130"/>
      <c r="J129" s="2534" t="s">
        <v>5206</v>
      </c>
      <c r="K129" s="2130"/>
      <c r="L129" s="2112" t="str">
        <f t="shared" si="0"/>
        <v/>
      </c>
      <c r="M129" s="2201">
        <v>1</v>
      </c>
      <c r="N129" s="2132"/>
      <c r="O129" s="2470">
        <f t="shared" ref="O129:O132" si="2">IF(OR($J129="Submitted",$J129="N/A"),1,"")</f>
        <v>1</v>
      </c>
      <c r="P129" s="2202"/>
      <c r="Q129" s="2116"/>
      <c r="V129" s="2106"/>
      <c r="AM129" s="2493">
        <v>129</v>
      </c>
    </row>
    <row r="130" spans="1:39" s="2075" customFormat="1" ht="16" customHeight="1">
      <c r="A130" s="2078"/>
      <c r="B130" s="2272" t="s">
        <v>473</v>
      </c>
      <c r="C130" s="2107" t="s">
        <v>4937</v>
      </c>
      <c r="F130" s="2078"/>
      <c r="I130" s="2078"/>
      <c r="J130" s="2534" t="s">
        <v>5206</v>
      </c>
      <c r="K130" s="2107"/>
      <c r="L130" s="2112" t="str">
        <f t="shared" si="0"/>
        <v/>
      </c>
      <c r="M130" s="2175">
        <v>1</v>
      </c>
      <c r="N130" s="2113"/>
      <c r="O130" s="2470">
        <f t="shared" si="2"/>
        <v>1</v>
      </c>
      <c r="P130" s="2200"/>
      <c r="Q130" s="2116"/>
      <c r="V130" s="2106"/>
      <c r="AM130" s="2492">
        <v>130</v>
      </c>
    </row>
    <row r="131" spans="1:39" s="2075" customFormat="1" ht="16" customHeight="1">
      <c r="A131" s="2078"/>
      <c r="B131" s="2272" t="s">
        <v>3765</v>
      </c>
      <c r="C131" s="2107" t="s">
        <v>4865</v>
      </c>
      <c r="F131" s="2078"/>
      <c r="I131" s="2078"/>
      <c r="J131" s="2534" t="s">
        <v>5206</v>
      </c>
      <c r="K131" s="2107"/>
      <c r="L131" s="2112" t="str">
        <f t="shared" si="0"/>
        <v/>
      </c>
      <c r="M131" s="2175">
        <v>1</v>
      </c>
      <c r="N131" s="2113"/>
      <c r="O131" s="2470">
        <f t="shared" si="2"/>
        <v>1</v>
      </c>
      <c r="P131" s="2200"/>
      <c r="Q131" s="2116"/>
      <c r="V131" s="2106"/>
      <c r="AM131" s="2492">
        <v>131</v>
      </c>
    </row>
    <row r="132" spans="1:39" s="2075" customFormat="1" ht="16" customHeight="1">
      <c r="A132" s="2078"/>
      <c r="B132" s="2272" t="s">
        <v>4690</v>
      </c>
      <c r="C132" s="2107" t="s">
        <v>4938</v>
      </c>
      <c r="F132" s="2078"/>
      <c r="I132" s="2078"/>
      <c r="J132" s="2535" t="s">
        <v>5206</v>
      </c>
      <c r="K132" s="2107"/>
      <c r="L132" s="2112" t="str">
        <f t="shared" si="0"/>
        <v/>
      </c>
      <c r="M132" s="2175">
        <v>1</v>
      </c>
      <c r="N132" s="2113"/>
      <c r="O132" s="2443">
        <f t="shared" si="2"/>
        <v>1</v>
      </c>
      <c r="P132" s="2198"/>
      <c r="Q132" s="2116"/>
      <c r="V132" s="2106"/>
      <c r="AM132" s="2493">
        <v>132</v>
      </c>
    </row>
    <row r="133" spans="1:39" s="2075" customFormat="1" ht="16" customHeight="1">
      <c r="A133" s="2078" t="s">
        <v>1838</v>
      </c>
      <c r="B133" s="2086" t="s">
        <v>4862</v>
      </c>
      <c r="F133" s="2193" t="s">
        <v>5045</v>
      </c>
      <c r="H133" s="2113"/>
      <c r="J133" s="2072"/>
      <c r="K133" s="2072"/>
      <c r="L133" s="2072"/>
      <c r="M133" s="2077"/>
      <c r="N133" s="2077"/>
      <c r="O133" s="2077"/>
      <c r="P133" s="2077"/>
      <c r="Q133" s="2077"/>
      <c r="R133" s="2116"/>
      <c r="AM133" s="2493">
        <v>133</v>
      </c>
    </row>
    <row r="134" spans="1:39" ht="300" customHeight="1">
      <c r="B134" s="3966" t="s">
        <v>5294</v>
      </c>
      <c r="C134" s="3967"/>
      <c r="D134" s="3967"/>
      <c r="E134" s="3967"/>
      <c r="F134" s="3967"/>
      <c r="G134" s="3967"/>
      <c r="H134" s="3967"/>
      <c r="I134" s="3967"/>
      <c r="J134" s="3967"/>
      <c r="K134" s="3967"/>
      <c r="L134" s="3967"/>
      <c r="M134" s="3967"/>
      <c r="N134" s="3967"/>
      <c r="O134" s="3967"/>
      <c r="P134" s="3968"/>
      <c r="Q134" s="2154"/>
      <c r="R134" s="2154"/>
      <c r="AM134" s="2493">
        <v>134</v>
      </c>
    </row>
    <row r="135" spans="1:39" ht="16" customHeight="1">
      <c r="A135" s="2075"/>
      <c r="B135" s="2097" t="s">
        <v>4817</v>
      </c>
      <c r="C135" s="2075"/>
      <c r="D135" s="2075"/>
      <c r="E135" s="2075"/>
      <c r="F135" s="2075"/>
      <c r="G135" s="2075"/>
      <c r="H135" s="2075"/>
      <c r="I135" s="2075"/>
      <c r="J135" s="2075"/>
      <c r="K135" s="2075"/>
      <c r="M135" s="2077"/>
      <c r="O135" s="2088"/>
      <c r="AM135" s="2493">
        <v>135</v>
      </c>
    </row>
    <row r="136" spans="1:39" ht="60" customHeight="1">
      <c r="A136" s="3934" t="s">
        <v>5278</v>
      </c>
      <c r="B136" s="3935"/>
      <c r="C136" s="3935"/>
      <c r="D136" s="3935"/>
      <c r="E136" s="3935"/>
      <c r="F136" s="3935"/>
      <c r="G136" s="3935"/>
      <c r="H136" s="3935"/>
      <c r="I136" s="3935"/>
      <c r="J136" s="3935"/>
      <c r="K136" s="3935"/>
      <c r="L136" s="3935"/>
      <c r="M136" s="3935"/>
      <c r="N136" s="3935"/>
      <c r="O136" s="3935"/>
      <c r="P136" s="3936"/>
      <c r="Q136" s="2154"/>
      <c r="R136" s="2154"/>
      <c r="AM136" s="2492">
        <v>136</v>
      </c>
    </row>
    <row r="137" spans="1:39" s="2075" customFormat="1" ht="16" customHeight="1">
      <c r="A137" s="2097"/>
      <c r="B137" s="2097" t="s">
        <v>1725</v>
      </c>
      <c r="D137" s="2097"/>
      <c r="E137" s="2125"/>
      <c r="F137" s="2125"/>
      <c r="G137" s="2125"/>
      <c r="H137" s="2125"/>
      <c r="I137" s="2125"/>
      <c r="J137" s="2125"/>
      <c r="K137" s="2125"/>
      <c r="L137" s="2125"/>
      <c r="M137" s="2125"/>
      <c r="N137" s="2183"/>
      <c r="O137" s="2103"/>
      <c r="P137" s="2078"/>
      <c r="AM137" s="2493">
        <v>137</v>
      </c>
    </row>
    <row r="138" spans="1:39" ht="15" customHeight="1">
      <c r="A138" s="3878"/>
      <c r="B138" s="3879"/>
      <c r="C138" s="3879"/>
      <c r="D138" s="3879"/>
      <c r="E138" s="3879"/>
      <c r="F138" s="3879"/>
      <c r="G138" s="3879"/>
      <c r="H138" s="3879"/>
      <c r="I138" s="3879"/>
      <c r="J138" s="3879"/>
      <c r="K138" s="3879"/>
      <c r="L138" s="3879"/>
      <c r="M138" s="3879"/>
      <c r="N138" s="3879"/>
      <c r="O138" s="3879"/>
      <c r="P138" s="3880"/>
      <c r="Q138" s="2154"/>
      <c r="R138" s="2154"/>
      <c r="AM138" s="2492">
        <v>138</v>
      </c>
    </row>
    <row r="139" spans="1:39" ht="9" customHeight="1">
      <c r="A139" s="2184"/>
      <c r="B139" s="2075"/>
      <c r="C139" s="2127"/>
      <c r="D139" s="2127"/>
      <c r="E139" s="2127"/>
      <c r="F139" s="2127"/>
      <c r="G139" s="2127"/>
      <c r="H139" s="2127"/>
      <c r="I139" s="2127"/>
      <c r="J139" s="2127"/>
      <c r="K139" s="2127"/>
      <c r="L139" s="2127"/>
      <c r="M139" s="2127"/>
      <c r="N139" s="2139"/>
      <c r="O139" s="2140"/>
      <c r="P139" s="2078"/>
      <c r="AM139" s="2492">
        <v>139</v>
      </c>
    </row>
    <row r="140" spans="1:39" ht="9" customHeight="1" thickBot="1">
      <c r="D140" s="2075"/>
      <c r="E140" s="2075"/>
      <c r="F140" s="2078"/>
      <c r="G140" s="2078"/>
      <c r="H140" s="2078"/>
      <c r="I140" s="2078"/>
      <c r="J140" s="2107"/>
      <c r="K140" s="2107"/>
      <c r="L140" s="2107"/>
      <c r="M140" s="2077"/>
      <c r="N140" s="2078"/>
      <c r="P140" s="2088"/>
      <c r="AM140" s="2492">
        <v>140</v>
      </c>
    </row>
    <row r="141" spans="1:39" s="2075" customFormat="1" ht="16" customHeight="1" thickBot="1">
      <c r="A141" s="2098" t="s">
        <v>400</v>
      </c>
      <c r="B141" s="2099" t="s">
        <v>3065</v>
      </c>
      <c r="G141" s="2086"/>
      <c r="I141" s="2086"/>
      <c r="J141" s="2145"/>
      <c r="K141" s="2203" t="s">
        <v>4910</v>
      </c>
      <c r="L141" s="2108" t="s">
        <v>4866</v>
      </c>
      <c r="M141" s="2078">
        <v>3</v>
      </c>
      <c r="N141" s="2077"/>
      <c r="O141" s="2109">
        <f>IF($C$16="9%",MIN($M$141,O143+O147),IF($C$16="4%",O147,0))</f>
        <v>0</v>
      </c>
      <c r="P141" s="2109">
        <f>IF($C$16="9%",MIN($M$141,P143+P147),IF($C$16="4%",P147,0))</f>
        <v>0</v>
      </c>
      <c r="Q141" s="2110" t="s">
        <v>415</v>
      </c>
      <c r="R141" s="2078" t="str">
        <f>$C$16</f>
        <v>4%</v>
      </c>
      <c r="S141" s="2155"/>
      <c r="AM141" s="2492">
        <v>141</v>
      </c>
    </row>
    <row r="142" spans="1:39" ht="16" hidden="1" customHeight="1">
      <c r="A142" s="2204"/>
      <c r="B142" s="2205"/>
      <c r="E142" s="2075"/>
      <c r="F142" s="2074" t="s">
        <v>3694</v>
      </c>
      <c r="G142" s="2155"/>
      <c r="H142" s="2075"/>
      <c r="I142" s="2099"/>
      <c r="K142" s="2108"/>
      <c r="L142" s="2206"/>
      <c r="M142" s="2078"/>
      <c r="N142" s="2077"/>
      <c r="O142" s="2088"/>
      <c r="P142" s="2088"/>
      <c r="Q142" s="2110"/>
      <c r="R142" s="2112"/>
      <c r="AM142" s="2493">
        <v>142</v>
      </c>
    </row>
    <row r="143" spans="1:39" s="2075" customFormat="1" ht="16" customHeight="1">
      <c r="A143" s="2078" t="s">
        <v>1836</v>
      </c>
      <c r="B143" s="2199" t="s">
        <v>4695</v>
      </c>
      <c r="C143" s="2093"/>
      <c r="D143" s="2093"/>
      <c r="E143" s="2093"/>
      <c r="F143" s="2093"/>
      <c r="G143" s="2207"/>
      <c r="H143" s="2074" t="s">
        <v>4535</v>
      </c>
      <c r="J143" s="2208" t="str">
        <f>'Part V-Revenues &amp; Expenses'!$O$62</f>
        <v>40% of Units at 60% of AMI</v>
      </c>
      <c r="L143" s="2093"/>
      <c r="M143" s="2078">
        <v>2</v>
      </c>
      <c r="N143" s="2153"/>
      <c r="O143" s="2209">
        <f>IF($C$16="9%",MIN($M143,O144+O145),0)</f>
        <v>0</v>
      </c>
      <c r="P143" s="2209">
        <f>IF($C$16="9%",MIN($M143,P144+P145),0)</f>
        <v>0</v>
      </c>
      <c r="AM143" s="2493">
        <v>143</v>
      </c>
    </row>
    <row r="144" spans="1:39" s="2075" customFormat="1" ht="16" customHeight="1">
      <c r="A144" s="2078"/>
      <c r="B144" s="2117" t="s">
        <v>1839</v>
      </c>
      <c r="C144" s="1976" t="s">
        <v>3689</v>
      </c>
      <c r="H144" s="2075" t="s">
        <v>3690</v>
      </c>
      <c r="I144" s="2210"/>
      <c r="K144" s="2211">
        <f>'Part V-Revenues &amp; Expenses'!$B$59</f>
        <v>57.129629629629626</v>
      </c>
      <c r="L144" s="2112" t="str">
        <f t="shared" ref="L144:L145" si="3">IF(OR($O144=$M144,$O144=0,$O144=""),"","* * Check Score! * *")</f>
        <v/>
      </c>
      <c r="M144" s="2077">
        <v>2</v>
      </c>
      <c r="N144" s="2118"/>
      <c r="O144" s="1977"/>
      <c r="P144" s="2197"/>
      <c r="Q144" s="2196" t="str">
        <f>IF(OR($O144=$M144,$O144=0,$O144=""),"","*CHECK!*")</f>
        <v/>
      </c>
      <c r="R144" s="2116"/>
      <c r="AM144" s="2493">
        <v>144</v>
      </c>
    </row>
    <row r="145" spans="1:39" s="2075" customFormat="1" ht="16" customHeight="1">
      <c r="A145" s="2145"/>
      <c r="B145" s="2120" t="s">
        <v>1841</v>
      </c>
      <c r="C145" s="1976" t="s">
        <v>3691</v>
      </c>
      <c r="I145" s="2210"/>
      <c r="K145" s="2100"/>
      <c r="L145" s="2112" t="str">
        <f t="shared" si="3"/>
        <v/>
      </c>
      <c r="M145" s="2077">
        <v>2</v>
      </c>
      <c r="N145" s="2118"/>
      <c r="O145" s="1978"/>
      <c r="P145" s="2198"/>
      <c r="Q145" s="2196" t="str">
        <f>IF(OR($O145=$M145,$O145=0,$O145=""),"","*CHECK!*")</f>
        <v/>
      </c>
      <c r="R145" s="2116"/>
      <c r="AM145" s="2493">
        <v>145</v>
      </c>
    </row>
    <row r="146" spans="1:39" ht="16" hidden="1" customHeight="1">
      <c r="A146" s="2145"/>
      <c r="B146" s="2212"/>
      <c r="C146" s="1975"/>
      <c r="D146" s="2130"/>
      <c r="K146" s="2213"/>
      <c r="L146" s="2213"/>
      <c r="M146" s="2077"/>
      <c r="N146" s="2153"/>
      <c r="O146" s="2340"/>
      <c r="P146" s="2397"/>
      <c r="AM146" s="2492">
        <v>146</v>
      </c>
    </row>
    <row r="147" spans="1:39" ht="16" customHeight="1">
      <c r="A147" s="2078" t="s">
        <v>1838</v>
      </c>
      <c r="B147" s="2199" t="s">
        <v>4698</v>
      </c>
      <c r="H147" s="2214" t="s">
        <v>4679</v>
      </c>
      <c r="I147" s="2215"/>
      <c r="K147" s="2216">
        <f>IF(OR('Part V-Revenues &amp; Expenses'!$P$74="", 'Part V-Revenues &amp; Expenses'!$P$74=0),0,'Part V-Revenues &amp; Expenses'!$P$109/'Part V-Revenues &amp; Expenses'!$P$74)</f>
        <v>0</v>
      </c>
      <c r="M147" s="2078">
        <v>3</v>
      </c>
      <c r="N147" s="2132"/>
      <c r="O147" s="1986"/>
      <c r="P147" s="2189"/>
      <c r="AM147" s="2493">
        <v>147</v>
      </c>
    </row>
    <row r="148" spans="1:39" ht="16" customHeight="1">
      <c r="A148" s="2075"/>
      <c r="B148" s="2181" t="s">
        <v>1725</v>
      </c>
      <c r="D148" s="2136"/>
      <c r="E148" s="2127"/>
      <c r="F148" s="2127"/>
      <c r="G148" s="2127"/>
      <c r="H148" s="2127"/>
      <c r="I148" s="2127"/>
      <c r="J148" s="2127"/>
      <c r="K148" s="2127"/>
      <c r="L148" s="2127"/>
      <c r="M148" s="2127"/>
      <c r="N148" s="2139"/>
      <c r="O148" s="2140"/>
      <c r="P148" s="2078"/>
      <c r="AM148" s="2492">
        <v>148</v>
      </c>
    </row>
    <row r="149" spans="1:39" ht="15" customHeight="1">
      <c r="A149" s="3878"/>
      <c r="B149" s="3879"/>
      <c r="C149" s="3879"/>
      <c r="D149" s="3879"/>
      <c r="E149" s="3879"/>
      <c r="F149" s="3879"/>
      <c r="G149" s="3879"/>
      <c r="H149" s="3879"/>
      <c r="I149" s="3879"/>
      <c r="J149" s="3879"/>
      <c r="K149" s="3879"/>
      <c r="L149" s="3879"/>
      <c r="M149" s="3879"/>
      <c r="N149" s="3879"/>
      <c r="O149" s="3879"/>
      <c r="P149" s="3880"/>
      <c r="Q149" s="2141"/>
      <c r="AM149" s="2492">
        <v>149</v>
      </c>
    </row>
    <row r="150" spans="1:39" ht="9.75" customHeight="1">
      <c r="A150" s="2075"/>
      <c r="B150" s="2094"/>
      <c r="C150" s="2075"/>
      <c r="D150" s="1973"/>
      <c r="E150" s="1974"/>
      <c r="F150" s="1974"/>
      <c r="G150" s="2104"/>
      <c r="H150" s="2104"/>
      <c r="I150" s="2104"/>
      <c r="J150" s="2104"/>
      <c r="K150" s="2104"/>
      <c r="L150" s="2104"/>
      <c r="M150" s="2077"/>
      <c r="O150" s="2088"/>
      <c r="P150" s="2078"/>
      <c r="R150" s="2075"/>
      <c r="S150" s="2075"/>
      <c r="T150" s="2075"/>
      <c r="U150" s="2075"/>
      <c r="V150" s="2075"/>
      <c r="W150" s="2075"/>
      <c r="X150" s="2105"/>
      <c r="Y150" s="2105"/>
      <c r="Z150" s="2105"/>
      <c r="AA150" s="2105"/>
      <c r="AB150" s="2105"/>
      <c r="AC150" s="2105"/>
      <c r="AD150" s="2105"/>
      <c r="AE150" s="2105"/>
      <c r="AF150" s="2105"/>
      <c r="AG150" s="2105"/>
      <c r="AH150" s="2105"/>
      <c r="AI150" s="2105"/>
      <c r="AM150" s="2492">
        <v>150</v>
      </c>
    </row>
    <row r="151" spans="1:39" ht="9.75" customHeight="1">
      <c r="T151" s="2106"/>
      <c r="U151" s="2106"/>
      <c r="AM151" s="2492">
        <v>151</v>
      </c>
    </row>
    <row r="152" spans="1:39" s="2075" customFormat="1" ht="16" customHeight="1">
      <c r="A152" s="2184" t="s">
        <v>342</v>
      </c>
      <c r="B152" s="2099" t="s">
        <v>4819</v>
      </c>
      <c r="D152" s="2099"/>
      <c r="E152" s="2099"/>
      <c r="L152" s="2217"/>
      <c r="M152" s="2078">
        <v>2</v>
      </c>
      <c r="N152" s="2077"/>
      <c r="O152" s="2123">
        <f>IF(O153="Yes",$M$152,0)</f>
        <v>2</v>
      </c>
      <c r="P152" s="2123">
        <f>IF(P153="Yes",$M$152,0)</f>
        <v>0</v>
      </c>
      <c r="Q152" s="2110" t="s">
        <v>415</v>
      </c>
      <c r="R152" s="2078"/>
      <c r="AM152" s="2493">
        <v>152</v>
      </c>
    </row>
    <row r="153" spans="1:39" ht="16" customHeight="1">
      <c r="B153" s="2272" t="s">
        <v>4939</v>
      </c>
      <c r="C153" s="2075"/>
      <c r="D153" s="2075"/>
      <c r="E153" s="2075"/>
      <c r="F153" s="2075"/>
      <c r="G153" s="2075"/>
      <c r="H153" s="2075"/>
      <c r="I153" s="2075"/>
      <c r="J153" s="2075"/>
      <c r="K153" s="2075"/>
      <c r="M153" s="2077"/>
      <c r="O153" s="1990" t="s">
        <v>2642</v>
      </c>
      <c r="P153" s="2255"/>
      <c r="AM153" s="2493">
        <v>153</v>
      </c>
    </row>
    <row r="154" spans="1:39" ht="16" customHeight="1">
      <c r="A154" s="2075"/>
      <c r="B154" s="2097" t="s">
        <v>4817</v>
      </c>
      <c r="C154" s="2075"/>
      <c r="D154" s="2075"/>
      <c r="E154" s="2075"/>
      <c r="F154" s="2075"/>
      <c r="G154" s="2075"/>
      <c r="H154" s="2075"/>
      <c r="I154" s="2075"/>
      <c r="J154" s="2075"/>
      <c r="K154" s="2075"/>
      <c r="M154" s="2077"/>
      <c r="O154" s="2088"/>
      <c r="AM154" s="2493">
        <v>154</v>
      </c>
    </row>
    <row r="155" spans="1:39" ht="30" customHeight="1">
      <c r="A155" s="3934" t="s">
        <v>5279</v>
      </c>
      <c r="B155" s="3935"/>
      <c r="C155" s="3935"/>
      <c r="D155" s="3935"/>
      <c r="E155" s="3935"/>
      <c r="F155" s="3935"/>
      <c r="G155" s="3935"/>
      <c r="H155" s="3935"/>
      <c r="I155" s="3935"/>
      <c r="J155" s="3935"/>
      <c r="K155" s="3935"/>
      <c r="L155" s="3935"/>
      <c r="M155" s="3935"/>
      <c r="N155" s="3935"/>
      <c r="O155" s="3935"/>
      <c r="P155" s="3936"/>
      <c r="Q155" s="2154"/>
      <c r="R155" s="2154"/>
      <c r="AM155" s="2493">
        <v>155</v>
      </c>
    </row>
    <row r="156" spans="1:39" s="2075" customFormat="1" ht="16" customHeight="1">
      <c r="A156" s="2097"/>
      <c r="B156" s="2097" t="s">
        <v>1725</v>
      </c>
      <c r="D156" s="2097"/>
      <c r="E156" s="2125"/>
      <c r="F156" s="2125"/>
      <c r="G156" s="2125"/>
      <c r="H156" s="2125"/>
      <c r="I156" s="2125"/>
      <c r="J156" s="2125"/>
      <c r="K156" s="2125"/>
      <c r="L156" s="2125"/>
      <c r="M156" s="2125"/>
      <c r="N156" s="2183"/>
      <c r="O156" s="2103"/>
      <c r="P156" s="2078"/>
      <c r="AM156" s="2492">
        <v>156</v>
      </c>
    </row>
    <row r="157" spans="1:39" ht="15" customHeight="1">
      <c r="A157" s="3878"/>
      <c r="B157" s="3879"/>
      <c r="C157" s="3879"/>
      <c r="D157" s="3879"/>
      <c r="E157" s="3879"/>
      <c r="F157" s="3879"/>
      <c r="G157" s="3879"/>
      <c r="H157" s="3879"/>
      <c r="I157" s="3879"/>
      <c r="J157" s="3879"/>
      <c r="K157" s="3879"/>
      <c r="L157" s="3879"/>
      <c r="M157" s="3879"/>
      <c r="N157" s="3879"/>
      <c r="O157" s="3879"/>
      <c r="P157" s="3880"/>
      <c r="Q157" s="2154"/>
      <c r="R157" s="2154"/>
      <c r="AM157" s="2493">
        <v>157</v>
      </c>
    </row>
    <row r="158" spans="1:39" ht="9" customHeight="1">
      <c r="A158" s="2184"/>
      <c r="B158" s="2075"/>
      <c r="C158" s="2127"/>
      <c r="D158" s="2127"/>
      <c r="E158" s="2127"/>
      <c r="F158" s="2127"/>
      <c r="G158" s="2127"/>
      <c r="H158" s="2127"/>
      <c r="I158" s="2127"/>
      <c r="J158" s="2127"/>
      <c r="K158" s="2127"/>
      <c r="L158" s="2127"/>
      <c r="M158" s="2127"/>
      <c r="N158" s="2139"/>
      <c r="O158" s="2140"/>
      <c r="P158" s="2078"/>
      <c r="AM158" s="2492">
        <v>158</v>
      </c>
    </row>
    <row r="159" spans="1:39" ht="9" customHeight="1" thickBot="1">
      <c r="AM159" s="2492">
        <v>159</v>
      </c>
    </row>
    <row r="160" spans="1:39" ht="16" customHeight="1" thickBot="1">
      <c r="A160" s="2098" t="s">
        <v>343</v>
      </c>
      <c r="B160" s="2099" t="s">
        <v>3280</v>
      </c>
      <c r="L160" s="2108" t="s">
        <v>4866</v>
      </c>
      <c r="M160" s="2078">
        <v>20</v>
      </c>
      <c r="N160" s="2113"/>
      <c r="O160" s="2173">
        <f>IF(NOT($H$11="New Affordability"),0,IF(OR($M161-O162&lt;0,O161-O162&lt;0),0,IF(O161&lt;=$M161,O161-O162,IF(O161&gt;$M161,$M161-O162,0))))</f>
        <v>0</v>
      </c>
      <c r="P160" s="2173">
        <f>IF(NOT($H$12="New Affordability"),0,IF(OR($M161-P162&lt;0,P161-P162&lt;0),0,IF(P161&lt;=$M161,P161-P162,IF(P161&gt;$M161,$M161-P162,0))))</f>
        <v>0</v>
      </c>
      <c r="Q160" s="2110" t="s">
        <v>415</v>
      </c>
      <c r="R160" s="2078" t="str">
        <f>$C$16</f>
        <v>4%</v>
      </c>
      <c r="AM160" s="2492">
        <v>160</v>
      </c>
    </row>
    <row r="161" spans="1:39" s="2075" customFormat="1" ht="16" customHeight="1">
      <c r="A161" s="2078" t="s">
        <v>1836</v>
      </c>
      <c r="B161" s="2086" t="s">
        <v>1732</v>
      </c>
      <c r="C161" s="2086"/>
      <c r="D161" s="2086"/>
      <c r="F161" s="2086"/>
      <c r="H161" s="2113"/>
      <c r="I161" s="2072"/>
      <c r="J161" s="2072"/>
      <c r="K161" s="2072"/>
      <c r="L161" s="2112" t="str">
        <f>IF(OR($O161=$M161,$O161&lt;$M161,$O161=0,$O161=""),"","* * Check Score! * *")</f>
        <v/>
      </c>
      <c r="M161" s="2077">
        <v>20</v>
      </c>
      <c r="N161" s="2118"/>
      <c r="O161" s="2013">
        <v>20</v>
      </c>
      <c r="P161" s="2220"/>
      <c r="Q161" s="2196"/>
      <c r="R161" s="2116"/>
      <c r="AM161" s="2492">
        <v>161</v>
      </c>
    </row>
    <row r="162" spans="1:39" s="2075" customFormat="1" ht="16" customHeight="1">
      <c r="A162" s="2078" t="s">
        <v>1838</v>
      </c>
      <c r="B162" s="2086" t="s">
        <v>3196</v>
      </c>
      <c r="H162" s="2113"/>
      <c r="I162" s="2072"/>
      <c r="J162" s="2072"/>
      <c r="K162" s="2186"/>
      <c r="L162" s="2072"/>
      <c r="M162" s="2077" t="s">
        <v>1163</v>
      </c>
      <c r="N162" s="2113"/>
      <c r="O162" s="2013"/>
      <c r="P162" s="2220"/>
      <c r="R162" s="2116"/>
      <c r="AM162" s="2492">
        <v>162</v>
      </c>
    </row>
    <row r="163" spans="1:39" ht="16" customHeight="1">
      <c r="A163" s="2075"/>
      <c r="B163" s="2097" t="s">
        <v>4817</v>
      </c>
      <c r="C163" s="2075"/>
      <c r="D163" s="2075"/>
      <c r="E163" s="2075"/>
      <c r="F163" s="2075"/>
      <c r="G163" s="2075"/>
      <c r="H163" s="2075"/>
      <c r="I163" s="2075"/>
      <c r="J163" s="2075"/>
      <c r="K163" s="2075"/>
      <c r="M163" s="2077"/>
      <c r="O163" s="2088"/>
      <c r="AM163" s="2492">
        <v>163</v>
      </c>
    </row>
    <row r="164" spans="1:39" ht="58.5" customHeight="1">
      <c r="A164" s="3934" t="s">
        <v>5277</v>
      </c>
      <c r="B164" s="3935"/>
      <c r="C164" s="3935"/>
      <c r="D164" s="3935"/>
      <c r="E164" s="3935"/>
      <c r="F164" s="3935"/>
      <c r="G164" s="3935"/>
      <c r="H164" s="3935"/>
      <c r="I164" s="3935"/>
      <c r="J164" s="3935"/>
      <c r="K164" s="3935"/>
      <c r="L164" s="3935"/>
      <c r="M164" s="3935"/>
      <c r="N164" s="3935"/>
      <c r="O164" s="3935"/>
      <c r="P164" s="3936"/>
      <c r="Q164" s="2154"/>
      <c r="R164" s="2154"/>
      <c r="AM164" s="2493">
        <v>164</v>
      </c>
    </row>
    <row r="165" spans="1:39" ht="16" customHeight="1">
      <c r="A165" s="2075"/>
      <c r="B165" s="2097" t="s">
        <v>1725</v>
      </c>
      <c r="C165" s="2075"/>
      <c r="D165" s="2221"/>
      <c r="E165" s="2127"/>
      <c r="F165" s="2127"/>
      <c r="G165" s="2127"/>
      <c r="H165" s="2127"/>
      <c r="I165" s="2127"/>
      <c r="J165" s="2127"/>
      <c r="K165" s="2127"/>
      <c r="L165" s="2127"/>
      <c r="M165" s="2127"/>
      <c r="N165" s="2139"/>
      <c r="O165" s="2140"/>
      <c r="P165" s="2078"/>
      <c r="AM165" s="2493">
        <v>165</v>
      </c>
    </row>
    <row r="166" spans="1:39" ht="30" customHeight="1">
      <c r="A166" s="3878"/>
      <c r="B166" s="3879"/>
      <c r="C166" s="3879"/>
      <c r="D166" s="3879"/>
      <c r="E166" s="3879"/>
      <c r="F166" s="3879"/>
      <c r="G166" s="3879"/>
      <c r="H166" s="3879"/>
      <c r="I166" s="3879"/>
      <c r="J166" s="3879"/>
      <c r="K166" s="3879"/>
      <c r="L166" s="3879"/>
      <c r="M166" s="3879"/>
      <c r="N166" s="3879"/>
      <c r="O166" s="3879"/>
      <c r="P166" s="3880"/>
      <c r="Q166" s="2141"/>
      <c r="R166" s="2154"/>
      <c r="AM166" s="2492">
        <v>166</v>
      </c>
    </row>
    <row r="167" spans="1:39" ht="9.75" customHeight="1">
      <c r="A167" s="2075"/>
      <c r="B167" s="2094"/>
      <c r="C167" s="2075"/>
      <c r="D167" s="1973"/>
      <c r="E167" s="1974"/>
      <c r="F167" s="1974"/>
      <c r="G167" s="2104"/>
      <c r="H167" s="2104"/>
      <c r="I167" s="2104"/>
      <c r="J167" s="2104"/>
      <c r="K167" s="2104"/>
      <c r="L167" s="2104"/>
      <c r="M167" s="2077"/>
      <c r="O167" s="2088"/>
      <c r="P167" s="2078"/>
      <c r="R167" s="2075"/>
      <c r="S167" s="2075"/>
      <c r="T167" s="2075"/>
      <c r="U167" s="2075"/>
      <c r="V167" s="2075"/>
      <c r="W167" s="2075"/>
      <c r="X167" s="2105"/>
      <c r="Y167" s="2105"/>
      <c r="Z167" s="2105"/>
      <c r="AA167" s="2105"/>
      <c r="AB167" s="2105"/>
      <c r="AC167" s="2105"/>
      <c r="AD167" s="2105"/>
      <c r="AE167" s="2105"/>
      <c r="AF167" s="2105"/>
      <c r="AG167" s="2105"/>
      <c r="AH167" s="2105"/>
      <c r="AI167" s="2105"/>
      <c r="AM167" s="2492">
        <v>167</v>
      </c>
    </row>
    <row r="168" spans="1:39" ht="9.75" customHeight="1" thickBot="1">
      <c r="T168" s="2106"/>
      <c r="U168" s="2106"/>
      <c r="AM168" s="2493">
        <v>168</v>
      </c>
    </row>
    <row r="169" spans="1:39" ht="16" customHeight="1" thickBot="1">
      <c r="A169" s="2098" t="s">
        <v>344</v>
      </c>
      <c r="B169" s="2099" t="s">
        <v>2407</v>
      </c>
      <c r="H169" s="2222"/>
      <c r="I169" s="2199"/>
      <c r="J169" s="2145"/>
      <c r="K169" s="2078"/>
      <c r="L169" s="2108" t="s">
        <v>4866</v>
      </c>
      <c r="M169" s="2078">
        <v>6</v>
      </c>
      <c r="N169" s="2113"/>
      <c r="O169" s="2173">
        <f>IF($H$11="New Affordability",MAX(O177,O180),0)</f>
        <v>0</v>
      </c>
      <c r="P169" s="2173">
        <f>IF($H$12="New Affordability",MAX(P177,P180),0)</f>
        <v>0</v>
      </c>
      <c r="Q169" s="2110" t="s">
        <v>415</v>
      </c>
      <c r="R169" s="2078" t="str">
        <f>$C$16</f>
        <v>4%</v>
      </c>
      <c r="AM169" s="2493">
        <v>169</v>
      </c>
    </row>
    <row r="170" spans="1:39" ht="16" hidden="1" customHeight="1">
      <c r="A170" s="2098"/>
      <c r="B170" s="2099"/>
      <c r="H170" s="2099"/>
      <c r="I170" s="2097"/>
      <c r="J170" s="2075"/>
      <c r="K170" s="2075"/>
      <c r="M170" s="2078"/>
      <c r="N170" s="2113"/>
      <c r="O170" s="2088"/>
      <c r="P170" s="2088"/>
      <c r="Q170" s="2110"/>
      <c r="AM170" s="2493">
        <v>170</v>
      </c>
    </row>
    <row r="171" spans="1:39" ht="16" customHeight="1">
      <c r="A171" s="2098"/>
      <c r="B171" s="2075" t="s">
        <v>3239</v>
      </c>
      <c r="F171" s="3977" t="s">
        <v>3132</v>
      </c>
      <c r="G171" s="3977"/>
      <c r="H171" s="3977"/>
      <c r="I171" s="3977"/>
      <c r="J171" s="3977" t="s">
        <v>3133</v>
      </c>
      <c r="K171" s="3977"/>
      <c r="L171" s="3977"/>
      <c r="M171" s="3977"/>
      <c r="N171" s="2113"/>
      <c r="O171" s="3978" t="s">
        <v>4680</v>
      </c>
      <c r="P171" s="3978"/>
      <c r="AM171" s="2493">
        <v>171</v>
      </c>
    </row>
    <row r="172" spans="1:39" ht="15" customHeight="1">
      <c r="B172" s="2223"/>
      <c r="C172" s="2224" t="s">
        <v>4681</v>
      </c>
      <c r="F172" s="3980">
        <v>33.656269999999999</v>
      </c>
      <c r="G172" s="3981"/>
      <c r="H172" s="3982"/>
      <c r="I172" s="3983"/>
      <c r="J172" s="3980">
        <v>-84.438227999999995</v>
      </c>
      <c r="K172" s="3981"/>
      <c r="L172" s="3982"/>
      <c r="M172" s="3983"/>
      <c r="N172" s="2074"/>
      <c r="O172" s="3979"/>
      <c r="P172" s="3979"/>
      <c r="AM172" s="2492">
        <v>172</v>
      </c>
    </row>
    <row r="173" spans="1:39" ht="15" customHeight="1">
      <c r="A173" s="2223"/>
      <c r="B173" s="2225"/>
      <c r="C173" s="2224" t="s">
        <v>4682</v>
      </c>
      <c r="F173" s="3971">
        <v>33.651684000000003</v>
      </c>
      <c r="G173" s="3972"/>
      <c r="H173" s="3973"/>
      <c r="I173" s="3974"/>
      <c r="J173" s="3971">
        <v>-84.448822000000007</v>
      </c>
      <c r="K173" s="3972"/>
      <c r="L173" s="3973"/>
      <c r="M173" s="3974"/>
      <c r="N173" s="2113"/>
      <c r="O173" s="2522">
        <v>0.9</v>
      </c>
      <c r="P173" s="2523"/>
      <c r="AM173" s="2493">
        <v>173</v>
      </c>
    </row>
    <row r="174" spans="1:39" ht="16" customHeight="1">
      <c r="A174" s="2225"/>
      <c r="B174" s="3975" t="s">
        <v>4703</v>
      </c>
      <c r="C174" s="3975"/>
      <c r="D174" s="3975"/>
      <c r="E174" s="3975"/>
      <c r="F174" s="2095" t="s">
        <v>4683</v>
      </c>
      <c r="G174" s="3976" t="s">
        <v>1667</v>
      </c>
      <c r="H174" s="3976"/>
      <c r="I174" s="3976"/>
      <c r="J174" s="3976" t="s">
        <v>4700</v>
      </c>
      <c r="K174" s="3976"/>
      <c r="L174" s="3976"/>
      <c r="M174" s="3976"/>
      <c r="N174" s="3976"/>
      <c r="O174" s="3976"/>
      <c r="P174" s="3976"/>
      <c r="AM174" s="2492">
        <v>174</v>
      </c>
    </row>
    <row r="175" spans="1:39" ht="15" customHeight="1">
      <c r="A175" s="2225"/>
      <c r="B175" s="3984" t="s">
        <v>5259</v>
      </c>
      <c r="C175" s="3984"/>
      <c r="D175" s="3984"/>
      <c r="E175" s="3984"/>
      <c r="F175" s="2532" t="s">
        <v>5260</v>
      </c>
      <c r="G175" s="3985" t="s">
        <v>5261</v>
      </c>
      <c r="H175" s="3985"/>
      <c r="I175" s="3985"/>
      <c r="J175" s="3985" t="s">
        <v>5262</v>
      </c>
      <c r="K175" s="3985"/>
      <c r="L175" s="3985"/>
      <c r="M175" s="3985"/>
      <c r="N175" s="3985"/>
      <c r="O175" s="3985"/>
      <c r="P175" s="3985"/>
      <c r="AM175" s="2492">
        <v>175</v>
      </c>
    </row>
    <row r="176" spans="1:39" ht="16" hidden="1" customHeight="1">
      <c r="A176" s="2096"/>
      <c r="B176" s="2099"/>
      <c r="F176" s="2111"/>
      <c r="M176" s="2078"/>
      <c r="N176" s="2078"/>
      <c r="O176" s="2078"/>
      <c r="P176" s="2078"/>
      <c r="Q176" s="2110"/>
      <c r="R176" s="2146"/>
      <c r="S176" s="2146"/>
      <c r="T176" s="2146"/>
      <c r="U176" s="2146"/>
      <c r="AM176" s="2492">
        <v>176</v>
      </c>
    </row>
    <row r="177" spans="1:39" ht="16" customHeight="1">
      <c r="A177" s="2218" t="s">
        <v>1836</v>
      </c>
      <c r="B177" s="2086" t="s">
        <v>3155</v>
      </c>
      <c r="F177" s="2226"/>
      <c r="L177" s="2172" t="s">
        <v>4837</v>
      </c>
      <c r="M177" s="2078">
        <v>6</v>
      </c>
      <c r="N177" s="2153"/>
      <c r="O177" s="2227">
        <f>IF(OR($L$11="Atlanta Metro",$L$11="Other Metro",$L$11="N/A-4%"),MIN($M177,O178+O179),0)</f>
        <v>4</v>
      </c>
      <c r="P177" s="2227">
        <f>IF(OR($L$12="Atlanta Metro",$L$12="Other Metro",$L$12="N/A-4%"),MIN($M177,P178+P179),0)</f>
        <v>0</v>
      </c>
      <c r="Q177" s="2110"/>
      <c r="S177" s="2228" t="s">
        <v>4157</v>
      </c>
      <c r="T177" s="2228" t="s">
        <v>4042</v>
      </c>
      <c r="AM177" s="2492">
        <v>177</v>
      </c>
    </row>
    <row r="178" spans="1:39" s="2130" customFormat="1" ht="29.5" customHeight="1">
      <c r="A178" s="2131"/>
      <c r="B178" s="2120" t="s">
        <v>1839</v>
      </c>
      <c r="C178" s="3877" t="s">
        <v>4696</v>
      </c>
      <c r="D178" s="3877"/>
      <c r="E178" s="3877"/>
      <c r="F178" s="3877"/>
      <c r="G178" s="3877"/>
      <c r="H178" s="3877"/>
      <c r="I178" s="3877"/>
      <c r="J178" s="3877"/>
      <c r="K178" s="3877"/>
      <c r="L178" s="2112" t="str">
        <f t="shared" ref="L178" si="4">IF(OR($O178=$M178,$O178=0,$O178=""),"","* * Check Score! * *")</f>
        <v/>
      </c>
      <c r="M178" s="2131">
        <v>6</v>
      </c>
      <c r="N178" s="2178"/>
      <c r="O178" s="1983"/>
      <c r="P178" s="2229"/>
      <c r="R178" s="3989" t="s">
        <v>4554</v>
      </c>
      <c r="S178" s="2230">
        <v>0.25</v>
      </c>
      <c r="T178" s="2230">
        <v>5</v>
      </c>
      <c r="AM178" s="2492">
        <v>178</v>
      </c>
    </row>
    <row r="179" spans="1:39" s="2130" customFormat="1" ht="16" customHeight="1">
      <c r="A179" s="2145" t="s">
        <v>1273</v>
      </c>
      <c r="B179" s="2120" t="s">
        <v>1841</v>
      </c>
      <c r="C179" s="2075" t="s">
        <v>4697</v>
      </c>
      <c r="D179" s="2075"/>
      <c r="E179" s="2075"/>
      <c r="F179" s="2075"/>
      <c r="G179" s="2075"/>
      <c r="H179" s="2075"/>
      <c r="I179" s="2075"/>
      <c r="J179" s="2092"/>
      <c r="K179" s="2092"/>
      <c r="L179" s="2112"/>
      <c r="M179" s="2077">
        <v>5</v>
      </c>
      <c r="N179" s="2180"/>
      <c r="O179" s="1981">
        <v>4</v>
      </c>
      <c r="P179" s="2231"/>
      <c r="R179" s="3989"/>
      <c r="S179" s="2230">
        <v>0.5</v>
      </c>
      <c r="T179" s="2230">
        <v>4.5</v>
      </c>
      <c r="AM179" s="2492">
        <v>179</v>
      </c>
    </row>
    <row r="180" spans="1:39" s="2130" customFormat="1" ht="16" customHeight="1">
      <c r="A180" s="2218" t="s">
        <v>1838</v>
      </c>
      <c r="B180" s="2232" t="s">
        <v>3156</v>
      </c>
      <c r="F180" s="2233"/>
      <c r="H180" s="2093"/>
      <c r="I180" s="2093"/>
      <c r="J180" s="2225"/>
      <c r="K180" s="2225"/>
      <c r="L180" s="2234"/>
      <c r="M180" s="2078">
        <v>3</v>
      </c>
      <c r="N180" s="2113"/>
      <c r="O180" s="2209">
        <f>IF(OR(AND(O181&gt;0,O182&gt;0,O183&gt;0), AND(O181&gt;0,O182&gt;0), AND(O182&gt;0,O183&gt;0), AND(O181&gt;0,O183&gt;0)),"Choose", IF(AND(OR($L$11="Atlanta Metro",$L$11="Other Metro",$L$11="N/A-4%"),SUM(O181,O182,O183)&gt;0), MIN($M180,O181+O182), IF(AND(OR($L$11="Rural"),SUM(O181,O182,O183)&gt;0), MIN($M180,O183),0)))</f>
        <v>0</v>
      </c>
      <c r="P180" s="2209">
        <f>IF(OR(AND(P181&gt;0,P182&gt;0,P183&gt;0), AND(P181&gt;0,P182&gt;0), AND(P182&gt;0,P183&gt;0), AND(P181&gt;0,P183&gt;0)),"Choose", IF(AND(OR($L$12="Atlanta Metro",$L$12="Other Metro",$L$11="N/A-4%"),SUM(P181,P182,P183)&gt;0), MIN($M180,P181+P182), IF(AND(OR($L$11="Rural"),SUM(P181,P182,P183)&gt;0), MIN($M180,P183),0)))</f>
        <v>0</v>
      </c>
      <c r="R180" s="3989"/>
      <c r="S180" s="2235">
        <v>1</v>
      </c>
      <c r="T180" s="2235">
        <v>4</v>
      </c>
      <c r="AM180" s="2493">
        <v>180</v>
      </c>
    </row>
    <row r="181" spans="1:39" ht="16" customHeight="1">
      <c r="A181" s="2098"/>
      <c r="B181" s="2236" t="s">
        <v>1839</v>
      </c>
      <c r="C181" s="2075" t="s">
        <v>4684</v>
      </c>
      <c r="D181" s="2093"/>
      <c r="E181" s="2093"/>
      <c r="F181" s="2093"/>
      <c r="G181" s="2093"/>
      <c r="H181" s="2093"/>
      <c r="I181" s="2093"/>
      <c r="J181" s="2093"/>
      <c r="K181" s="2093"/>
      <c r="L181" s="2112" t="str">
        <f t="shared" ref="L181:L183" si="5">IF(OR($O181=$M181,$O181=0,$O181=""),"","* * Check Score! * *")</f>
        <v/>
      </c>
      <c r="M181" s="2077">
        <v>3</v>
      </c>
      <c r="N181" s="2180"/>
      <c r="O181" s="1984"/>
      <c r="P181" s="2237"/>
      <c r="R181" s="3989" t="s">
        <v>4555</v>
      </c>
      <c r="S181" s="2238">
        <v>0.25</v>
      </c>
      <c r="T181" s="2238">
        <v>3</v>
      </c>
      <c r="U181" s="2130"/>
      <c r="AM181" s="2493">
        <v>181</v>
      </c>
    </row>
    <row r="182" spans="1:39" ht="16" customHeight="1">
      <c r="A182" s="2145" t="s">
        <v>1273</v>
      </c>
      <c r="B182" s="2236" t="s">
        <v>1841</v>
      </c>
      <c r="C182" s="2075" t="s">
        <v>4702</v>
      </c>
      <c r="D182" s="2093"/>
      <c r="E182" s="2093"/>
      <c r="F182" s="2093"/>
      <c r="G182" s="2093"/>
      <c r="H182" s="2093"/>
      <c r="I182" s="2093"/>
      <c r="J182" s="2225"/>
      <c r="K182" s="2225"/>
      <c r="L182" s="2112" t="str">
        <f t="shared" si="5"/>
        <v/>
      </c>
      <c r="M182" s="2077">
        <v>1</v>
      </c>
      <c r="N182" s="2180"/>
      <c r="O182" s="1985"/>
      <c r="P182" s="2239"/>
      <c r="R182" s="3989"/>
      <c r="S182" s="2230">
        <v>0.5</v>
      </c>
      <c r="T182" s="2230">
        <v>2</v>
      </c>
      <c r="U182" s="2130"/>
      <c r="AM182" s="2493">
        <v>182</v>
      </c>
    </row>
    <row r="183" spans="1:39" s="2130" customFormat="1" ht="29.25" customHeight="1">
      <c r="A183" s="2240" t="s">
        <v>1273</v>
      </c>
      <c r="B183" s="2236" t="s">
        <v>2326</v>
      </c>
      <c r="C183" s="3877" t="s">
        <v>4701</v>
      </c>
      <c r="D183" s="3877"/>
      <c r="E183" s="3877"/>
      <c r="F183" s="3877"/>
      <c r="G183" s="3877"/>
      <c r="H183" s="3877"/>
      <c r="I183" s="3877"/>
      <c r="J183" s="3877"/>
      <c r="K183" s="3877"/>
      <c r="L183" s="2112" t="str">
        <f t="shared" si="5"/>
        <v/>
      </c>
      <c r="M183" s="2131">
        <v>2</v>
      </c>
      <c r="N183" s="2178"/>
      <c r="O183" s="2014"/>
      <c r="P183" s="2241"/>
      <c r="R183" s="3989"/>
      <c r="S183" s="2235">
        <v>1</v>
      </c>
      <c r="T183" s="2235">
        <v>1</v>
      </c>
      <c r="AM183" s="2492">
        <v>183</v>
      </c>
    </row>
    <row r="184" spans="1:39" ht="16" customHeight="1">
      <c r="A184" s="2075"/>
      <c r="B184" s="2097" t="s">
        <v>4817</v>
      </c>
      <c r="C184" s="2075"/>
      <c r="D184" s="2075"/>
      <c r="E184" s="2075"/>
      <c r="F184" s="2075"/>
      <c r="G184" s="2075"/>
      <c r="H184" s="2075"/>
      <c r="I184" s="2075"/>
      <c r="J184" s="2075"/>
      <c r="K184" s="2075"/>
      <c r="M184" s="2077"/>
      <c r="O184" s="2088"/>
      <c r="AM184" s="2492">
        <v>184</v>
      </c>
    </row>
    <row r="185" spans="1:39" ht="60" customHeight="1">
      <c r="A185" s="3934" t="s">
        <v>5263</v>
      </c>
      <c r="B185" s="3935"/>
      <c r="C185" s="3935"/>
      <c r="D185" s="3935"/>
      <c r="E185" s="3935"/>
      <c r="F185" s="3935"/>
      <c r="G185" s="3935"/>
      <c r="H185" s="3935"/>
      <c r="I185" s="3935"/>
      <c r="J185" s="3935"/>
      <c r="K185" s="3935"/>
      <c r="L185" s="3935"/>
      <c r="M185" s="3935"/>
      <c r="N185" s="3935"/>
      <c r="O185" s="3935"/>
      <c r="P185" s="3936"/>
      <c r="Q185" s="2154"/>
      <c r="R185" s="2154"/>
      <c r="AM185" s="2493">
        <v>185</v>
      </c>
    </row>
    <row r="186" spans="1:39" s="2075" customFormat="1" ht="16" customHeight="1">
      <c r="B186" s="2181" t="s">
        <v>1725</v>
      </c>
      <c r="D186" s="2181"/>
      <c r="E186" s="2125"/>
      <c r="F186" s="2125"/>
      <c r="G186" s="2125"/>
      <c r="H186" s="2125"/>
      <c r="I186" s="2125"/>
      <c r="J186" s="2125"/>
      <c r="K186" s="2125"/>
      <c r="L186" s="2125"/>
      <c r="M186" s="2125"/>
      <c r="N186" s="2183"/>
      <c r="O186" s="2103"/>
      <c r="P186" s="2078"/>
      <c r="Q186" s="2074"/>
      <c r="AM186" s="2492">
        <v>186</v>
      </c>
    </row>
    <row r="187" spans="1:39" ht="30" customHeight="1">
      <c r="A187" s="3878"/>
      <c r="B187" s="3879"/>
      <c r="C187" s="3879"/>
      <c r="D187" s="3879"/>
      <c r="E187" s="3879"/>
      <c r="F187" s="3879"/>
      <c r="G187" s="3879"/>
      <c r="H187" s="3879"/>
      <c r="I187" s="3879"/>
      <c r="J187" s="3879"/>
      <c r="K187" s="3879"/>
      <c r="L187" s="3879"/>
      <c r="M187" s="3879"/>
      <c r="N187" s="3879"/>
      <c r="O187" s="3879"/>
      <c r="P187" s="3880"/>
      <c r="Q187" s="2141"/>
      <c r="AM187" s="2492">
        <v>187</v>
      </c>
    </row>
    <row r="188" spans="1:39" ht="9.75" customHeight="1">
      <c r="AM188" s="2493">
        <v>188</v>
      </c>
    </row>
    <row r="189" spans="1:39" ht="9.75" customHeight="1" thickBot="1">
      <c r="AM189" s="2493">
        <v>189</v>
      </c>
    </row>
    <row r="190" spans="1:39" ht="16" customHeight="1" thickBot="1">
      <c r="A190" s="2098" t="s">
        <v>1602</v>
      </c>
      <c r="B190" s="2099" t="s">
        <v>4046</v>
      </c>
      <c r="C190" s="2127"/>
      <c r="D190" s="2127"/>
      <c r="E190" s="2127"/>
      <c r="G190" s="2078"/>
      <c r="H190" s="2116"/>
      <c r="L190" s="2108" t="s">
        <v>4866</v>
      </c>
      <c r="M190" s="2078">
        <v>3</v>
      </c>
      <c r="N190" s="2139"/>
      <c r="O190" s="2018">
        <v>1.5</v>
      </c>
      <c r="P190" s="2242"/>
      <c r="Q190" s="2196" t="str">
        <f>IF(OR($O190&lt;=$M190,$O190=0,$O190=""),"","*CHECK!*")</f>
        <v/>
      </c>
      <c r="R190" s="2243" t="s">
        <v>415</v>
      </c>
      <c r="S190" s="2078" t="str">
        <f>$C$16</f>
        <v>4%</v>
      </c>
      <c r="AM190" s="2493">
        <v>190</v>
      </c>
    </row>
    <row r="191" spans="1:39" ht="23.25" customHeight="1">
      <c r="B191" s="2244"/>
      <c r="C191" s="2244"/>
      <c r="D191" s="2244"/>
      <c r="E191" s="2245"/>
      <c r="F191" s="3949" t="s">
        <v>5081</v>
      </c>
      <c r="G191" s="3882" t="s">
        <v>4717</v>
      </c>
      <c r="H191" s="3882"/>
      <c r="I191" s="3986" t="s">
        <v>4718</v>
      </c>
      <c r="J191" s="3996" t="s">
        <v>4727</v>
      </c>
      <c r="K191" s="3997"/>
      <c r="L191" s="4010" t="s">
        <v>4704</v>
      </c>
      <c r="M191" s="4010"/>
      <c r="N191" s="4010"/>
      <c r="O191" s="2524"/>
      <c r="P191" s="2246"/>
      <c r="AM191" s="2493">
        <v>191</v>
      </c>
    </row>
    <row r="192" spans="1:39" ht="24.65" customHeight="1">
      <c r="B192" s="2244"/>
      <c r="C192" s="2244"/>
      <c r="D192" s="2244"/>
      <c r="E192" s="2245"/>
      <c r="F192" s="3949"/>
      <c r="G192" s="3882"/>
      <c r="H192" s="3882"/>
      <c r="I192" s="3986"/>
      <c r="J192" s="3998"/>
      <c r="K192" s="3999"/>
      <c r="L192" s="3882"/>
      <c r="M192" s="3882"/>
      <c r="N192" s="3882"/>
      <c r="O192" s="2525"/>
      <c r="P192" s="2246"/>
      <c r="AM192" s="2492">
        <v>192</v>
      </c>
    </row>
    <row r="193" spans="1:39" ht="16" customHeight="1">
      <c r="B193" s="2247" t="s">
        <v>4520</v>
      </c>
      <c r="C193" s="2248"/>
      <c r="D193" s="2245"/>
      <c r="E193" s="2245"/>
      <c r="F193" s="3988"/>
      <c r="G193" s="3883"/>
      <c r="H193" s="3883"/>
      <c r="I193" s="3987"/>
      <c r="J193" s="4000"/>
      <c r="K193" s="4001"/>
      <c r="L193" s="3883"/>
      <c r="M193" s="3883"/>
      <c r="N193" s="3883"/>
      <c r="O193" s="2525"/>
      <c r="P193" s="2246"/>
      <c r="AM193" s="2493">
        <v>193</v>
      </c>
    </row>
    <row r="194" spans="1:39" ht="30" customHeight="1">
      <c r="B194" s="3990" t="s">
        <v>5264</v>
      </c>
      <c r="C194" s="3991"/>
      <c r="D194" s="3991"/>
      <c r="E194" s="3992"/>
      <c r="F194" s="2536" t="s">
        <v>5265</v>
      </c>
      <c r="G194" s="4006" t="s">
        <v>2645</v>
      </c>
      <c r="H194" s="4007"/>
      <c r="I194" s="2529" t="s">
        <v>2642</v>
      </c>
      <c r="J194" s="4008" t="s">
        <v>2642</v>
      </c>
      <c r="K194" s="4009"/>
      <c r="L194" s="4008" t="s">
        <v>2645</v>
      </c>
      <c r="M194" s="4011"/>
      <c r="N194" s="4009"/>
      <c r="O194" s="4013"/>
      <c r="P194" s="4014"/>
      <c r="AM194" s="2492">
        <v>194</v>
      </c>
    </row>
    <row r="195" spans="1:39" ht="30" customHeight="1">
      <c r="B195" s="3993" t="s">
        <v>5266</v>
      </c>
      <c r="C195" s="3994"/>
      <c r="D195" s="3994"/>
      <c r="E195" s="3995"/>
      <c r="F195" s="2537" t="s">
        <v>5267</v>
      </c>
      <c r="G195" s="4002" t="s">
        <v>2645</v>
      </c>
      <c r="H195" s="4003"/>
      <c r="I195" s="2530" t="s">
        <v>2642</v>
      </c>
      <c r="J195" s="4004" t="s">
        <v>2642</v>
      </c>
      <c r="K195" s="4005"/>
      <c r="L195" s="4004" t="s">
        <v>2645</v>
      </c>
      <c r="M195" s="4012"/>
      <c r="N195" s="4005"/>
      <c r="O195" s="4015"/>
      <c r="P195" s="4016"/>
      <c r="AM195" s="2492">
        <v>195</v>
      </c>
    </row>
    <row r="196" spans="1:39" ht="30" customHeight="1">
      <c r="B196" s="3993" t="s">
        <v>5268</v>
      </c>
      <c r="C196" s="3994"/>
      <c r="D196" s="3994"/>
      <c r="E196" s="3995"/>
      <c r="F196" s="2537" t="s">
        <v>5269</v>
      </c>
      <c r="G196" s="4002" t="s">
        <v>2645</v>
      </c>
      <c r="H196" s="4003"/>
      <c r="I196" s="2530" t="s">
        <v>2645</v>
      </c>
      <c r="J196" s="4004" t="s">
        <v>2642</v>
      </c>
      <c r="K196" s="4005"/>
      <c r="L196" s="4004" t="s">
        <v>2645</v>
      </c>
      <c r="M196" s="4012"/>
      <c r="N196" s="4005"/>
      <c r="O196" s="4015"/>
      <c r="P196" s="4016"/>
      <c r="AM196" s="2492">
        <v>196</v>
      </c>
    </row>
    <row r="197" spans="1:39" ht="30" customHeight="1">
      <c r="B197" s="3993"/>
      <c r="C197" s="3994"/>
      <c r="D197" s="3994"/>
      <c r="E197" s="3995"/>
      <c r="F197" s="2537"/>
      <c r="G197" s="4002"/>
      <c r="H197" s="4003"/>
      <c r="I197" s="2530"/>
      <c r="J197" s="4004"/>
      <c r="K197" s="4005"/>
      <c r="L197" s="4004"/>
      <c r="M197" s="4012"/>
      <c r="N197" s="4005"/>
      <c r="O197" s="4015"/>
      <c r="P197" s="4016"/>
      <c r="AM197" s="2492">
        <v>197</v>
      </c>
    </row>
    <row r="198" spans="1:39" ht="30" customHeight="1">
      <c r="B198" s="3993"/>
      <c r="C198" s="3994"/>
      <c r="D198" s="3994"/>
      <c r="E198" s="3995"/>
      <c r="F198" s="2537"/>
      <c r="G198" s="4002"/>
      <c r="H198" s="4003"/>
      <c r="I198" s="2530"/>
      <c r="J198" s="4004"/>
      <c r="K198" s="4005"/>
      <c r="L198" s="4004"/>
      <c r="M198" s="4012"/>
      <c r="N198" s="4005"/>
      <c r="O198" s="4015"/>
      <c r="P198" s="4016"/>
      <c r="AM198" s="2493">
        <v>198</v>
      </c>
    </row>
    <row r="199" spans="1:39" ht="30" customHeight="1">
      <c r="B199" s="4030"/>
      <c r="C199" s="4031"/>
      <c r="D199" s="4031"/>
      <c r="E199" s="4032"/>
      <c r="F199" s="2538"/>
      <c r="G199" s="4026"/>
      <c r="H199" s="4027"/>
      <c r="I199" s="2531"/>
      <c r="J199" s="4028"/>
      <c r="K199" s="4029"/>
      <c r="L199" s="4028"/>
      <c r="M199" s="4033"/>
      <c r="N199" s="4029"/>
      <c r="O199" s="4118"/>
      <c r="P199" s="4119"/>
      <c r="AM199" s="2493">
        <v>199</v>
      </c>
    </row>
    <row r="200" spans="1:39" ht="16" customHeight="1">
      <c r="A200" s="2075"/>
      <c r="B200" s="2097" t="s">
        <v>4817</v>
      </c>
      <c r="C200" s="2075"/>
      <c r="D200" s="2075"/>
      <c r="E200" s="2075"/>
      <c r="F200" s="2075"/>
      <c r="G200" s="2075"/>
      <c r="H200" s="2075"/>
      <c r="I200" s="2075"/>
      <c r="J200" s="2075"/>
      <c r="K200" s="2075"/>
      <c r="M200" s="2077"/>
      <c r="O200" s="2088"/>
      <c r="AM200" s="2493">
        <v>200</v>
      </c>
    </row>
    <row r="201" spans="1:39" ht="90" customHeight="1">
      <c r="A201" s="3934" t="s">
        <v>5270</v>
      </c>
      <c r="B201" s="3935"/>
      <c r="C201" s="3935"/>
      <c r="D201" s="3935"/>
      <c r="E201" s="3935"/>
      <c r="F201" s="3935"/>
      <c r="G201" s="3935"/>
      <c r="H201" s="3935"/>
      <c r="I201" s="3935"/>
      <c r="J201" s="3935"/>
      <c r="K201" s="3935"/>
      <c r="L201" s="3935"/>
      <c r="M201" s="3935"/>
      <c r="N201" s="3935"/>
      <c r="O201" s="3935"/>
      <c r="P201" s="3936"/>
      <c r="Q201" s="2154"/>
      <c r="AM201" s="2493">
        <v>201</v>
      </c>
    </row>
    <row r="202" spans="1:39" ht="16" customHeight="1">
      <c r="A202" s="2075"/>
      <c r="B202" s="2136" t="s">
        <v>1725</v>
      </c>
      <c r="C202" s="2137"/>
      <c r="D202" s="2136"/>
      <c r="E202" s="2138"/>
      <c r="F202" s="2127"/>
      <c r="G202" s="2127"/>
      <c r="H202" s="2127"/>
      <c r="I202" s="2127"/>
      <c r="J202" s="2127"/>
      <c r="K202" s="2127"/>
      <c r="L202" s="2127"/>
      <c r="M202" s="2127"/>
      <c r="N202" s="2139"/>
      <c r="O202" s="2140"/>
      <c r="P202" s="2078"/>
      <c r="AM202" s="2492">
        <v>202</v>
      </c>
    </row>
    <row r="203" spans="1:39" ht="15" customHeight="1">
      <c r="A203" s="3878"/>
      <c r="B203" s="3879"/>
      <c r="C203" s="3879"/>
      <c r="D203" s="3879"/>
      <c r="E203" s="3879"/>
      <c r="F203" s="3879"/>
      <c r="G203" s="3879"/>
      <c r="H203" s="3879"/>
      <c r="I203" s="3879"/>
      <c r="J203" s="3879"/>
      <c r="K203" s="3879"/>
      <c r="L203" s="3879"/>
      <c r="M203" s="3879"/>
      <c r="N203" s="3879"/>
      <c r="O203" s="3879"/>
      <c r="P203" s="3880"/>
      <c r="Q203" s="2141"/>
      <c r="U203" s="2214"/>
      <c r="AM203" s="2493">
        <v>203</v>
      </c>
    </row>
    <row r="204" spans="1:39" ht="9.75" customHeight="1">
      <c r="AM204" s="2492">
        <v>204</v>
      </c>
    </row>
    <row r="205" spans="1:39" ht="9.75" customHeight="1" thickBot="1">
      <c r="AM205" s="2492">
        <v>205</v>
      </c>
    </row>
    <row r="206" spans="1:39" s="2075" customFormat="1" ht="16" customHeight="1" thickBot="1">
      <c r="A206" s="2098" t="s">
        <v>2489</v>
      </c>
      <c r="B206" s="2099" t="s">
        <v>3252</v>
      </c>
      <c r="D206" s="2099"/>
      <c r="E206" s="2099"/>
      <c r="K206" s="2389"/>
      <c r="L206" s="2108" t="s">
        <v>4866</v>
      </c>
      <c r="M206" s="2078">
        <v>10</v>
      </c>
      <c r="N206" s="2077"/>
      <c r="O206" s="2173">
        <f>IF(AND($H$11="New Affordability",$H$15="Revitalization/Redevelopment Plans"),MIN($M$206,O212+O222+O229),0)</f>
        <v>0</v>
      </c>
      <c r="P206" s="2173">
        <f>IF(AND($H$11="New Affordability",$H$15="Revitalization/Redevelopment Plans"),MIN($M$206,P212+P222+P229),0)</f>
        <v>0</v>
      </c>
      <c r="Q206" s="2110" t="s">
        <v>415</v>
      </c>
      <c r="R206" s="2386" t="s">
        <v>4957</v>
      </c>
      <c r="S206" s="2072"/>
      <c r="T206" s="2072"/>
      <c r="U206" s="2072"/>
      <c r="V206" s="2387" t="str">
        <f>$H$15</f>
        <v>Stable Communities</v>
      </c>
      <c r="AM206" s="2492">
        <v>206</v>
      </c>
    </row>
    <row r="207" spans="1:39" s="2075" customFormat="1" ht="16" customHeight="1">
      <c r="A207" s="2098"/>
      <c r="B207" s="2099"/>
      <c r="D207" s="2099"/>
      <c r="E207" s="2099"/>
      <c r="F207" s="2107" t="s">
        <v>4986</v>
      </c>
      <c r="L207" s="2143"/>
      <c r="M207" s="2078"/>
      <c r="N207" s="2077"/>
      <c r="O207" s="2088">
        <f>MIN(O212+O222+O229,M206)</f>
        <v>0</v>
      </c>
      <c r="P207" s="2088">
        <f>MIN(P212+P222+P229,M206)</f>
        <v>0</v>
      </c>
      <c r="Q207" s="2110"/>
      <c r="R207" s="2116"/>
      <c r="S207" s="2072"/>
      <c r="T207" s="2072"/>
      <c r="U207" s="2072"/>
      <c r="V207" s="2074"/>
      <c r="W207" s="2074"/>
      <c r="X207" s="2074"/>
      <c r="AM207" s="2492">
        <v>207</v>
      </c>
    </row>
    <row r="208" spans="1:39" ht="16" customHeight="1">
      <c r="A208" s="2110"/>
      <c r="B208" s="2075" t="s">
        <v>4685</v>
      </c>
      <c r="D208" s="2086"/>
      <c r="E208" s="2086"/>
      <c r="F208" s="2086"/>
      <c r="G208" s="2086"/>
      <c r="H208" s="2086"/>
      <c r="I208" s="2086"/>
      <c r="J208" s="2086"/>
      <c r="K208" s="2086"/>
      <c r="L208" s="2086"/>
      <c r="Q208" s="2196" t="str">
        <f>IF(OR($O213=$M213,$O213=0,$O213=""),"","*CHECK!*")</f>
        <v/>
      </c>
      <c r="R208" s="2116"/>
      <c r="S208" s="2072"/>
      <c r="T208" s="2072"/>
      <c r="U208" s="2072"/>
      <c r="AM208" s="2493">
        <v>208</v>
      </c>
    </row>
    <row r="209" spans="1:39" ht="16" customHeight="1">
      <c r="A209" s="2249"/>
      <c r="B209" s="2250" t="s">
        <v>1839</v>
      </c>
      <c r="C209" s="2130" t="s">
        <v>4867</v>
      </c>
      <c r="D209" s="2130"/>
      <c r="E209" s="2130"/>
      <c r="F209" s="2130"/>
      <c r="G209" s="2130"/>
      <c r="H209" s="2130"/>
      <c r="I209" s="2130"/>
      <c r="J209" s="2130"/>
      <c r="K209" s="2130"/>
      <c r="L209" s="2132"/>
      <c r="N209" s="4017" t="s">
        <v>4686</v>
      </c>
      <c r="O209" s="4018"/>
      <c r="P209" s="4019"/>
      <c r="S209" s="2072"/>
      <c r="T209" s="2072"/>
      <c r="U209" s="2072"/>
      <c r="AM209" s="2493">
        <v>209</v>
      </c>
    </row>
    <row r="210" spans="1:39" s="2075" customFormat="1" ht="16" customHeight="1">
      <c r="A210" s="2077"/>
      <c r="B210" s="2117" t="s">
        <v>1841</v>
      </c>
      <c r="C210" s="2075" t="s">
        <v>4687</v>
      </c>
      <c r="L210" s="2113"/>
      <c r="N210" s="4020" t="s">
        <v>4686</v>
      </c>
      <c r="O210" s="4021"/>
      <c r="P210" s="4022"/>
      <c r="S210" s="2072"/>
      <c r="T210" s="2072"/>
      <c r="U210" s="2072"/>
      <c r="AM210" s="2493">
        <v>210</v>
      </c>
    </row>
    <row r="211" spans="1:39" s="2075" customFormat="1" ht="16" customHeight="1">
      <c r="A211" s="2077"/>
      <c r="B211" s="2117" t="s">
        <v>2326</v>
      </c>
      <c r="C211" s="2075" t="s">
        <v>4868</v>
      </c>
      <c r="L211" s="2113"/>
      <c r="N211" s="4023" t="s">
        <v>4686</v>
      </c>
      <c r="O211" s="4024"/>
      <c r="P211" s="4025"/>
      <c r="Q211" s="1987"/>
      <c r="S211" s="2072"/>
      <c r="T211" s="2072"/>
      <c r="U211" s="2072"/>
      <c r="V211" s="1987"/>
      <c r="AM211" s="2493">
        <v>211</v>
      </c>
    </row>
    <row r="212" spans="1:39" s="2075" customFormat="1" ht="16" customHeight="1">
      <c r="A212" s="2078" t="s">
        <v>1836</v>
      </c>
      <c r="B212" s="2199" t="s">
        <v>4070</v>
      </c>
      <c r="L212" s="2172" t="s">
        <v>4866</v>
      </c>
      <c r="M212" s="2078">
        <v>6</v>
      </c>
      <c r="N212" s="2113"/>
      <c r="O212" s="2457">
        <f>MIN($M212,O213+O214+O215)</f>
        <v>0</v>
      </c>
      <c r="P212" s="2457">
        <f>MIN($M212,P213+P214+P215)</f>
        <v>0</v>
      </c>
      <c r="Q212" s="1987"/>
      <c r="S212" s="2072"/>
      <c r="T212" s="2072"/>
      <c r="U212" s="2072"/>
      <c r="V212" s="1987"/>
      <c r="AM212" s="2492">
        <v>212</v>
      </c>
    </row>
    <row r="213" spans="1:39" ht="16" customHeight="1">
      <c r="A213" s="2249"/>
      <c r="B213" s="2074" t="s">
        <v>1839</v>
      </c>
      <c r="C213" s="2199" t="s">
        <v>4869</v>
      </c>
      <c r="E213" s="2130"/>
      <c r="F213" s="2130"/>
      <c r="G213" s="2130"/>
      <c r="H213" s="2130"/>
      <c r="I213" s="2130"/>
      <c r="K213" s="2077"/>
      <c r="L213" s="2112" t="str">
        <f>IF(OR($O213=$M213,$O213=0,$O213=""),"","* * Check Score! * *")</f>
        <v/>
      </c>
      <c r="M213" s="2077">
        <v>2</v>
      </c>
      <c r="N213" s="2132"/>
      <c r="O213" s="1988"/>
      <c r="P213" s="2197"/>
      <c r="R213" s="2072"/>
      <c r="S213" s="2072"/>
      <c r="T213" s="2072"/>
      <c r="U213" s="2072"/>
      <c r="AM213" s="2493">
        <v>213</v>
      </c>
    </row>
    <row r="214" spans="1:39" ht="16" customHeight="1">
      <c r="A214" s="2145"/>
      <c r="B214" s="2074" t="s">
        <v>1841</v>
      </c>
      <c r="C214" s="2074" t="s">
        <v>4870</v>
      </c>
      <c r="E214" s="2232"/>
      <c r="F214" s="2232"/>
      <c r="G214" s="2232"/>
      <c r="H214" s="2232"/>
      <c r="I214" s="2232"/>
      <c r="J214" s="2232"/>
      <c r="K214" s="2232"/>
      <c r="L214" s="2112" t="str">
        <f t="shared" ref="L214" si="6">IF(OR($O214=$M214,$O214=0,$O214=""),"","* * Check Score! * *")</f>
        <v/>
      </c>
      <c r="M214" s="2077">
        <v>1</v>
      </c>
      <c r="N214" s="2113"/>
      <c r="O214" s="1985"/>
      <c r="P214" s="2239"/>
      <c r="Q214" s="2196" t="str">
        <f>IF(OR($O214=$M214,$O214=0,$O214=""),"","*CHECK!*")</f>
        <v/>
      </c>
      <c r="R214" s="2116"/>
      <c r="AM214" s="2492">
        <v>214</v>
      </c>
    </row>
    <row r="215" spans="1:39" ht="16" customHeight="1">
      <c r="A215" s="2249"/>
      <c r="B215" s="2074" t="s">
        <v>2326</v>
      </c>
      <c r="C215" s="2199" t="s">
        <v>4940</v>
      </c>
      <c r="E215" s="2130"/>
      <c r="F215" s="2130"/>
      <c r="G215" s="2130"/>
      <c r="H215" s="2130"/>
      <c r="I215" s="2130"/>
      <c r="K215" s="2077"/>
      <c r="L215" s="2172" t="s">
        <v>4866</v>
      </c>
      <c r="M215" s="2077">
        <v>3</v>
      </c>
      <c r="N215" s="2074"/>
      <c r="O215" s="2177">
        <f>MIN($M215,O216+O220+O221)</f>
        <v>0</v>
      </c>
      <c r="P215" s="2177">
        <f>MIN($M215,P216+P220+P221)</f>
        <v>0</v>
      </c>
      <c r="R215" s="2072"/>
      <c r="S215" s="2072"/>
      <c r="T215" s="2072"/>
      <c r="U215" s="2072"/>
      <c r="AM215" s="2492">
        <v>215</v>
      </c>
    </row>
    <row r="216" spans="1:39" ht="16" customHeight="1">
      <c r="A216" s="2077"/>
      <c r="C216" s="2118"/>
      <c r="D216" s="2129" t="s">
        <v>4941</v>
      </c>
      <c r="E216" s="2127"/>
      <c r="F216" s="2127"/>
      <c r="G216" s="2127"/>
      <c r="H216" s="2127"/>
      <c r="I216" s="2127"/>
      <c r="J216" s="2127"/>
      <c r="K216" s="2127"/>
      <c r="L216" s="2127"/>
      <c r="M216" s="2077">
        <v>3</v>
      </c>
      <c r="N216" s="2139"/>
      <c r="O216" s="2352">
        <f>IF(OR(O217="Yes", O218="Yes", O219="Yes"),$M216,0)</f>
        <v>0</v>
      </c>
      <c r="P216" s="2352">
        <f>IF(OR(P217="Yes", P218="Yes", P219="Yes"),$M216,0)</f>
        <v>0</v>
      </c>
      <c r="AM216" s="2492">
        <v>216</v>
      </c>
    </row>
    <row r="217" spans="1:39" ht="16" customHeight="1">
      <c r="A217" s="2145"/>
      <c r="D217" s="2108"/>
      <c r="E217" s="2130" t="s">
        <v>4871</v>
      </c>
      <c r="F217" s="2130"/>
      <c r="G217" s="2130"/>
      <c r="H217" s="2130"/>
      <c r="I217" s="2130"/>
      <c r="J217" s="2130"/>
      <c r="K217" s="2130"/>
      <c r="L217" s="2130"/>
      <c r="M217" s="2131"/>
      <c r="N217" s="2132"/>
      <c r="O217" s="1977"/>
      <c r="P217" s="2200"/>
      <c r="Q217" s="2196"/>
      <c r="R217" s="2116"/>
      <c r="AM217" s="2492">
        <v>217</v>
      </c>
    </row>
    <row r="218" spans="1:39" ht="15" customHeight="1">
      <c r="A218" s="2145"/>
      <c r="D218" s="2108"/>
      <c r="E218" s="2130" t="s">
        <v>4872</v>
      </c>
      <c r="F218" s="2130"/>
      <c r="G218" s="2130"/>
      <c r="H218" s="2130"/>
      <c r="I218" s="2130"/>
      <c r="J218" s="2130"/>
      <c r="K218" s="2130"/>
      <c r="L218" s="2130"/>
      <c r="M218" s="2131"/>
      <c r="N218" s="2132"/>
      <c r="O218" s="1989"/>
      <c r="P218" s="2202"/>
      <c r="Q218" s="2196"/>
      <c r="R218" s="2116"/>
      <c r="AM218" s="2492">
        <v>218</v>
      </c>
    </row>
    <row r="219" spans="1:39">
      <c r="A219" s="2145"/>
      <c r="C219" s="2118"/>
      <c r="D219" s="2108"/>
      <c r="E219" s="2130" t="s">
        <v>4873</v>
      </c>
      <c r="F219" s="2130"/>
      <c r="G219" s="2130"/>
      <c r="H219" s="2130"/>
      <c r="I219" s="2130"/>
      <c r="J219" s="2130"/>
      <c r="K219" s="2130"/>
      <c r="L219" s="2130"/>
      <c r="M219" s="2131"/>
      <c r="N219" s="2132"/>
      <c r="O219" s="2014"/>
      <c r="P219" s="2241"/>
      <c r="Q219" s="2196"/>
      <c r="R219" s="2116"/>
      <c r="AM219" s="2492">
        <v>219</v>
      </c>
    </row>
    <row r="220" spans="1:39" ht="16" customHeight="1">
      <c r="A220" s="2077"/>
      <c r="D220" s="2129" t="s">
        <v>4875</v>
      </c>
      <c r="F220" s="2127"/>
      <c r="G220" s="2127"/>
      <c r="H220" s="2127"/>
      <c r="I220" s="2127"/>
      <c r="J220" s="2127"/>
      <c r="K220" s="2127"/>
      <c r="L220" s="2112" t="str">
        <f t="shared" ref="L220:L221" si="7">IF(OR($O220=$M220,$O220=0,$O220=""),"","* * Check Score! * *")</f>
        <v/>
      </c>
      <c r="M220" s="2183">
        <v>1</v>
      </c>
      <c r="N220" s="2139"/>
      <c r="O220" s="1988"/>
      <c r="P220" s="2197"/>
      <c r="AM220" s="2492">
        <v>220</v>
      </c>
    </row>
    <row r="221" spans="1:39" ht="16" customHeight="1">
      <c r="A221" s="2077"/>
      <c r="D221" s="2129" t="s">
        <v>4968</v>
      </c>
      <c r="F221" s="2127"/>
      <c r="G221" s="2127"/>
      <c r="H221" s="2127"/>
      <c r="I221" s="2127"/>
      <c r="J221" s="2127"/>
      <c r="K221" s="2127"/>
      <c r="L221" s="2112" t="str">
        <f t="shared" si="7"/>
        <v/>
      </c>
      <c r="M221" s="2183">
        <v>2</v>
      </c>
      <c r="N221" s="2139"/>
      <c r="O221" s="1978"/>
      <c r="P221" s="2198"/>
      <c r="AM221" s="2493">
        <v>221</v>
      </c>
    </row>
    <row r="222" spans="1:39" ht="16" customHeight="1">
      <c r="A222" s="2078" t="s">
        <v>1838</v>
      </c>
      <c r="B222" s="2086" t="s">
        <v>3308</v>
      </c>
      <c r="C222" s="2127"/>
      <c r="D222" s="2127"/>
      <c r="E222" s="2127"/>
      <c r="F222" s="2127"/>
      <c r="G222" s="2127"/>
      <c r="H222" s="2127"/>
      <c r="I222" s="2127"/>
      <c r="J222" s="2127"/>
      <c r="K222" s="2127"/>
      <c r="L222" s="2172" t="s">
        <v>4866</v>
      </c>
      <c r="M222" s="2078">
        <v>3</v>
      </c>
      <c r="N222" s="2139"/>
      <c r="O222" s="2123">
        <f>IF(O223="yes",MIN($M222,O224+O228),0)</f>
        <v>0</v>
      </c>
      <c r="P222" s="2123">
        <f>IF(P223="yes",MIN($M222,P224+P228),0)</f>
        <v>0</v>
      </c>
      <c r="Q222" s="2110"/>
      <c r="R222" s="2116"/>
      <c r="AM222" s="2493">
        <v>222</v>
      </c>
    </row>
    <row r="223" spans="1:39" ht="16" customHeight="1">
      <c r="A223" s="2078"/>
      <c r="B223" s="2075" t="s">
        <v>4942</v>
      </c>
      <c r="C223" s="2127"/>
      <c r="D223" s="2127"/>
      <c r="E223" s="2127"/>
      <c r="F223" s="2127"/>
      <c r="G223" s="2127"/>
      <c r="H223" s="2127"/>
      <c r="I223" s="2127"/>
      <c r="J223" s="2127"/>
      <c r="K223" s="2127"/>
      <c r="L223" s="2172"/>
      <c r="M223" s="2078"/>
      <c r="N223" s="2139"/>
      <c r="O223" s="2014"/>
      <c r="P223" s="2241"/>
      <c r="Q223" s="2110"/>
      <c r="R223" s="2116"/>
      <c r="AM223" s="2493">
        <v>223</v>
      </c>
    </row>
    <row r="224" spans="1:39" ht="16" customHeight="1">
      <c r="A224" s="2098"/>
      <c r="B224" s="2250" t="s">
        <v>1839</v>
      </c>
      <c r="C224" s="2129" t="s">
        <v>4876</v>
      </c>
      <c r="D224" s="2127"/>
      <c r="E224" s="2127"/>
      <c r="F224" s="2127"/>
      <c r="G224" s="2127"/>
      <c r="H224" s="2127"/>
      <c r="L224" s="2172" t="s">
        <v>4866</v>
      </c>
      <c r="M224" s="2077">
        <v>3</v>
      </c>
      <c r="N224" s="2139"/>
      <c r="O224" s="2353">
        <f>MIN($M224,O225+O226+O227)</f>
        <v>0</v>
      </c>
      <c r="P224" s="2353">
        <f>MIN($M224,P225+P226+P227)</f>
        <v>0</v>
      </c>
      <c r="Q224" s="2110"/>
      <c r="R224" s="2116"/>
      <c r="AM224" s="2493">
        <v>224</v>
      </c>
    </row>
    <row r="225" spans="1:39" ht="16" customHeight="1">
      <c r="B225" s="2118" t="s">
        <v>1958</v>
      </c>
      <c r="C225" s="2074" t="s">
        <v>4943</v>
      </c>
      <c r="L225" s="2112" t="str">
        <f>IF(OR($O225=$M225,$O225=0,$O225=""),"","* * Check Score! * *")</f>
        <v/>
      </c>
      <c r="M225" s="2095">
        <v>1</v>
      </c>
      <c r="O225" s="1988"/>
      <c r="P225" s="2197"/>
      <c r="AM225" s="2492">
        <v>225</v>
      </c>
    </row>
    <row r="226" spans="1:39" ht="16" customHeight="1">
      <c r="B226" s="2118" t="s">
        <v>1959</v>
      </c>
      <c r="C226" s="2074" t="s">
        <v>4877</v>
      </c>
      <c r="L226" s="2112" t="str">
        <f t="shared" ref="L226" si="8">IF(OR($O226=$M226,$O226=0,$O226=""),"","* * Check Score! * *")</f>
        <v/>
      </c>
      <c r="M226" s="2095">
        <v>1</v>
      </c>
      <c r="O226" s="1977"/>
      <c r="P226" s="2200"/>
      <c r="AM226" s="2493">
        <v>226</v>
      </c>
    </row>
    <row r="227" spans="1:39" ht="16" customHeight="1">
      <c r="B227" s="2118" t="s">
        <v>1608</v>
      </c>
      <c r="C227" s="2074" t="s">
        <v>4944</v>
      </c>
      <c r="L227" s="2112"/>
      <c r="M227" s="2095">
        <v>1</v>
      </c>
      <c r="O227" s="1978"/>
      <c r="P227" s="2198"/>
      <c r="AM227" s="2492">
        <v>227</v>
      </c>
    </row>
    <row r="228" spans="1:39" ht="16" customHeight="1">
      <c r="A228" s="2098"/>
      <c r="B228" s="2117" t="s">
        <v>1841</v>
      </c>
      <c r="C228" s="2075" t="s">
        <v>4878</v>
      </c>
      <c r="D228" s="2172"/>
      <c r="E228" s="2127"/>
      <c r="F228" s="2127"/>
      <c r="G228" s="2127"/>
      <c r="H228" s="2127"/>
      <c r="M228" s="2077">
        <v>2</v>
      </c>
      <c r="N228" s="2251" t="str">
        <f>IF(OR(O$265&gt;0,O$238&gt;0),"Applicant is ineligible for points in this section!  Points claimed in Stable Communities or Community Designations.","")</f>
        <v>Applicant is ineligible for points in this section!  Points claimed in Stable Communities or Community Designations.</v>
      </c>
      <c r="O228" s="1978"/>
      <c r="P228" s="2198"/>
      <c r="Q228" s="2110"/>
      <c r="R228" s="2072"/>
      <c r="S228" s="2072"/>
      <c r="T228" s="2072"/>
      <c r="U228" s="2072"/>
      <c r="AM228" s="2492">
        <v>228</v>
      </c>
    </row>
    <row r="229" spans="1:39" ht="16" customHeight="1">
      <c r="A229" s="2078" t="s">
        <v>697</v>
      </c>
      <c r="B229" s="2086" t="s">
        <v>4825</v>
      </c>
      <c r="D229" s="2075"/>
      <c r="F229" s="2252"/>
      <c r="K229" s="2253"/>
      <c r="L229" s="2172" t="s">
        <v>4866</v>
      </c>
      <c r="M229" s="2078">
        <v>3</v>
      </c>
      <c r="N229" s="2113"/>
      <c r="O229" s="2254">
        <f>MIN($M229,O230+O231)</f>
        <v>0</v>
      </c>
      <c r="P229" s="2254">
        <f>MIN($M229,P230+P231)</f>
        <v>0</v>
      </c>
      <c r="Q229" s="2115"/>
      <c r="R229" s="2116"/>
      <c r="AM229" s="2492">
        <v>229</v>
      </c>
    </row>
    <row r="230" spans="1:39" ht="16" customHeight="1">
      <c r="A230" s="2075"/>
      <c r="B230" s="2250" t="s">
        <v>1839</v>
      </c>
      <c r="C230" s="2129" t="s">
        <v>3698</v>
      </c>
      <c r="D230" s="2127"/>
      <c r="E230" s="2127"/>
      <c r="F230" s="2127"/>
      <c r="G230" s="2127"/>
      <c r="H230" s="2127"/>
      <c r="I230" s="2127"/>
      <c r="J230" s="2127"/>
      <c r="K230" s="2127"/>
      <c r="L230" s="2172" t="s">
        <v>4866</v>
      </c>
      <c r="M230" s="2139">
        <v>2</v>
      </c>
      <c r="N230" s="2139"/>
      <c r="O230" s="1978"/>
      <c r="P230" s="2198"/>
      <c r="AM230" s="2492">
        <v>230</v>
      </c>
    </row>
    <row r="231" spans="1:39" ht="16" customHeight="1">
      <c r="A231" s="2075"/>
      <c r="B231" s="2117" t="s">
        <v>1841</v>
      </c>
      <c r="C231" s="2129" t="s">
        <v>4879</v>
      </c>
      <c r="D231" s="2127"/>
      <c r="E231" s="2127"/>
      <c r="F231" s="2127"/>
      <c r="G231" s="2127"/>
      <c r="H231" s="2127"/>
      <c r="I231" s="2127"/>
      <c r="J231" s="2127"/>
      <c r="K231" s="2127"/>
      <c r="L231" s="2127"/>
      <c r="M231" s="2139">
        <v>1</v>
      </c>
      <c r="N231" s="2139"/>
      <c r="O231" s="1978"/>
      <c r="P231" s="2198"/>
      <c r="AM231" s="2492">
        <v>231</v>
      </c>
    </row>
    <row r="232" spans="1:39" s="2075" customFormat="1" ht="16" customHeight="1">
      <c r="B232" s="2097" t="s">
        <v>4817</v>
      </c>
      <c r="L232" s="2074"/>
      <c r="M232" s="2077"/>
      <c r="N232" s="2095"/>
      <c r="O232" s="2088"/>
      <c r="P232" s="2087"/>
      <c r="AM232" s="2492">
        <v>232</v>
      </c>
    </row>
    <row r="233" spans="1:39" ht="104.25" customHeight="1">
      <c r="A233" s="3934" t="s">
        <v>5276</v>
      </c>
      <c r="B233" s="3935"/>
      <c r="C233" s="3935"/>
      <c r="D233" s="3935"/>
      <c r="E233" s="3935"/>
      <c r="F233" s="3935"/>
      <c r="G233" s="3935"/>
      <c r="H233" s="3935"/>
      <c r="I233" s="3935"/>
      <c r="J233" s="3935"/>
      <c r="K233" s="3935"/>
      <c r="L233" s="3935"/>
      <c r="M233" s="3935"/>
      <c r="N233" s="3935"/>
      <c r="O233" s="3935"/>
      <c r="P233" s="3936"/>
      <c r="Q233" s="2154"/>
      <c r="AM233" s="2493">
        <v>233</v>
      </c>
    </row>
    <row r="234" spans="1:39" s="2075" customFormat="1" ht="16" customHeight="1">
      <c r="B234" s="2181" t="s">
        <v>1725</v>
      </c>
      <c r="D234" s="2181"/>
      <c r="E234" s="2125"/>
      <c r="F234" s="2125"/>
      <c r="G234" s="2125"/>
      <c r="H234" s="2125"/>
      <c r="I234" s="2125"/>
      <c r="J234" s="2125"/>
      <c r="K234" s="2125"/>
      <c r="L234" s="2125"/>
      <c r="M234" s="2125"/>
      <c r="N234" s="2183"/>
      <c r="O234" s="2103"/>
      <c r="P234" s="2078"/>
      <c r="Q234" s="2074"/>
      <c r="AM234" s="2493">
        <v>234</v>
      </c>
    </row>
    <row r="235" spans="1:39" ht="30" customHeight="1">
      <c r="A235" s="3878"/>
      <c r="B235" s="3879"/>
      <c r="C235" s="3879"/>
      <c r="D235" s="3879"/>
      <c r="E235" s="3879"/>
      <c r="F235" s="3879"/>
      <c r="G235" s="3879"/>
      <c r="H235" s="3879"/>
      <c r="I235" s="3879"/>
      <c r="J235" s="3879"/>
      <c r="K235" s="3879"/>
      <c r="L235" s="3879"/>
      <c r="M235" s="3879"/>
      <c r="N235" s="3879"/>
      <c r="O235" s="3879"/>
      <c r="P235" s="3880"/>
      <c r="Q235" s="2141"/>
      <c r="AM235" s="2493">
        <v>235</v>
      </c>
    </row>
    <row r="236" spans="1:39" ht="9.75" customHeight="1">
      <c r="AM236" s="2492">
        <v>236</v>
      </c>
    </row>
    <row r="237" spans="1:39" ht="9.75" customHeight="1" thickBot="1">
      <c r="AM237" s="2492">
        <v>237</v>
      </c>
    </row>
    <row r="238" spans="1:39" s="2075" customFormat="1" ht="16" customHeight="1" thickBot="1">
      <c r="A238" s="2098" t="s">
        <v>2075</v>
      </c>
      <c r="B238" s="2099" t="s">
        <v>2491</v>
      </c>
      <c r="D238" s="2099"/>
      <c r="E238" s="2099"/>
      <c r="F238" s="2107" t="s">
        <v>424</v>
      </c>
      <c r="G238" s="2107" t="str">
        <f>'Part I-Project Identification'!$P$26</f>
        <v>Yes</v>
      </c>
      <c r="K238" s="2143" t="str">
        <f>IF(OR($O$206&gt;0,$O$265&gt;0,$O$304&gt;0),"Points already claimed in another restricted section!","")</f>
        <v/>
      </c>
      <c r="L238" s="2112" t="str">
        <f>IF(OR($O238=$M238,$O238=0,$O238=""),"",IF(OR($O238&lt;$J$251,$O238&gt;$J$251),"* * Check Score! * *",""))</f>
        <v/>
      </c>
      <c r="M238" s="2078">
        <v>10</v>
      </c>
      <c r="N238" s="2077"/>
      <c r="O238" s="2109">
        <f>IF($H$15="Stable Communities",J251,0)</f>
        <v>8</v>
      </c>
      <c r="P238" s="2109">
        <f>IF($H$16="Stable Communities",K251,0)</f>
        <v>0</v>
      </c>
      <c r="Q238" s="2110" t="s">
        <v>415</v>
      </c>
      <c r="R238" s="2386" t="s">
        <v>4957</v>
      </c>
      <c r="S238" s="2072"/>
      <c r="T238" s="2072"/>
      <c r="U238" s="2072"/>
      <c r="V238" s="2387" t="str">
        <f>$H$15</f>
        <v>Stable Communities</v>
      </c>
      <c r="W238" s="2074"/>
      <c r="X238" s="2074"/>
      <c r="AM238" s="2493">
        <v>238</v>
      </c>
    </row>
    <row r="239" spans="1:39" s="2075" customFormat="1" ht="16" customHeight="1">
      <c r="A239" s="2098"/>
      <c r="B239" s="2099"/>
      <c r="D239" s="2099"/>
      <c r="E239" s="2099"/>
      <c r="F239" s="2107" t="s">
        <v>4986</v>
      </c>
      <c r="L239" s="2143"/>
      <c r="M239" s="2078"/>
      <c r="N239" s="2077"/>
      <c r="O239" s="2088">
        <f>MAX(J251,O238)</f>
        <v>8</v>
      </c>
      <c r="P239" s="2088">
        <f>MAX(K251,P238)</f>
        <v>0</v>
      </c>
      <c r="Q239" s="2110"/>
      <c r="R239" s="2116"/>
      <c r="S239" s="2072"/>
      <c r="T239" s="2072"/>
      <c r="U239" s="2072"/>
      <c r="V239" s="2074"/>
      <c r="W239" s="2074"/>
      <c r="X239" s="2074"/>
      <c r="AM239" s="2492">
        <v>239</v>
      </c>
    </row>
    <row r="240" spans="1:39" s="2075" customFormat="1" ht="16" customHeight="1">
      <c r="A240" s="2098"/>
      <c r="B240" s="2086" t="s">
        <v>4880</v>
      </c>
      <c r="D240" s="2099"/>
      <c r="J240" s="2301" t="s">
        <v>2881</v>
      </c>
      <c r="K240" s="2354" t="s">
        <v>245</v>
      </c>
      <c r="L240" s="2143"/>
      <c r="M240" s="2078"/>
      <c r="N240" s="2077"/>
      <c r="O240" s="2088"/>
      <c r="P240" s="2088"/>
      <c r="Q240" s="2110"/>
      <c r="R240" s="2116"/>
      <c r="S240" s="2072"/>
      <c r="T240" s="2072"/>
      <c r="U240" s="2072"/>
      <c r="V240" s="2074"/>
      <c r="W240" s="2074"/>
      <c r="X240" s="2074"/>
      <c r="AM240" s="2492">
        <v>240</v>
      </c>
    </row>
    <row r="241" spans="1:39" s="2360" customFormat="1" ht="16" hidden="1" customHeight="1">
      <c r="A241" s="2358"/>
      <c r="B241" s="2357"/>
      <c r="C241" s="2359" t="s">
        <v>4884</v>
      </c>
      <c r="D241" s="2359"/>
      <c r="E241" s="2359"/>
      <c r="G241" s="4041" t="s">
        <v>4883</v>
      </c>
      <c r="H241" s="4042"/>
      <c r="I241" s="2361" t="s">
        <v>4886</v>
      </c>
      <c r="J241" s="2362"/>
      <c r="L241" s="2362"/>
      <c r="M241" s="2362"/>
      <c r="N241" s="2363"/>
      <c r="O241" s="2363"/>
      <c r="P241" s="2363"/>
      <c r="Q241" s="2364"/>
      <c r="R241" s="2116"/>
      <c r="S241" s="2365"/>
      <c r="T241" s="2365"/>
      <c r="U241" s="2365"/>
      <c r="V241" s="2366"/>
      <c r="W241" s="2366"/>
      <c r="X241" s="2366"/>
      <c r="AM241" s="2493">
        <v>241</v>
      </c>
    </row>
    <row r="242" spans="1:39" s="2360" customFormat="1" ht="16" hidden="1" customHeight="1">
      <c r="A242" s="2358"/>
      <c r="B242" s="2357"/>
      <c r="C242" s="2359" t="s">
        <v>4885</v>
      </c>
      <c r="D242" s="2359"/>
      <c r="E242" s="2359"/>
      <c r="H242" s="2362"/>
      <c r="I242" s="2362"/>
      <c r="J242" s="2362"/>
      <c r="K242" s="2362"/>
      <c r="L242" s="2362"/>
      <c r="M242" s="2362"/>
      <c r="N242" s="2363"/>
      <c r="O242" s="2363"/>
      <c r="P242" s="2363"/>
      <c r="Q242" s="2364"/>
      <c r="R242" s="2116"/>
      <c r="S242" s="2365"/>
      <c r="T242" s="2365"/>
      <c r="U242" s="2365"/>
      <c r="V242" s="2366"/>
      <c r="W242" s="2366"/>
      <c r="X242" s="2366"/>
      <c r="AM242" s="2493">
        <v>242</v>
      </c>
    </row>
    <row r="243" spans="1:39" s="2360" customFormat="1" ht="6" hidden="1" customHeight="1">
      <c r="A243" s="2358"/>
      <c r="B243" s="2367"/>
      <c r="D243" s="2367"/>
      <c r="E243" s="2367"/>
      <c r="L243" s="2368"/>
      <c r="M243" s="2369"/>
      <c r="N243" s="2370"/>
      <c r="O243" s="2371"/>
      <c r="P243" s="2371"/>
      <c r="Q243" s="2364"/>
      <c r="R243" s="2116"/>
      <c r="S243" s="2365"/>
      <c r="T243" s="2365"/>
      <c r="U243" s="2365"/>
      <c r="V243" s="2366"/>
      <c r="W243" s="2366"/>
      <c r="X243" s="2366"/>
      <c r="AM243" s="2493">
        <v>243</v>
      </c>
    </row>
    <row r="244" spans="1:39" s="2366" customFormat="1" ht="16" hidden="1" customHeight="1">
      <c r="C244" s="2372" t="s">
        <v>4706</v>
      </c>
      <c r="J244" s="4043"/>
      <c r="K244" s="4044"/>
      <c r="L244" s="4044"/>
      <c r="M244" s="4045"/>
      <c r="N244" s="2370"/>
      <c r="O244" s="2370"/>
      <c r="P244" s="2370"/>
      <c r="R244" s="2116"/>
      <c r="S244" s="2365"/>
      <c r="AM244" s="2493">
        <v>244</v>
      </c>
    </row>
    <row r="245" spans="1:39" s="2360" customFormat="1" ht="6" hidden="1" customHeight="1">
      <c r="A245" s="2358"/>
      <c r="B245" s="2367"/>
      <c r="D245" s="2367"/>
      <c r="E245" s="2367"/>
      <c r="L245" s="2368"/>
      <c r="M245" s="2369"/>
      <c r="N245" s="2370"/>
      <c r="O245" s="2371"/>
      <c r="P245" s="2371"/>
      <c r="Q245" s="2364"/>
      <c r="R245" s="2116"/>
      <c r="S245" s="2365"/>
      <c r="T245" s="2365"/>
      <c r="U245" s="2365"/>
      <c r="V245" s="2366"/>
      <c r="W245" s="2366"/>
      <c r="X245" s="2366"/>
      <c r="AM245" s="2492">
        <v>245</v>
      </c>
    </row>
    <row r="246" spans="1:39" s="2360" customFormat="1" ht="16" hidden="1" customHeight="1">
      <c r="A246" s="2358"/>
      <c r="D246" s="2373" t="s">
        <v>4881</v>
      </c>
      <c r="E246" s="2374"/>
      <c r="F246" s="2373"/>
      <c r="G246" s="2373"/>
      <c r="H246" s="2373"/>
      <c r="I246" s="2373"/>
      <c r="J246" s="2375">
        <v>2</v>
      </c>
      <c r="K246" s="2375">
        <v>3</v>
      </c>
      <c r="L246" s="2375">
        <v>4</v>
      </c>
      <c r="M246" s="2369"/>
      <c r="N246" s="2370"/>
      <c r="O246" s="2371"/>
      <c r="P246" s="2371"/>
      <c r="Q246" s="2364"/>
      <c r="R246" s="2116"/>
      <c r="S246" s="2365"/>
      <c r="T246" s="2365"/>
      <c r="U246" s="2365"/>
      <c r="V246" s="2366"/>
      <c r="W246" s="2366"/>
      <c r="X246" s="2366"/>
      <c r="AM246" s="2493">
        <v>246</v>
      </c>
    </row>
    <row r="247" spans="1:39" s="2360" customFormat="1" ht="16" hidden="1" customHeight="1">
      <c r="A247" s="2358"/>
      <c r="D247" s="2376" t="s">
        <v>4911</v>
      </c>
      <c r="E247" s="2367"/>
      <c r="J247" s="2377">
        <v>6</v>
      </c>
      <c r="K247" s="2377">
        <v>8</v>
      </c>
      <c r="L247" s="2377">
        <v>10</v>
      </c>
      <c r="M247" s="2369"/>
      <c r="N247" s="2370"/>
      <c r="O247" s="2371"/>
      <c r="P247" s="2371"/>
      <c r="Q247" s="2364"/>
      <c r="R247" s="2116"/>
      <c r="S247" s="2365"/>
      <c r="T247" s="2365"/>
      <c r="U247" s="2365"/>
      <c r="V247" s="2366"/>
      <c r="W247" s="2366"/>
      <c r="X247" s="2366"/>
      <c r="AM247" s="2492">
        <v>247</v>
      </c>
    </row>
    <row r="248" spans="1:39" s="2360" customFormat="1" ht="16" hidden="1" customHeight="1">
      <c r="A248" s="2358"/>
      <c r="D248" s="2376" t="s">
        <v>4912</v>
      </c>
      <c r="E248" s="2367"/>
      <c r="J248" s="2378">
        <v>5</v>
      </c>
      <c r="K248" s="2378">
        <v>7</v>
      </c>
      <c r="L248" s="2377">
        <v>9</v>
      </c>
      <c r="M248" s="2369"/>
      <c r="N248" s="2370"/>
      <c r="O248" s="2371"/>
      <c r="P248" s="2371"/>
      <c r="Q248" s="2364"/>
      <c r="R248" s="2116"/>
      <c r="S248" s="2365"/>
      <c r="T248" s="2365"/>
      <c r="U248" s="2365"/>
      <c r="V248" s="2366"/>
      <c r="W248" s="2366"/>
      <c r="X248" s="2366"/>
      <c r="AM248" s="2492">
        <v>248</v>
      </c>
    </row>
    <row r="249" spans="1:39" s="2075" customFormat="1" ht="16" customHeight="1">
      <c r="A249" s="2098"/>
      <c r="B249" s="2250" t="s">
        <v>1839</v>
      </c>
      <c r="C249" s="2107" t="s">
        <v>4945</v>
      </c>
      <c r="D249" s="2247"/>
      <c r="E249" s="2099"/>
      <c r="J249" s="2379">
        <f>COUNTIF(F254:F258,"Above 50th")</f>
        <v>3</v>
      </c>
      <c r="K249" s="2379">
        <f>COUNTIF(G254:G258,"Above 50th")</f>
        <v>0</v>
      </c>
      <c r="M249" s="2175"/>
      <c r="N249" s="2077"/>
      <c r="O249" s="2088"/>
      <c r="P249" s="2088"/>
      <c r="Q249" s="2110"/>
      <c r="R249" s="2116"/>
      <c r="S249" s="2072"/>
      <c r="T249" s="2072"/>
      <c r="U249" s="2072"/>
      <c r="V249" s="2074"/>
      <c r="W249" s="2074"/>
      <c r="X249" s="2074"/>
      <c r="AM249" s="2492">
        <v>249</v>
      </c>
    </row>
    <row r="250" spans="1:39" s="2075" customFormat="1" ht="16" customHeight="1">
      <c r="A250" s="2098"/>
      <c r="B250" s="2117" t="s">
        <v>1841</v>
      </c>
      <c r="C250" s="2107" t="s">
        <v>4946</v>
      </c>
      <c r="D250" s="2247"/>
      <c r="E250" s="2099"/>
      <c r="J250" s="2380" t="str">
        <f>IF(OR(I254="Near Census Tract",I255="Near Census Tract",I256="Near Census Tract",I257="Near Census Tract",I258="Near Census Tract"),"Yes","No")</f>
        <v>No</v>
      </c>
      <c r="K250" s="2380" t="str">
        <f>IF(OR(K254="Near Census Tract",K255="Near Census Tract",K256="Near Census Tract",K257="Near Census Tract",K258="Near Census Tract"),"Yes","No")</f>
        <v>No</v>
      </c>
      <c r="M250" s="2175"/>
      <c r="N250" s="2077"/>
      <c r="O250" s="2088"/>
      <c r="P250" s="2088"/>
      <c r="Q250" s="2110"/>
      <c r="R250" s="2116"/>
      <c r="S250" s="2072"/>
      <c r="T250" s="2072"/>
      <c r="U250" s="2072"/>
      <c r="V250" s="2074"/>
      <c r="W250" s="2074"/>
      <c r="X250" s="2074"/>
      <c r="AM250" s="2492">
        <v>250</v>
      </c>
    </row>
    <row r="251" spans="1:39" s="2075" customFormat="1" ht="16" customHeight="1">
      <c r="A251" s="2098"/>
      <c r="B251" s="2117" t="s">
        <v>2326</v>
      </c>
      <c r="C251" s="2107" t="s">
        <v>4947</v>
      </c>
      <c r="D251" s="2247"/>
      <c r="E251" s="2099"/>
      <c r="J251" s="2388">
        <f>IF(AND(J249=2,J250="No"),6,IF(AND(J249=3,J250="No"),8,IF(AND(J249&gt;=4,J250="No"),10,IF(AND(J249=2,J250="Yes"),5,IF(AND(J249=3,J250="Yes"),7,IF(AND(J249&gt;=4,J250="Yes"),9,0))))))</f>
        <v>8</v>
      </c>
      <c r="K251" s="2381">
        <f>IF(AND(K249=2,K250="No"),6,IF(AND(K249=3,K250="No"),8,IF(AND(K249&gt;=4,K250="No"),10,IF(AND(K249=2,K250="Yes"),5,IF(AND(K249=3,K250="Yes"),7,IF(AND(K249&gt;=4,K250="Yes"),9,0))))))</f>
        <v>0</v>
      </c>
      <c r="L251" s="2175"/>
      <c r="M251" s="2175"/>
      <c r="N251" s="2077"/>
      <c r="O251" s="2088"/>
      <c r="P251" s="2088"/>
      <c r="Q251" s="2110"/>
      <c r="R251" s="2116"/>
      <c r="S251" s="2072"/>
      <c r="T251" s="2072"/>
      <c r="U251" s="2072"/>
      <c r="V251" s="2074"/>
      <c r="W251" s="2074"/>
      <c r="X251" s="2074"/>
      <c r="AM251" s="2493">
        <v>251</v>
      </c>
    </row>
    <row r="252" spans="1:39" s="2075" customFormat="1" ht="13.5" customHeight="1">
      <c r="A252" s="2098"/>
      <c r="D252" s="2099"/>
      <c r="E252" s="2099"/>
      <c r="L252" s="2143"/>
      <c r="M252" s="2078"/>
      <c r="N252" s="2077"/>
      <c r="O252" s="2088"/>
      <c r="P252" s="2088"/>
      <c r="Q252" s="2110"/>
      <c r="R252" s="2116"/>
      <c r="S252" s="2439"/>
      <c r="T252" s="2439"/>
      <c r="U252" s="2439"/>
      <c r="V252" s="2439"/>
      <c r="W252" s="2439"/>
      <c r="X252" s="2074"/>
      <c r="AM252" s="2493">
        <v>252</v>
      </c>
    </row>
    <row r="253" spans="1:39" s="2075" customFormat="1" ht="30.75" customHeight="1">
      <c r="A253" s="2098"/>
      <c r="B253" s="4054" t="s">
        <v>5044</v>
      </c>
      <c r="C253" s="4054"/>
      <c r="D253" s="2440"/>
      <c r="E253" s="2137"/>
      <c r="F253" s="4046" t="s">
        <v>4948</v>
      </c>
      <c r="G253" s="4046"/>
      <c r="H253" s="2356" t="s">
        <v>4707</v>
      </c>
      <c r="I253" s="4046" t="s">
        <v>5069</v>
      </c>
      <c r="J253" s="4046"/>
      <c r="K253" s="4046"/>
      <c r="L253" s="4046"/>
      <c r="M253" s="4046"/>
      <c r="N253" s="4046"/>
      <c r="O253" s="4046"/>
      <c r="P253" s="4046"/>
      <c r="S253" s="2439"/>
      <c r="T253" s="2439"/>
      <c r="U253" s="2439"/>
      <c r="V253" s="2439"/>
      <c r="W253" s="2439"/>
      <c r="X253" s="2074"/>
      <c r="AM253" s="2493">
        <v>253</v>
      </c>
    </row>
    <row r="254" spans="1:39" s="2075" customFormat="1" ht="15" customHeight="1">
      <c r="A254" s="2098"/>
      <c r="C254" s="2075" t="s">
        <v>4949</v>
      </c>
      <c r="D254" s="2355"/>
      <c r="F254" s="2427" t="s">
        <v>5271</v>
      </c>
      <c r="G254" s="2430"/>
      <c r="H254" s="2441"/>
      <c r="I254" s="4047" t="s">
        <v>5273</v>
      </c>
      <c r="J254" s="4048"/>
      <c r="K254" s="4049"/>
      <c r="L254" s="4050"/>
      <c r="M254" s="4051" t="s">
        <v>5070</v>
      </c>
      <c r="N254" s="4052"/>
      <c r="O254" s="4052"/>
      <c r="P254" s="4053"/>
      <c r="R254" s="2434"/>
      <c r="S254" s="2435"/>
      <c r="T254" s="2435"/>
      <c r="U254" s="2435"/>
      <c r="V254" s="2435"/>
      <c r="W254" s="2435"/>
      <c r="X254" s="2074"/>
      <c r="AM254" s="2493">
        <v>254</v>
      </c>
    </row>
    <row r="255" spans="1:39" s="2075" customFormat="1" ht="15" customHeight="1">
      <c r="A255" s="2098"/>
      <c r="C255" s="2075" t="s">
        <v>4950</v>
      </c>
      <c r="D255" s="2355"/>
      <c r="F255" s="2428" t="s">
        <v>5272</v>
      </c>
      <c r="G255" s="2431"/>
      <c r="H255" s="2442"/>
      <c r="I255" s="4034" t="s">
        <v>5273</v>
      </c>
      <c r="J255" s="4035"/>
      <c r="K255" s="4036"/>
      <c r="L255" s="4037"/>
      <c r="M255" s="4038" t="s">
        <v>5070</v>
      </c>
      <c r="N255" s="4039"/>
      <c r="O255" s="4039"/>
      <c r="P255" s="4040"/>
      <c r="R255" s="2436"/>
      <c r="S255" s="2437"/>
      <c r="T255" s="2437"/>
      <c r="U255" s="2433"/>
      <c r="V255" s="2438"/>
      <c r="W255" s="2437"/>
      <c r="X255" s="2074"/>
      <c r="AM255" s="2492">
        <v>255</v>
      </c>
    </row>
    <row r="256" spans="1:39" s="2075" customFormat="1" ht="15" customHeight="1">
      <c r="A256" s="2098"/>
      <c r="C256" s="2075" t="s">
        <v>4951</v>
      </c>
      <c r="D256" s="2355"/>
      <c r="F256" s="2428" t="s">
        <v>5272</v>
      </c>
      <c r="G256" s="2431"/>
      <c r="H256" s="2442"/>
      <c r="I256" s="4034" t="s">
        <v>5273</v>
      </c>
      <c r="J256" s="4035"/>
      <c r="K256" s="4036"/>
      <c r="L256" s="4037"/>
      <c r="M256" s="4038" t="s">
        <v>5070</v>
      </c>
      <c r="N256" s="4039"/>
      <c r="O256" s="4039"/>
      <c r="P256" s="4040"/>
      <c r="R256" s="2436"/>
      <c r="S256" s="2437"/>
      <c r="T256" s="2437"/>
      <c r="U256" s="2433"/>
      <c r="V256" s="2438"/>
      <c r="W256" s="2437"/>
      <c r="X256" s="2074"/>
      <c r="AM256" s="2493">
        <v>256</v>
      </c>
    </row>
    <row r="257" spans="1:39" s="2075" customFormat="1" ht="15" customHeight="1">
      <c r="A257" s="2098"/>
      <c r="C257" s="2075" t="s">
        <v>4952</v>
      </c>
      <c r="D257" s="2099"/>
      <c r="F257" s="2428" t="s">
        <v>5272</v>
      </c>
      <c r="G257" s="2431"/>
      <c r="H257" s="2424">
        <v>2022</v>
      </c>
      <c r="I257" s="4034" t="s">
        <v>5273</v>
      </c>
      <c r="J257" s="4035"/>
      <c r="K257" s="4036"/>
      <c r="L257" s="4037"/>
      <c r="M257" s="4038" t="s">
        <v>5070</v>
      </c>
      <c r="N257" s="4039"/>
      <c r="O257" s="4039"/>
      <c r="P257" s="4040"/>
      <c r="R257" s="2436"/>
      <c r="S257" s="2437"/>
      <c r="T257" s="2437"/>
      <c r="U257" s="2433"/>
      <c r="V257" s="2438"/>
      <c r="W257" s="2437"/>
      <c r="X257" s="2074"/>
      <c r="AM257" s="2492">
        <v>257</v>
      </c>
    </row>
    <row r="258" spans="1:39" s="2075" customFormat="1" ht="15" customHeight="1">
      <c r="A258" s="2098"/>
      <c r="C258" s="2075" t="s">
        <v>4109</v>
      </c>
      <c r="D258" s="2099"/>
      <c r="F258" s="2429" t="s">
        <v>5271</v>
      </c>
      <c r="G258" s="2432"/>
      <c r="H258" s="2425">
        <v>2023</v>
      </c>
      <c r="I258" s="4056" t="s">
        <v>5273</v>
      </c>
      <c r="J258" s="4057"/>
      <c r="K258" s="4058"/>
      <c r="L258" s="4059"/>
      <c r="M258" s="4060" t="s">
        <v>5070</v>
      </c>
      <c r="N258" s="4061"/>
      <c r="O258" s="4061"/>
      <c r="P258" s="4062"/>
      <c r="R258" s="1222"/>
      <c r="S258" s="2072"/>
      <c r="T258" s="2072"/>
      <c r="U258" s="2072"/>
      <c r="V258" s="2074"/>
      <c r="W258" s="2074"/>
      <c r="X258" s="2074"/>
      <c r="AM258" s="2492">
        <v>258</v>
      </c>
    </row>
    <row r="259" spans="1:39" ht="16" customHeight="1">
      <c r="A259" s="2075"/>
      <c r="B259" s="2097" t="s">
        <v>4817</v>
      </c>
      <c r="C259" s="2075"/>
      <c r="D259" s="2075"/>
      <c r="E259" s="2075"/>
      <c r="F259" s="2075"/>
      <c r="G259" s="2075"/>
      <c r="H259" s="2075"/>
      <c r="I259" s="2075"/>
      <c r="J259" s="2075"/>
      <c r="K259" s="2075"/>
      <c r="M259" s="2077"/>
      <c r="O259" s="2088"/>
      <c r="R259" s="1222"/>
      <c r="AM259" s="2492">
        <v>259</v>
      </c>
    </row>
    <row r="260" spans="1:39" ht="15" customHeight="1">
      <c r="A260" s="3934" t="s">
        <v>5283</v>
      </c>
      <c r="B260" s="3935"/>
      <c r="C260" s="3935"/>
      <c r="D260" s="3935"/>
      <c r="E260" s="3935"/>
      <c r="F260" s="3935"/>
      <c r="G260" s="3935"/>
      <c r="H260" s="3935"/>
      <c r="I260" s="3935"/>
      <c r="J260" s="3935"/>
      <c r="K260" s="3935"/>
      <c r="L260" s="3935"/>
      <c r="M260" s="3935"/>
      <c r="N260" s="3935"/>
      <c r="O260" s="3935"/>
      <c r="P260" s="3936"/>
      <c r="Q260" s="2154"/>
      <c r="R260" s="1222"/>
      <c r="AM260" s="2492">
        <v>260</v>
      </c>
    </row>
    <row r="261" spans="1:39" ht="16" customHeight="1">
      <c r="A261" s="2075"/>
      <c r="B261" s="2136" t="s">
        <v>1725</v>
      </c>
      <c r="C261" s="2075"/>
      <c r="D261" s="2136"/>
      <c r="E261" s="2127"/>
      <c r="F261" s="2127"/>
      <c r="G261" s="2127"/>
      <c r="H261" s="2127"/>
      <c r="I261" s="2127"/>
      <c r="J261" s="2127"/>
      <c r="K261" s="2127"/>
      <c r="L261" s="2127"/>
      <c r="M261" s="2127"/>
      <c r="N261" s="2139"/>
      <c r="O261" s="2140"/>
      <c r="P261" s="2078"/>
      <c r="R261" s="1222"/>
      <c r="AM261" s="2493">
        <v>261</v>
      </c>
    </row>
    <row r="262" spans="1:39" ht="15" customHeight="1">
      <c r="A262" s="3878"/>
      <c r="B262" s="3879"/>
      <c r="C262" s="3879"/>
      <c r="D262" s="3879"/>
      <c r="E262" s="3879"/>
      <c r="F262" s="3879"/>
      <c r="G262" s="3879"/>
      <c r="H262" s="3879"/>
      <c r="I262" s="3879"/>
      <c r="J262" s="3879"/>
      <c r="K262" s="3879"/>
      <c r="L262" s="3879"/>
      <c r="M262" s="3879"/>
      <c r="N262" s="3879"/>
      <c r="O262" s="3879"/>
      <c r="P262" s="3880"/>
      <c r="Q262" s="2141"/>
      <c r="R262" s="1222"/>
      <c r="AM262" s="2493">
        <v>262</v>
      </c>
    </row>
    <row r="263" spans="1:39" ht="9.75" customHeight="1">
      <c r="AM263" s="2493">
        <v>263</v>
      </c>
    </row>
    <row r="264" spans="1:39" ht="9.75" customHeight="1" thickBot="1">
      <c r="AM264" s="2493">
        <v>264</v>
      </c>
    </row>
    <row r="265" spans="1:39" s="2075" customFormat="1" ht="16" customHeight="1" thickBot="1">
      <c r="A265" s="2098" t="s">
        <v>3282</v>
      </c>
      <c r="B265" s="2099" t="s">
        <v>3254</v>
      </c>
      <c r="D265" s="2099"/>
      <c r="E265" s="2099"/>
      <c r="G265" s="2142"/>
      <c r="J265" s="2143" t="str">
        <f>IF(OR($O$206&gt;0,$O$238&gt;0,$O$304&gt;0),"Points already claimed in another restricted section!","")</f>
        <v>Points already claimed in another restricted section!</v>
      </c>
      <c r="L265" s="2273" t="str">
        <f>IF(AND(O265&gt;0,NOT($H$11="New Affordability")), "Not New Affordability!","")</f>
        <v/>
      </c>
      <c r="M265" s="2078">
        <v>10</v>
      </c>
      <c r="N265" s="2077"/>
      <c r="O265" s="2109">
        <f>IF(AND($H$11="New Affordability",$H$15="Community Designations"),IF(OR(O$206&gt;0,O$238&gt;0,O$304&gt;0),0,IF(OR(O266="Yes",O267="Yes"),$M$265,0)),0)</f>
        <v>0</v>
      </c>
      <c r="P265" s="2109">
        <f>IF(AND($H$12="New Affordability",$H$16="Community Designations"),IF(OR(P$206&gt;0,P$238&gt;0,P$304&gt;0),0,IF(OR(P266="Yes",P267="Yes"),$M$265,0)),0)</f>
        <v>0</v>
      </c>
      <c r="Q265" s="2110" t="s">
        <v>415</v>
      </c>
      <c r="R265" s="2386" t="s">
        <v>4957</v>
      </c>
      <c r="S265" s="2072"/>
      <c r="T265" s="2072"/>
      <c r="U265" s="2072"/>
      <c r="V265" s="2387" t="str">
        <f>$H$15</f>
        <v>Stable Communities</v>
      </c>
      <c r="AM265" s="2492">
        <v>265</v>
      </c>
    </row>
    <row r="266" spans="1:39" ht="16" customHeight="1">
      <c r="A266" s="2078" t="s">
        <v>1836</v>
      </c>
      <c r="B266" s="2148" t="s">
        <v>3180</v>
      </c>
      <c r="D266" s="2129"/>
      <c r="E266" s="2129"/>
      <c r="F266" s="2129"/>
      <c r="G266" s="2129"/>
      <c r="H266" s="2129"/>
      <c r="L266" s="2129"/>
      <c r="M266" s="4055" t="str">
        <f>IF(AND(O266="Yes",O267="Yes"),"Only one category can be selected!","")</f>
        <v/>
      </c>
      <c r="N266" s="2113"/>
      <c r="O266" s="1980"/>
      <c r="P266" s="2119"/>
      <c r="Q266" s="1992"/>
      <c r="R266" s="2072"/>
      <c r="S266" s="2072"/>
      <c r="T266" s="2072"/>
      <c r="U266" s="2072"/>
      <c r="V266" s="2072"/>
      <c r="AM266" s="2493">
        <v>266</v>
      </c>
    </row>
    <row r="267" spans="1:39" ht="16" customHeight="1">
      <c r="A267" s="2078" t="s">
        <v>1838</v>
      </c>
      <c r="B267" s="2148" t="s">
        <v>3181</v>
      </c>
      <c r="D267" s="2129"/>
      <c r="L267" s="2129"/>
      <c r="M267" s="4055"/>
      <c r="N267" s="2113"/>
      <c r="O267" s="1979"/>
      <c r="P267" s="2122"/>
      <c r="Q267" s="1992"/>
      <c r="R267" s="2072"/>
      <c r="S267" s="2072"/>
      <c r="T267" s="2072"/>
      <c r="U267" s="2072"/>
      <c r="V267" s="2072"/>
      <c r="AM267" s="2492">
        <v>267</v>
      </c>
    </row>
    <row r="268" spans="1:39" ht="16" customHeight="1">
      <c r="A268" s="2075"/>
      <c r="B268" s="2097" t="s">
        <v>4817</v>
      </c>
      <c r="C268" s="2075"/>
      <c r="D268" s="2075"/>
      <c r="E268" s="2075"/>
      <c r="F268" s="2075"/>
      <c r="G268" s="2075"/>
      <c r="H268" s="2075"/>
      <c r="I268" s="2075"/>
      <c r="J268" s="2075"/>
      <c r="K268" s="2075"/>
      <c r="M268" s="2077"/>
      <c r="O268" s="2088"/>
      <c r="R268" s="2072"/>
      <c r="S268" s="2072"/>
      <c r="T268" s="2072"/>
      <c r="U268" s="2072"/>
      <c r="V268" s="2072"/>
      <c r="AM268" s="2492">
        <v>268</v>
      </c>
    </row>
    <row r="269" spans="1:39" ht="15" customHeight="1">
      <c r="A269" s="3934" t="s">
        <v>5280</v>
      </c>
      <c r="B269" s="3935"/>
      <c r="C269" s="3935"/>
      <c r="D269" s="3935"/>
      <c r="E269" s="3935"/>
      <c r="F269" s="3935"/>
      <c r="G269" s="3935"/>
      <c r="H269" s="3935"/>
      <c r="I269" s="3935"/>
      <c r="J269" s="3935"/>
      <c r="K269" s="3935"/>
      <c r="L269" s="3935"/>
      <c r="M269" s="3935"/>
      <c r="N269" s="3935"/>
      <c r="O269" s="3935"/>
      <c r="P269" s="3936"/>
      <c r="Q269" s="2154"/>
      <c r="AM269" s="2492">
        <v>269</v>
      </c>
    </row>
    <row r="270" spans="1:39" ht="16" customHeight="1">
      <c r="A270" s="2075"/>
      <c r="B270" s="2136" t="s">
        <v>1725</v>
      </c>
      <c r="C270" s="2075"/>
      <c r="D270" s="2136"/>
      <c r="E270" s="2127"/>
      <c r="F270" s="2127"/>
      <c r="G270" s="2127"/>
      <c r="H270" s="2127"/>
      <c r="I270" s="2127"/>
      <c r="J270" s="2127"/>
      <c r="K270" s="2127"/>
      <c r="L270" s="2127"/>
      <c r="M270" s="2127"/>
      <c r="N270" s="2139"/>
      <c r="O270" s="2140"/>
      <c r="P270" s="2078"/>
      <c r="AM270" s="2493">
        <v>270</v>
      </c>
    </row>
    <row r="271" spans="1:39" ht="15" customHeight="1">
      <c r="A271" s="3878"/>
      <c r="B271" s="3879"/>
      <c r="C271" s="3879"/>
      <c r="D271" s="3879"/>
      <c r="E271" s="3879"/>
      <c r="F271" s="3879"/>
      <c r="G271" s="3879"/>
      <c r="H271" s="3879"/>
      <c r="I271" s="3879"/>
      <c r="J271" s="3879"/>
      <c r="K271" s="3879"/>
      <c r="L271" s="3879"/>
      <c r="M271" s="3879"/>
      <c r="N271" s="3879"/>
      <c r="O271" s="3879"/>
      <c r="P271" s="3880"/>
      <c r="Q271" s="2141"/>
      <c r="AM271" s="2493">
        <v>271</v>
      </c>
    </row>
    <row r="272" spans="1:39" ht="9.75" customHeight="1">
      <c r="AM272" s="2493">
        <v>272</v>
      </c>
    </row>
    <row r="273" spans="1:39" ht="9.75" customHeight="1" thickBot="1">
      <c r="AM273" s="2493">
        <v>273</v>
      </c>
    </row>
    <row r="274" spans="1:39" ht="16" customHeight="1" thickBot="1">
      <c r="A274" s="2098" t="s">
        <v>3283</v>
      </c>
      <c r="B274" s="2099" t="s">
        <v>3906</v>
      </c>
      <c r="E274" s="2116" t="str">
        <f>IF(AND(O274&gt;0,NOT($H$11="New Affordability"),NOT($C$16="9%")), "Ineligible, not New Affordability and 9%!","")</f>
        <v/>
      </c>
      <c r="G274" s="2245" t="str">
        <f>$C$16</f>
        <v>4%</v>
      </c>
      <c r="H274" s="2171" t="str">
        <f>$L$11</f>
        <v>Atlanta Metro</v>
      </c>
      <c r="K274" s="4063" t="s">
        <v>4724</v>
      </c>
      <c r="L274" s="2108" t="s">
        <v>4866</v>
      </c>
      <c r="M274" s="2078">
        <v>4</v>
      </c>
      <c r="N274" s="2077"/>
      <c r="O274" s="2109">
        <f>IF(AND($H$11="New Affordability",O275="Yes",$G$274="9%",OR($H$274="Atlanta Metro",$H$274="Other Metro")),4,IF(AND($H$11="New Affordability",O275="Yes"),3,0))</f>
        <v>0</v>
      </c>
      <c r="P274" s="2109">
        <f>IF(AND($H$12="New Affordability", P275="Yes", L278="Yes", M278="Yes", $C$16="9%", OR($L$12="Atlanta Metro",$L$12="Other Metro")),4,IF(OR(AND($L$12="Rural", $C$16="9%", P275="Yes",L278="Yes", M278="Yes"),AND($C$16="4%", P275="Yes",  L278="Yes", M278="Yes")),3,0))</f>
        <v>0</v>
      </c>
      <c r="Q274" s="2110" t="s">
        <v>415</v>
      </c>
      <c r="R274" s="2116"/>
      <c r="S274" s="2072"/>
      <c r="T274" s="2072"/>
      <c r="U274" s="2072"/>
      <c r="V274" s="2072"/>
      <c r="W274" s="2274"/>
      <c r="X274" s="2274"/>
      <c r="AM274" s="2492">
        <v>274</v>
      </c>
    </row>
    <row r="275" spans="1:39" ht="16" customHeight="1">
      <c r="A275" s="2275"/>
      <c r="B275" s="2130" t="s">
        <v>4150</v>
      </c>
      <c r="C275" s="2130"/>
      <c r="D275" s="2130"/>
      <c r="E275" s="2130"/>
      <c r="F275" s="2130"/>
      <c r="K275" s="4063"/>
      <c r="L275" s="4073" t="s">
        <v>5116</v>
      </c>
      <c r="N275" s="2132"/>
      <c r="O275" s="1993"/>
      <c r="P275" s="2219"/>
      <c r="Q275" s="2276"/>
      <c r="R275" s="2225"/>
      <c r="S275" s="2225"/>
      <c r="T275" s="2225"/>
      <c r="W275" s="2225"/>
      <c r="X275" s="2225"/>
      <c r="Y275" s="2225"/>
      <c r="Z275" s="2225"/>
      <c r="AA275" s="2225"/>
      <c r="AM275" s="2493">
        <v>275</v>
      </c>
    </row>
    <row r="276" spans="1:39" ht="16" customHeight="1">
      <c r="A276" s="2275"/>
      <c r="B276" s="2130"/>
      <c r="C276" s="2130"/>
      <c r="D276" s="2130"/>
      <c r="E276" s="2130"/>
      <c r="F276" s="2130"/>
      <c r="G276" s="2095" t="s">
        <v>4688</v>
      </c>
      <c r="H276" s="3949" t="s">
        <v>573</v>
      </c>
      <c r="I276" s="3949"/>
      <c r="J276" s="3949"/>
      <c r="K276" s="4064"/>
      <c r="L276" s="4073"/>
      <c r="M276" s="4074" t="s">
        <v>5117</v>
      </c>
      <c r="N276" s="4074"/>
      <c r="O276" s="4074"/>
      <c r="P276" s="4074"/>
      <c r="Q276" s="2225"/>
      <c r="R276" s="2225"/>
      <c r="S276" s="2225"/>
      <c r="T276" s="2225"/>
      <c r="W276" s="2225"/>
      <c r="X276" s="2225"/>
      <c r="Y276" s="2225"/>
      <c r="Z276" s="2225"/>
      <c r="AA276" s="2225"/>
      <c r="AM276" s="2492">
        <v>276</v>
      </c>
    </row>
    <row r="277" spans="1:39" ht="15" customHeight="1">
      <c r="A277" s="2275"/>
      <c r="B277" s="2275"/>
      <c r="D277" s="2214" t="s">
        <v>4151</v>
      </c>
      <c r="G277" s="2542"/>
      <c r="H277" s="4067"/>
      <c r="I277" s="4068"/>
      <c r="J277" s="4069"/>
      <c r="K277" s="2540"/>
      <c r="L277" s="4073"/>
      <c r="M277" s="4074"/>
      <c r="N277" s="4074"/>
      <c r="O277" s="4074"/>
      <c r="P277" s="4074"/>
      <c r="Q277" s="2225"/>
      <c r="R277" s="2225"/>
      <c r="S277" s="2225"/>
      <c r="T277" s="2225"/>
      <c r="W277" s="2225"/>
      <c r="X277" s="2225"/>
      <c r="Y277" s="2225"/>
      <c r="Z277" s="2225"/>
      <c r="AA277" s="2225"/>
      <c r="AM277" s="2492">
        <v>277</v>
      </c>
    </row>
    <row r="278" spans="1:39" s="2075" customFormat="1" ht="15" customHeight="1">
      <c r="A278" s="2158"/>
      <c r="B278" s="2275"/>
      <c r="D278" s="2107" t="s">
        <v>4152</v>
      </c>
      <c r="G278" s="2543"/>
      <c r="H278" s="4070"/>
      <c r="I278" s="4071"/>
      <c r="J278" s="4072"/>
      <c r="K278" s="2541"/>
      <c r="L278" s="2544"/>
      <c r="M278" s="4075"/>
      <c r="N278" s="4075"/>
      <c r="O278" s="4075"/>
      <c r="P278" s="4075"/>
      <c r="AM278" s="2492">
        <v>278</v>
      </c>
    </row>
    <row r="279" spans="1:39" ht="16" hidden="1" customHeight="1">
      <c r="A279" s="2075"/>
      <c r="D279" s="2075"/>
      <c r="E279" s="2075"/>
      <c r="F279" s="2078"/>
      <c r="G279" s="2078"/>
      <c r="H279" s="2078"/>
      <c r="I279" s="2078"/>
      <c r="J279" s="2107"/>
      <c r="K279" s="2107"/>
      <c r="L279" s="2107"/>
      <c r="M279" s="2077"/>
      <c r="N279" s="2078"/>
      <c r="P279" s="2088"/>
      <c r="AM279" s="2492">
        <v>279</v>
      </c>
    </row>
    <row r="280" spans="1:39" ht="16" customHeight="1">
      <c r="A280" s="2075"/>
      <c r="B280" s="2097" t="s">
        <v>4817</v>
      </c>
      <c r="C280" s="2075"/>
      <c r="D280" s="2075"/>
      <c r="E280" s="2075"/>
      <c r="F280" s="2075"/>
      <c r="G280" s="2075"/>
      <c r="H280" s="2075"/>
      <c r="I280" s="2075"/>
      <c r="J280" s="2075"/>
      <c r="K280" s="2075"/>
      <c r="M280" s="2077"/>
      <c r="O280" s="2088"/>
      <c r="AM280" s="2492">
        <v>280</v>
      </c>
    </row>
    <row r="281" spans="1:39" ht="30" customHeight="1">
      <c r="A281" s="3934" t="s">
        <v>5280</v>
      </c>
      <c r="B281" s="3935"/>
      <c r="C281" s="3935"/>
      <c r="D281" s="3935"/>
      <c r="E281" s="3935"/>
      <c r="F281" s="3935"/>
      <c r="G281" s="3935"/>
      <c r="H281" s="3935"/>
      <c r="I281" s="3935"/>
      <c r="J281" s="3935"/>
      <c r="K281" s="3935"/>
      <c r="L281" s="3935"/>
      <c r="M281" s="3935"/>
      <c r="N281" s="3935"/>
      <c r="O281" s="3935"/>
      <c r="P281" s="3936"/>
      <c r="Q281" s="2154"/>
      <c r="AM281" s="2492">
        <v>281</v>
      </c>
    </row>
    <row r="282" spans="1:39" ht="16" customHeight="1">
      <c r="B282" s="2136" t="s">
        <v>1725</v>
      </c>
      <c r="C282" s="2137"/>
      <c r="D282" s="2136"/>
      <c r="E282" s="2138"/>
      <c r="F282" s="2127"/>
      <c r="G282" s="2127"/>
      <c r="H282" s="2127"/>
      <c r="I282" s="2127"/>
      <c r="J282" s="2127"/>
      <c r="K282" s="2127"/>
      <c r="L282" s="2127"/>
      <c r="M282" s="2127"/>
      <c r="N282" s="2139"/>
      <c r="O282" s="2140"/>
      <c r="P282" s="2078"/>
      <c r="AM282" s="2493">
        <v>282</v>
      </c>
    </row>
    <row r="283" spans="1:39" ht="15" customHeight="1">
      <c r="A283" s="3878"/>
      <c r="B283" s="3879"/>
      <c r="C283" s="3879"/>
      <c r="D283" s="3879"/>
      <c r="E283" s="3879"/>
      <c r="F283" s="3879"/>
      <c r="G283" s="3879"/>
      <c r="H283" s="3879"/>
      <c r="I283" s="3879"/>
      <c r="J283" s="3879"/>
      <c r="K283" s="3879"/>
      <c r="L283" s="3879"/>
      <c r="M283" s="3879"/>
      <c r="N283" s="3879"/>
      <c r="O283" s="3879"/>
      <c r="P283" s="3880"/>
      <c r="Q283" s="2141"/>
      <c r="AM283" s="2493">
        <v>283</v>
      </c>
    </row>
    <row r="284" spans="1:39" ht="9.75" customHeight="1">
      <c r="AM284" s="2493">
        <v>284</v>
      </c>
    </row>
    <row r="285" spans="1:39" ht="9.75" customHeight="1" thickBot="1">
      <c r="AM285" s="2492">
        <v>285</v>
      </c>
    </row>
    <row r="286" spans="1:39" ht="16" customHeight="1" thickBot="1">
      <c r="A286" s="2098" t="s">
        <v>3281</v>
      </c>
      <c r="B286" s="2099" t="s">
        <v>3834</v>
      </c>
      <c r="G286" s="2111"/>
      <c r="I286" s="2143" t="str">
        <f>IF($O$274&gt;0,"Points already claimed in another restricted section!","")</f>
        <v/>
      </c>
      <c r="K286" s="2273" t="str">
        <f>IF(AND(SUM(O288,O291,O295)&gt;0,NOT($H$11="New Affordability"),NOT($C$16="9%")), "Not 9% New Affordability!","")</f>
        <v/>
      </c>
      <c r="L286" s="2108" t="s">
        <v>4866</v>
      </c>
      <c r="M286" s="2078">
        <v>5</v>
      </c>
      <c r="N286" s="2077"/>
      <c r="O286" s="2109">
        <f>IF(AND(O274=0,$H$11="New Affordability",$C$16="9%"),MIN($M286,MAX(O288,O291,O295)),0)</f>
        <v>0</v>
      </c>
      <c r="P286" s="2109">
        <f>IF(AND(P274=0,$H$12="New Affordability",$C$16="9%"),MIN($M286,MAX(P288,P291,P295)),0)</f>
        <v>0</v>
      </c>
      <c r="Q286" s="2110" t="s">
        <v>415</v>
      </c>
      <c r="R286" s="2116"/>
      <c r="S286" s="2072"/>
      <c r="T286" s="2072"/>
      <c r="U286" s="2072"/>
      <c r="V286" s="2072"/>
      <c r="W286" s="2274"/>
      <c r="X286" s="2274"/>
      <c r="AM286" s="2492">
        <v>286</v>
      </c>
    </row>
    <row r="287" spans="1:39" ht="15" customHeight="1">
      <c r="B287" s="2074" t="s">
        <v>4887</v>
      </c>
      <c r="AM287" s="2493">
        <v>287</v>
      </c>
    </row>
    <row r="288" spans="1:39" s="2075" customFormat="1" ht="16" customHeight="1">
      <c r="A288" s="2078" t="s">
        <v>1836</v>
      </c>
      <c r="B288" s="2086" t="s">
        <v>4888</v>
      </c>
      <c r="L288" s="2172" t="s">
        <v>4866</v>
      </c>
      <c r="M288" s="2077">
        <v>5</v>
      </c>
      <c r="N288" s="2113"/>
      <c r="O288" s="1984"/>
      <c r="P288" s="2237"/>
      <c r="Q288" s="2115" t="str">
        <f>IF(OR($O288&lt;=$M288,$O288=""),"","*CHECK!*")</f>
        <v/>
      </c>
      <c r="R288" s="2116"/>
      <c r="S288" s="2072"/>
      <c r="T288" s="2072"/>
      <c r="U288" s="2072"/>
      <c r="V288" s="2072"/>
      <c r="AM288" s="2492">
        <v>288</v>
      </c>
    </row>
    <row r="289" spans="1:39" ht="15.75" customHeight="1">
      <c r="B289" s="2117" t="s">
        <v>1839</v>
      </c>
      <c r="C289" s="2074" t="s">
        <v>4953</v>
      </c>
      <c r="O289" s="1988"/>
      <c r="P289" s="2197"/>
      <c r="AM289" s="2492">
        <v>289</v>
      </c>
    </row>
    <row r="290" spans="1:39" ht="15.75" customHeight="1">
      <c r="B290" s="2120" t="s">
        <v>1841</v>
      </c>
      <c r="C290" s="2074" t="s">
        <v>5042</v>
      </c>
      <c r="O290" s="1991"/>
      <c r="P290" s="2198"/>
      <c r="AM290" s="2493">
        <v>290</v>
      </c>
    </row>
    <row r="291" spans="1:39" s="2075" customFormat="1" ht="16" customHeight="1">
      <c r="A291" s="2078" t="s">
        <v>1838</v>
      </c>
      <c r="B291" s="2086" t="s">
        <v>4889</v>
      </c>
      <c r="L291" s="2172" t="s">
        <v>4866</v>
      </c>
      <c r="M291" s="2077">
        <v>3</v>
      </c>
      <c r="N291" s="2113"/>
      <c r="O291" s="1986"/>
      <c r="P291" s="2189"/>
      <c r="Q291" s="2115" t="str">
        <f>IF(OR($O291&lt;=$M291,$O291=""),"","*CHECK!*")</f>
        <v/>
      </c>
      <c r="R291" s="2116"/>
      <c r="AM291" s="2493">
        <v>291</v>
      </c>
    </row>
    <row r="292" spans="1:39" ht="15.75" customHeight="1">
      <c r="B292" s="2250" t="s">
        <v>1839</v>
      </c>
      <c r="C292" s="2074" t="s">
        <v>4891</v>
      </c>
      <c r="O292" s="1988"/>
      <c r="P292" s="2187"/>
      <c r="AM292" s="2493">
        <v>292</v>
      </c>
    </row>
    <row r="293" spans="1:39" ht="15" customHeight="1">
      <c r="B293" s="2117" t="s">
        <v>1841</v>
      </c>
      <c r="C293" s="2074" t="s">
        <v>4999</v>
      </c>
      <c r="L293" s="2421">
        <f>O179</f>
        <v>4</v>
      </c>
      <c r="O293" s="2426"/>
      <c r="P293" s="2200"/>
      <c r="AM293" s="2493">
        <v>293</v>
      </c>
    </row>
    <row r="294" spans="1:39" ht="15.75" customHeight="1">
      <c r="B294" s="2117" t="s">
        <v>2326</v>
      </c>
      <c r="C294" s="2074" t="s">
        <v>5043</v>
      </c>
      <c r="O294" s="1978"/>
      <c r="P294" s="2187"/>
      <c r="AM294" s="2492">
        <v>294</v>
      </c>
    </row>
    <row r="295" spans="1:39" ht="16" customHeight="1">
      <c r="A295" s="2078" t="s">
        <v>697</v>
      </c>
      <c r="B295" s="2086" t="s">
        <v>4890</v>
      </c>
      <c r="G295" s="2107"/>
      <c r="I295" s="2111"/>
      <c r="L295" s="2172" t="s">
        <v>4866</v>
      </c>
      <c r="M295" s="2077">
        <v>3</v>
      </c>
      <c r="N295" s="2113"/>
      <c r="O295" s="1988"/>
      <c r="P295" s="2197"/>
      <c r="Q295" s="2115" t="str">
        <f>IF(OR($O295&lt;=$M295,$O295=""),"","*CHECK!*")</f>
        <v/>
      </c>
      <c r="R295" s="2116"/>
      <c r="AM295" s="2492">
        <v>295</v>
      </c>
    </row>
    <row r="296" spans="1:39" ht="15.75" customHeight="1">
      <c r="C296" s="2074" t="s">
        <v>4954</v>
      </c>
      <c r="O296" s="2472"/>
      <c r="P296" s="2473"/>
      <c r="AM296" s="2493">
        <v>296</v>
      </c>
    </row>
    <row r="297" spans="1:39" ht="9.75" customHeight="1">
      <c r="AM297" s="2493">
        <v>297</v>
      </c>
    </row>
    <row r="298" spans="1:39" ht="16" customHeight="1">
      <c r="A298" s="2075"/>
      <c r="B298" s="2097" t="s">
        <v>4817</v>
      </c>
      <c r="C298" s="2075"/>
      <c r="D298" s="2075"/>
      <c r="E298" s="2075"/>
      <c r="F298" s="2075"/>
      <c r="G298" s="2075"/>
      <c r="H298" s="2075"/>
      <c r="I298" s="2075"/>
      <c r="J298" s="2075"/>
      <c r="K298" s="2075"/>
      <c r="M298" s="2077"/>
      <c r="O298" s="2088"/>
      <c r="AM298" s="2493">
        <v>298</v>
      </c>
    </row>
    <row r="299" spans="1:39" ht="30" customHeight="1">
      <c r="A299" s="3934" t="s">
        <v>5280</v>
      </c>
      <c r="B299" s="3935"/>
      <c r="C299" s="3935"/>
      <c r="D299" s="3935"/>
      <c r="E299" s="3935"/>
      <c r="F299" s="3935"/>
      <c r="G299" s="3935"/>
      <c r="H299" s="3935"/>
      <c r="I299" s="3935"/>
      <c r="J299" s="3935"/>
      <c r="K299" s="3935"/>
      <c r="L299" s="3935"/>
      <c r="M299" s="3935"/>
      <c r="N299" s="3935"/>
      <c r="O299" s="3935"/>
      <c r="P299" s="3936"/>
      <c r="Q299" s="2154"/>
      <c r="AM299" s="2493">
        <v>299</v>
      </c>
    </row>
    <row r="300" spans="1:39" ht="16" customHeight="1">
      <c r="B300" s="2136" t="s">
        <v>1725</v>
      </c>
      <c r="C300" s="2137"/>
      <c r="D300" s="2136"/>
      <c r="E300" s="2138"/>
      <c r="F300" s="2127"/>
      <c r="G300" s="2127"/>
      <c r="H300" s="2127"/>
      <c r="I300" s="2127"/>
      <c r="J300" s="2127"/>
      <c r="K300" s="2127"/>
      <c r="L300" s="2127"/>
      <c r="M300" s="2127"/>
      <c r="N300" s="2139"/>
      <c r="O300" s="2140"/>
      <c r="P300" s="2078"/>
      <c r="AM300" s="2492">
        <v>300</v>
      </c>
    </row>
    <row r="301" spans="1:39" ht="15" customHeight="1">
      <c r="A301" s="3878"/>
      <c r="B301" s="3879"/>
      <c r="C301" s="3879"/>
      <c r="D301" s="3879"/>
      <c r="E301" s="3879"/>
      <c r="F301" s="3879"/>
      <c r="G301" s="3879"/>
      <c r="H301" s="3879"/>
      <c r="I301" s="3879"/>
      <c r="J301" s="3879"/>
      <c r="K301" s="3879"/>
      <c r="L301" s="3879"/>
      <c r="M301" s="3879"/>
      <c r="N301" s="3879"/>
      <c r="O301" s="3879"/>
      <c r="P301" s="3880"/>
      <c r="Q301" s="2141"/>
      <c r="AM301" s="2493">
        <v>301</v>
      </c>
    </row>
    <row r="302" spans="1:39" ht="9.75" customHeight="1">
      <c r="AM302" s="2492">
        <v>302</v>
      </c>
    </row>
    <row r="303" spans="1:39" ht="9.75" customHeight="1" thickBot="1">
      <c r="AM303" s="2492">
        <v>303</v>
      </c>
    </row>
    <row r="304" spans="1:39" s="2075" customFormat="1" ht="16" customHeight="1" thickBot="1">
      <c r="A304" s="2098" t="s">
        <v>3284</v>
      </c>
      <c r="B304" s="2099" t="s">
        <v>4820</v>
      </c>
      <c r="D304" s="2099"/>
      <c r="E304" s="2099"/>
      <c r="G304" s="2142"/>
      <c r="J304" s="2143" t="str">
        <f>IF(OR($O$206&gt;0,$O$238&gt;0,$O$265&gt;0),"Points already claimed in another restricted section!","")</f>
        <v>Points already claimed in another restricted section!</v>
      </c>
      <c r="K304" s="2143" t="str">
        <f>IF(AND(O304&gt;0,NOT($H$11="New Affordability")), "Not New Affordability!","")</f>
        <v/>
      </c>
      <c r="L304" s="2108" t="s">
        <v>4866</v>
      </c>
      <c r="M304" s="2078">
        <v>10</v>
      </c>
      <c r="N304" s="2077"/>
      <c r="O304" s="2109">
        <f>IF(OR($L$11="Atlanta Metro",O$206&gt;0,O$238&gt;0,O$265&gt;0),0,IF(AND($H$11="New Affordability",$C$16="9%",O310+O311&lt;=$M304),O310+O311,0))</f>
        <v>0</v>
      </c>
      <c r="P304" s="2109">
        <f>IF(AND($H$12="New Affordability",NOT($L$12="Atlanta Metro"),$C$16="9%",P310+P311&lt;=$M304),P310+P311,0)</f>
        <v>0</v>
      </c>
      <c r="Q304" s="2110" t="s">
        <v>415</v>
      </c>
      <c r="R304" s="2386" t="s">
        <v>4957</v>
      </c>
      <c r="S304" s="2072"/>
      <c r="T304" s="2072"/>
      <c r="U304" s="2072"/>
      <c r="V304" s="2387" t="str">
        <f>$H$15</f>
        <v>Stable Communities</v>
      </c>
      <c r="AM304" s="2492">
        <v>304</v>
      </c>
    </row>
    <row r="305" spans="1:41" s="2075" customFormat="1" ht="3.75" customHeight="1">
      <c r="A305" s="2098"/>
      <c r="B305" s="2099"/>
      <c r="D305" s="2099"/>
      <c r="E305" s="2099"/>
      <c r="L305" s="2143"/>
      <c r="M305" s="2078"/>
      <c r="N305" s="2077"/>
      <c r="O305" s="2088"/>
      <c r="P305" s="2088"/>
      <c r="Q305" s="2110"/>
      <c r="R305" s="2116"/>
      <c r="S305" s="2072"/>
      <c r="T305" s="2072"/>
      <c r="U305" s="2072"/>
      <c r="V305" s="2074"/>
      <c r="W305" s="2074"/>
      <c r="X305" s="2074"/>
      <c r="AM305" s="2492">
        <v>305</v>
      </c>
    </row>
    <row r="306" spans="1:41" s="2075" customFormat="1" ht="16" customHeight="1">
      <c r="A306" s="2098"/>
      <c r="C306" s="2256" t="s">
        <v>4882</v>
      </c>
      <c r="D306" s="2257"/>
      <c r="E306" s="2257"/>
      <c r="F306" s="2258"/>
      <c r="G306" s="2258"/>
      <c r="H306" s="2258"/>
      <c r="I306" s="2258"/>
      <c r="J306" s="2259" t="s">
        <v>2881</v>
      </c>
      <c r="K306" s="2260" t="s">
        <v>245</v>
      </c>
      <c r="L306" s="2465"/>
      <c r="M306" s="2078"/>
      <c r="N306" s="2077"/>
      <c r="O306" s="2088"/>
      <c r="P306" s="2088"/>
      <c r="Q306" s="2110"/>
      <c r="R306" s="2116"/>
      <c r="S306" s="2072"/>
      <c r="T306" s="2072"/>
      <c r="U306" s="2072"/>
      <c r="V306" s="2074"/>
      <c r="W306" s="2074"/>
      <c r="X306" s="2074"/>
      <c r="AM306" s="2492">
        <v>306</v>
      </c>
    </row>
    <row r="307" spans="1:41" s="2075" customFormat="1" ht="16" customHeight="1">
      <c r="A307" s="2098"/>
      <c r="B307" s="2099"/>
      <c r="C307" s="2262"/>
      <c r="D307" s="2075" t="s">
        <v>3307</v>
      </c>
      <c r="E307" s="2099"/>
      <c r="J307" s="2263">
        <f>MAX(O206,O212+O222+O229)</f>
        <v>0</v>
      </c>
      <c r="K307" s="2264">
        <f>MAX(P206,P212+P222+P229)</f>
        <v>0</v>
      </c>
      <c r="L307" s="2465"/>
      <c r="M307" s="4065" t="str">
        <f>$L$11</f>
        <v>Atlanta Metro</v>
      </c>
      <c r="N307" s="4065"/>
      <c r="O307" s="4065"/>
      <c r="P307" s="4065"/>
      <c r="Q307" s="2110"/>
      <c r="R307" s="2116"/>
      <c r="S307" s="2072"/>
      <c r="T307" s="2072"/>
      <c r="U307" s="2072"/>
      <c r="V307" s="2074"/>
      <c r="W307" s="2074"/>
      <c r="X307" s="2074"/>
      <c r="AM307" s="2492">
        <v>307</v>
      </c>
    </row>
    <row r="308" spans="1:41" s="2075" customFormat="1" ht="16" customHeight="1">
      <c r="A308" s="2098"/>
      <c r="B308" s="2099"/>
      <c r="C308" s="2262"/>
      <c r="D308" s="2075" t="s">
        <v>3908</v>
      </c>
      <c r="E308" s="2099"/>
      <c r="J308" s="2266">
        <f>MAX($J$251,$O$238)</f>
        <v>8</v>
      </c>
      <c r="K308" s="2267">
        <f>MAX($K$251,$P$238)</f>
        <v>0</v>
      </c>
      <c r="L308" s="2465"/>
      <c r="M308" s="2078"/>
      <c r="N308" s="2077"/>
      <c r="O308" s="2088"/>
      <c r="P308" s="2088"/>
      <c r="Q308" s="2110"/>
      <c r="R308" s="2116"/>
      <c r="S308" s="2072"/>
      <c r="T308" s="2072"/>
      <c r="U308" s="2072"/>
      <c r="V308" s="2074"/>
      <c r="W308" s="2074"/>
      <c r="X308" s="2074"/>
      <c r="AM308" s="2493">
        <v>308</v>
      </c>
    </row>
    <row r="309" spans="1:41" s="2075" customFormat="1" ht="3.75" customHeight="1">
      <c r="A309" s="2098"/>
      <c r="B309" s="2099"/>
      <c r="C309" s="2268"/>
      <c r="D309" s="2269"/>
      <c r="E309" s="2269"/>
      <c r="F309" s="2270"/>
      <c r="G309" s="2270"/>
      <c r="H309" s="2270"/>
      <c r="I309" s="2270"/>
      <c r="J309" s="2270"/>
      <c r="K309" s="2270"/>
      <c r="L309" s="2465"/>
      <c r="M309" s="2078"/>
      <c r="N309" s="2077"/>
      <c r="O309" s="2088"/>
      <c r="P309" s="2088"/>
      <c r="Q309" s="2110"/>
      <c r="R309" s="2116"/>
      <c r="S309" s="2072"/>
      <c r="T309" s="2072"/>
      <c r="U309" s="2072"/>
      <c r="V309" s="2074"/>
      <c r="W309" s="2074"/>
      <c r="X309" s="2074"/>
      <c r="AM309" s="2493">
        <v>309</v>
      </c>
    </row>
    <row r="310" spans="1:41" ht="16" customHeight="1">
      <c r="A310" s="2078" t="s">
        <v>1836</v>
      </c>
      <c r="B310" s="2148" t="s">
        <v>4892</v>
      </c>
      <c r="D310" s="2129"/>
      <c r="E310" s="2129"/>
      <c r="F310" s="2129"/>
      <c r="G310" s="2129"/>
      <c r="H310" s="2129"/>
      <c r="L310" s="2112" t="str">
        <f t="shared" ref="L310:L311" si="9">IF(OR($O310=$M310,$O310=0,$O310=""),"","* * Check Score! * *")</f>
        <v/>
      </c>
      <c r="M310" s="2183">
        <v>5</v>
      </c>
      <c r="N310" s="2113"/>
      <c r="O310" s="1984"/>
      <c r="P310" s="2237"/>
      <c r="Q310" s="1992"/>
      <c r="R310" s="2072"/>
      <c r="S310" s="2072"/>
      <c r="T310" s="2072"/>
      <c r="U310" s="2072"/>
      <c r="V310" s="2072"/>
      <c r="AM310" s="2493">
        <v>310</v>
      </c>
    </row>
    <row r="311" spans="1:41" ht="16" customHeight="1">
      <c r="A311" s="2078" t="s">
        <v>1838</v>
      </c>
      <c r="B311" s="2148" t="s">
        <v>4893</v>
      </c>
      <c r="D311" s="2129"/>
      <c r="J311" s="2277" t="str">
        <f>IF(AND(O310=$M310,OR((O207+O222+O229)&gt;=5,J251&gt;=5)),"Eligible","Currently not eligible")</f>
        <v>Currently not eligible</v>
      </c>
      <c r="L311" s="2112" t="str">
        <f t="shared" si="9"/>
        <v/>
      </c>
      <c r="M311" s="2183">
        <v>5</v>
      </c>
      <c r="N311" s="2113"/>
      <c r="O311" s="2123">
        <f>IF(AND($H$15="Housing Needs Characteristics + Stable Communities Characteristics",$O310&gt;0,$O310=$M310,$J251&gt;=5),MIN($J251,$M$311),IF(AND($H$15="Housing Needs Characteristics + Revitalization Characteristics",$O310&gt;0,$O310=$M310,$O207&gt;=5),MIN($O207,$M$311),0))</f>
        <v>0</v>
      </c>
      <c r="P311" s="2123">
        <f>IF(AND($H$15="Housing Needs Characteristics + Stable Communities Characteristics",$O310&gt;0,$O310=$M310,$J251&gt;=5),MIN($J251,$M$311),IF(AND($H$15="Housing Needs Characteristics + Revitalization Characteristics",$O310&gt;0,$O310=$M310,$O207&gt;=5),MIN($O207,$M$311),0))</f>
        <v>0</v>
      </c>
      <c r="Q311" s="1992"/>
      <c r="R311" s="2072"/>
      <c r="S311" s="2072"/>
      <c r="T311" s="2072"/>
      <c r="U311" s="2072"/>
      <c r="V311" s="2072"/>
      <c r="AM311" s="2492">
        <v>311</v>
      </c>
    </row>
    <row r="312" spans="1:41" ht="16" customHeight="1">
      <c r="A312" s="2075"/>
      <c r="B312" s="2097" t="s">
        <v>4817</v>
      </c>
      <c r="C312" s="2075"/>
      <c r="D312" s="2075"/>
      <c r="E312" s="2075"/>
      <c r="F312" s="2075"/>
      <c r="G312" s="2075"/>
      <c r="H312" s="2075"/>
      <c r="I312" s="2075"/>
      <c r="J312" s="2075"/>
      <c r="K312" s="2075"/>
      <c r="M312" s="2077"/>
      <c r="O312" s="2088"/>
      <c r="R312" s="2072"/>
      <c r="S312" s="2072"/>
      <c r="T312" s="2072"/>
      <c r="U312" s="2072"/>
      <c r="V312" s="2072"/>
      <c r="AM312" s="2492">
        <v>312</v>
      </c>
    </row>
    <row r="313" spans="1:41" ht="16" customHeight="1">
      <c r="A313" s="3934" t="s">
        <v>5280</v>
      </c>
      <c r="B313" s="3935"/>
      <c r="C313" s="3935"/>
      <c r="D313" s="3935"/>
      <c r="E313" s="3935"/>
      <c r="F313" s="3935"/>
      <c r="G313" s="3935"/>
      <c r="H313" s="3935"/>
      <c r="I313" s="3935"/>
      <c r="J313" s="3935"/>
      <c r="K313" s="3935"/>
      <c r="L313" s="3935"/>
      <c r="M313" s="3935"/>
      <c r="N313" s="3935"/>
      <c r="O313" s="3935"/>
      <c r="P313" s="3936"/>
      <c r="Q313" s="2154"/>
      <c r="AM313" s="2493">
        <v>313</v>
      </c>
    </row>
    <row r="314" spans="1:41" ht="16" customHeight="1">
      <c r="A314" s="2075"/>
      <c r="B314" s="2136" t="s">
        <v>1725</v>
      </c>
      <c r="C314" s="2075"/>
      <c r="D314" s="2136"/>
      <c r="E314" s="2127"/>
      <c r="F314" s="2127"/>
      <c r="G314" s="2127"/>
      <c r="H314" s="2127"/>
      <c r="I314" s="2127"/>
      <c r="J314" s="2127"/>
      <c r="K314" s="2127"/>
      <c r="L314" s="2127"/>
      <c r="M314" s="2127"/>
      <c r="N314" s="2139"/>
      <c r="O314" s="2140"/>
      <c r="P314" s="2078"/>
      <c r="AM314" s="2492">
        <v>314</v>
      </c>
    </row>
    <row r="315" spans="1:41" ht="15" customHeight="1">
      <c r="A315" s="3878"/>
      <c r="B315" s="3879"/>
      <c r="C315" s="3879"/>
      <c r="D315" s="3879"/>
      <c r="E315" s="3879"/>
      <c r="F315" s="3879"/>
      <c r="G315" s="3879"/>
      <c r="H315" s="3879"/>
      <c r="I315" s="3879"/>
      <c r="J315" s="3879"/>
      <c r="K315" s="3879"/>
      <c r="L315" s="3879"/>
      <c r="M315" s="3879"/>
      <c r="N315" s="3879"/>
      <c r="O315" s="3879"/>
      <c r="P315" s="3880"/>
      <c r="Q315" s="2141"/>
      <c r="AM315" s="2492">
        <v>315</v>
      </c>
    </row>
    <row r="316" spans="1:41" ht="7.5" customHeight="1">
      <c r="AM316" s="2493">
        <v>316</v>
      </c>
    </row>
    <row r="317" spans="1:41" ht="7.5" customHeight="1" thickBot="1">
      <c r="AM317" s="2493">
        <v>317</v>
      </c>
      <c r="AO317" s="2262"/>
    </row>
    <row r="318" spans="1:41" s="2075" customFormat="1" ht="16" customHeight="1" thickBot="1">
      <c r="A318" s="2098" t="s">
        <v>3285</v>
      </c>
      <c r="B318" s="2099" t="s">
        <v>4821</v>
      </c>
      <c r="D318" s="2099"/>
      <c r="E318" s="2099"/>
      <c r="G318" s="2075" t="str">
        <f>$L$11</f>
        <v>Atlanta Metro</v>
      </c>
      <c r="J318" s="2112" t="str">
        <f t="shared" ref="J318" si="10">IF(OR($O318=$M318,$O318=0,$O318=""),"","* * Check Score! * *")</f>
        <v/>
      </c>
      <c r="L318" s="2143" t="str">
        <f>IF(AND(O318&gt;0,$L$11="Atlanta Metro"), "Atlanta Metro is ineligible to score in this section!","")</f>
        <v/>
      </c>
      <c r="M318" s="2078">
        <v>1</v>
      </c>
      <c r="N318" s="2077"/>
      <c r="O318" s="2018"/>
      <c r="P318" s="2242"/>
      <c r="Q318" s="2110" t="s">
        <v>415</v>
      </c>
      <c r="R318" s="2072"/>
      <c r="S318" s="2072"/>
      <c r="T318" s="2072"/>
      <c r="U318" s="2072"/>
      <c r="V318" s="2072"/>
      <c r="AM318" s="2493">
        <v>318</v>
      </c>
    </row>
    <row r="319" spans="1:41" s="2075" customFormat="1" ht="16" hidden="1" customHeight="1">
      <c r="A319" s="2098"/>
      <c r="B319" s="2099"/>
      <c r="D319" s="2099"/>
      <c r="E319" s="2099"/>
      <c r="M319" s="2145"/>
      <c r="Q319" s="2110"/>
      <c r="R319" s="2072"/>
      <c r="S319" s="2072"/>
      <c r="T319" s="2072"/>
      <c r="U319" s="2072"/>
      <c r="V319" s="2072"/>
      <c r="W319" s="2074"/>
      <c r="X319" s="2074"/>
      <c r="AM319" s="2493">
        <v>319</v>
      </c>
    </row>
    <row r="320" spans="1:41" s="2075" customFormat="1" ht="16" customHeight="1">
      <c r="A320" s="2098"/>
      <c r="B320" s="2099"/>
      <c r="C320" s="2075" t="s">
        <v>4901</v>
      </c>
      <c r="D320" s="2099"/>
      <c r="E320" s="2099"/>
      <c r="L320" s="4066" t="s">
        <v>4903</v>
      </c>
      <c r="M320" s="4066"/>
      <c r="O320" s="4066" t="s">
        <v>4904</v>
      </c>
      <c r="P320" s="4066"/>
      <c r="Q320" s="2110"/>
      <c r="R320" s="2072"/>
      <c r="S320" s="2072"/>
      <c r="T320" s="2072"/>
      <c r="U320" s="2072"/>
      <c r="V320" s="2072"/>
      <c r="W320" s="2074"/>
      <c r="X320" s="2074"/>
      <c r="AM320" s="2492">
        <v>320</v>
      </c>
    </row>
    <row r="321" spans="1:48" s="2075" customFormat="1" ht="16" customHeight="1">
      <c r="A321" s="2098"/>
      <c r="C321" s="2075" t="s">
        <v>4902</v>
      </c>
      <c r="D321" s="2099"/>
      <c r="E321" s="2099"/>
      <c r="F321" s="2075" t="s">
        <v>4116</v>
      </c>
      <c r="I321" s="2075" t="s">
        <v>574</v>
      </c>
      <c r="K321" s="2077" t="s">
        <v>4726</v>
      </c>
      <c r="L321" s="4066"/>
      <c r="M321" s="4066"/>
      <c r="O321" s="4066"/>
      <c r="P321" s="4066"/>
      <c r="Q321" s="2110"/>
      <c r="R321" s="2072"/>
      <c r="S321" s="2072"/>
      <c r="T321" s="2072"/>
      <c r="U321" s="2072"/>
      <c r="V321" s="2072"/>
      <c r="W321" s="2074"/>
      <c r="X321" s="2074"/>
      <c r="AM321" s="2493">
        <v>321</v>
      </c>
      <c r="AV321" s="2262"/>
    </row>
    <row r="322" spans="1:48" s="2075" customFormat="1" ht="16" customHeight="1">
      <c r="A322" s="2098"/>
      <c r="B322" s="2250" t="s">
        <v>1839</v>
      </c>
      <c r="C322" s="4076"/>
      <c r="D322" s="4076"/>
      <c r="E322" s="4076"/>
      <c r="F322" s="4076"/>
      <c r="G322" s="4076"/>
      <c r="H322" s="4076"/>
      <c r="I322" s="4077"/>
      <c r="J322" s="4077"/>
      <c r="K322" s="2341"/>
      <c r="L322" s="4078"/>
      <c r="M322" s="4078"/>
      <c r="N322" s="2247"/>
      <c r="O322" s="4079"/>
      <c r="P322" s="4079"/>
      <c r="Q322" s="2110"/>
      <c r="R322" s="2072"/>
      <c r="S322" s="2072"/>
      <c r="T322" s="2072"/>
      <c r="U322" s="2072"/>
      <c r="V322" s="2072"/>
      <c r="W322" s="2074"/>
      <c r="X322" s="2074"/>
      <c r="AM322" s="2492">
        <v>322</v>
      </c>
    </row>
    <row r="323" spans="1:48" s="2075" customFormat="1" ht="16" customHeight="1">
      <c r="A323" s="2098"/>
      <c r="B323" s="2117" t="s">
        <v>1841</v>
      </c>
      <c r="C323" s="4080"/>
      <c r="D323" s="4080"/>
      <c r="E323" s="4080"/>
      <c r="F323" s="4080"/>
      <c r="G323" s="4080"/>
      <c r="H323" s="4080"/>
      <c r="I323" s="4081"/>
      <c r="J323" s="4081"/>
      <c r="K323" s="2342"/>
      <c r="L323" s="4082"/>
      <c r="M323" s="4082"/>
      <c r="N323" s="2247"/>
      <c r="O323" s="4083"/>
      <c r="P323" s="4083"/>
      <c r="Q323" s="2110"/>
      <c r="R323" s="2072"/>
      <c r="S323" s="2072"/>
      <c r="T323" s="2072"/>
      <c r="U323" s="2072"/>
      <c r="V323" s="2072"/>
      <c r="W323" s="2074"/>
      <c r="X323" s="2074"/>
      <c r="AM323" s="2492">
        <v>323</v>
      </c>
    </row>
    <row r="324" spans="1:48" s="2075" customFormat="1" ht="16" customHeight="1">
      <c r="A324" s="2098"/>
      <c r="B324" s="2117" t="s">
        <v>2326</v>
      </c>
      <c r="C324" s="4080"/>
      <c r="D324" s="4080"/>
      <c r="E324" s="4080"/>
      <c r="F324" s="4080"/>
      <c r="G324" s="4080"/>
      <c r="H324" s="4080"/>
      <c r="I324" s="4081"/>
      <c r="J324" s="4081"/>
      <c r="K324" s="2342"/>
      <c r="L324" s="4082"/>
      <c r="M324" s="4082"/>
      <c r="N324" s="2247"/>
      <c r="O324" s="4083"/>
      <c r="P324" s="4083"/>
      <c r="Q324" s="2110"/>
      <c r="R324" s="2072"/>
      <c r="S324" s="2072"/>
      <c r="T324" s="2072"/>
      <c r="U324" s="2072"/>
      <c r="V324" s="2072"/>
      <c r="W324" s="2074"/>
      <c r="X324" s="2074"/>
      <c r="AM324" s="2492">
        <v>324</v>
      </c>
    </row>
    <row r="325" spans="1:48" s="2075" customFormat="1" ht="16" customHeight="1">
      <c r="A325" s="2098"/>
      <c r="B325" s="2117" t="s">
        <v>1149</v>
      </c>
      <c r="C325" s="4086"/>
      <c r="D325" s="4086"/>
      <c r="E325" s="4086"/>
      <c r="F325" s="4086"/>
      <c r="G325" s="4086"/>
      <c r="H325" s="4086"/>
      <c r="I325" s="4087"/>
      <c r="J325" s="4087"/>
      <c r="K325" s="2343"/>
      <c r="L325" s="4088"/>
      <c r="M325" s="4088"/>
      <c r="N325" s="2247"/>
      <c r="O325" s="4089"/>
      <c r="P325" s="4089"/>
      <c r="Q325" s="2110"/>
      <c r="R325" s="2072"/>
      <c r="S325" s="2072"/>
      <c r="T325" s="2072"/>
      <c r="U325" s="2072"/>
      <c r="V325" s="2072"/>
      <c r="W325" s="2074"/>
      <c r="X325" s="2074"/>
      <c r="AM325" s="2492">
        <v>325</v>
      </c>
    </row>
    <row r="326" spans="1:48" ht="16" customHeight="1">
      <c r="A326" s="2075"/>
      <c r="B326" s="2097" t="s">
        <v>4817</v>
      </c>
      <c r="C326" s="2075"/>
      <c r="D326" s="2075"/>
      <c r="E326" s="2075"/>
      <c r="F326" s="2075"/>
      <c r="G326" s="2075"/>
      <c r="H326" s="2075"/>
      <c r="I326" s="2075"/>
      <c r="J326" s="2075"/>
      <c r="K326" s="2075"/>
      <c r="M326" s="2077"/>
      <c r="O326" s="2088"/>
      <c r="R326" s="2072"/>
      <c r="S326" s="2072"/>
      <c r="T326" s="2072"/>
      <c r="U326" s="2072"/>
      <c r="V326" s="2072"/>
      <c r="AM326" s="2493">
        <v>326</v>
      </c>
    </row>
    <row r="327" spans="1:48" ht="75" customHeight="1">
      <c r="A327" s="3934" t="s">
        <v>5280</v>
      </c>
      <c r="B327" s="3935"/>
      <c r="C327" s="3935"/>
      <c r="D327" s="3935"/>
      <c r="E327" s="3935"/>
      <c r="F327" s="3935"/>
      <c r="G327" s="3935"/>
      <c r="H327" s="3935"/>
      <c r="I327" s="3935"/>
      <c r="J327" s="3935"/>
      <c r="K327" s="3935"/>
      <c r="L327" s="3935"/>
      <c r="M327" s="3935"/>
      <c r="N327" s="3935"/>
      <c r="O327" s="3935"/>
      <c r="P327" s="3936"/>
      <c r="Q327" s="2154"/>
      <c r="AM327" s="2493">
        <v>327</v>
      </c>
    </row>
    <row r="328" spans="1:48" ht="16" customHeight="1">
      <c r="A328" s="2075"/>
      <c r="B328" s="2136" t="s">
        <v>1725</v>
      </c>
      <c r="C328" s="2075"/>
      <c r="D328" s="2136"/>
      <c r="E328" s="2127"/>
      <c r="F328" s="2127"/>
      <c r="G328" s="2127"/>
      <c r="H328" s="2127"/>
      <c r="I328" s="2127"/>
      <c r="J328" s="2127"/>
      <c r="K328" s="2127"/>
      <c r="L328" s="2127"/>
      <c r="M328" s="2127"/>
      <c r="N328" s="2139"/>
      <c r="O328" s="2140"/>
      <c r="P328" s="2078"/>
      <c r="AM328" s="2493">
        <v>328</v>
      </c>
    </row>
    <row r="329" spans="1:48" ht="15" customHeight="1">
      <c r="A329" s="3878"/>
      <c r="B329" s="3879"/>
      <c r="C329" s="3879"/>
      <c r="D329" s="3879"/>
      <c r="E329" s="3879"/>
      <c r="F329" s="3879"/>
      <c r="G329" s="3879"/>
      <c r="H329" s="3879"/>
      <c r="I329" s="3879"/>
      <c r="J329" s="3879"/>
      <c r="K329" s="3879"/>
      <c r="L329" s="3879"/>
      <c r="M329" s="3879"/>
      <c r="N329" s="3879"/>
      <c r="O329" s="3879"/>
      <c r="P329" s="3880"/>
      <c r="Q329" s="2141"/>
      <c r="AM329" s="2493">
        <v>329</v>
      </c>
    </row>
    <row r="330" spans="1:48" ht="9.75" customHeight="1">
      <c r="A330" s="2075"/>
      <c r="D330" s="2075"/>
      <c r="E330" s="2075"/>
      <c r="F330" s="2078"/>
      <c r="G330" s="2078"/>
      <c r="H330" s="2078"/>
      <c r="I330" s="2078"/>
      <c r="J330" s="2107"/>
      <c r="K330" s="2107"/>
      <c r="L330" s="2107"/>
      <c r="M330" s="2077"/>
      <c r="N330" s="2078"/>
      <c r="P330" s="2088"/>
      <c r="AM330" s="2492">
        <v>330</v>
      </c>
    </row>
    <row r="331" spans="1:48" ht="9.75" customHeight="1" thickBot="1">
      <c r="A331" s="2075"/>
      <c r="D331" s="2075"/>
      <c r="E331" s="2075"/>
      <c r="F331" s="2078"/>
      <c r="G331" s="2078"/>
      <c r="H331" s="2078"/>
      <c r="I331" s="2078"/>
      <c r="J331" s="2107"/>
      <c r="K331" s="2107"/>
      <c r="L331" s="2107"/>
      <c r="M331" s="2077"/>
      <c r="N331" s="2078"/>
      <c r="P331" s="2088"/>
      <c r="AM331" s="2493">
        <v>331</v>
      </c>
    </row>
    <row r="332" spans="1:48" ht="16" customHeight="1" thickBot="1">
      <c r="A332" s="2098" t="s">
        <v>3288</v>
      </c>
      <c r="B332" s="2184" t="s">
        <v>3904</v>
      </c>
      <c r="M332" s="2078">
        <v>1</v>
      </c>
      <c r="O332" s="2109">
        <f>IF(AND($H$11="New Affordability",$C$16="9%"),IF(O333+O334&gt;$M332,"Choose",MIN($M332,SUM(O333:O334))),0)</f>
        <v>0</v>
      </c>
      <c r="P332" s="2109">
        <f>IF(AND($H$12="New Affordability",$C$16="9%"),IF(P333+P334&gt;$M332,"Choose",MIN($M332,SUM(P333:P334))),0)</f>
        <v>0</v>
      </c>
      <c r="Q332" s="2110" t="s">
        <v>415</v>
      </c>
      <c r="R332" s="2116" t="str">
        <f>IF(AND(O332&gt;0,NOT($H$11="New Affordability")), "Ineligible to score in this section, not New Affordability!","")</f>
        <v/>
      </c>
      <c r="AM332" s="2492">
        <v>332</v>
      </c>
    </row>
    <row r="333" spans="1:48" ht="16" customHeight="1">
      <c r="A333" s="2078" t="s">
        <v>1836</v>
      </c>
      <c r="B333" s="2155" t="s">
        <v>4894</v>
      </c>
      <c r="G333" s="2175" t="s">
        <v>3069</v>
      </c>
      <c r="H333" s="2278">
        <f>IF('Part V-Revenues &amp; Expenses'!$P$76=0,0,'Part V-Revenues &amp; Expenses'!$P$73/'Part V-Revenues &amp; Expenses'!$P$76)</f>
        <v>6.0344827586206899E-2</v>
      </c>
      <c r="I333" s="4092" t="str">
        <f>IF(AND($O333&gt;0,OR($H$333&lt;0.1,$G$334="Income Averaging")),"Not eligible for these points!","")</f>
        <v/>
      </c>
      <c r="J333" s="4091"/>
      <c r="K333" s="4091"/>
      <c r="L333" s="2112" t="str">
        <f t="shared" ref="L333:L334" si="11">IF(OR($O333=$M333,$O333=0,$O333=""),"","* * Check Score! * *")</f>
        <v/>
      </c>
      <c r="M333" s="2077">
        <v>1</v>
      </c>
      <c r="N333" s="2113"/>
      <c r="O333" s="1988"/>
      <c r="P333" s="2197"/>
      <c r="Q333" s="2115" t="str">
        <f>IF(OR($O333=$M333,$O333=0,$O333=""),"","*CHECK!*")</f>
        <v/>
      </c>
      <c r="R333" s="2116"/>
      <c r="AM333" s="2492">
        <v>333</v>
      </c>
    </row>
    <row r="334" spans="1:48" ht="16" customHeight="1">
      <c r="A334" s="2078" t="s">
        <v>1838</v>
      </c>
      <c r="B334" s="2155" t="s">
        <v>3689</v>
      </c>
      <c r="G334" s="4084" t="str">
        <f>'Part V-Revenues &amp; Expenses'!$O$62</f>
        <v>40% of Units at 60% of AMI</v>
      </c>
      <c r="H334" s="4085"/>
      <c r="I334" s="4090" t="str">
        <f>IF(AND($O334&gt;0,OR($H$333&gt;=0.1,NOT($G$334="Income Averaging"))),"Not eligible for these points!","")</f>
        <v/>
      </c>
      <c r="J334" s="4091"/>
      <c r="K334" s="4091"/>
      <c r="L334" s="2112" t="str">
        <f t="shared" si="11"/>
        <v/>
      </c>
      <c r="M334" s="2095">
        <v>1</v>
      </c>
      <c r="N334" s="2113"/>
      <c r="O334" s="1978"/>
      <c r="P334" s="2198"/>
      <c r="Q334" s="2115" t="str">
        <f>IF(OR($O334=$M334,$O334=0,$O334=""),"","*CHECK!*")</f>
        <v/>
      </c>
      <c r="R334" s="2116"/>
      <c r="AM334" s="2492">
        <v>334</v>
      </c>
    </row>
    <row r="335" spans="1:48" ht="16" hidden="1" customHeight="1">
      <c r="A335" s="2155"/>
      <c r="B335" s="2117"/>
      <c r="M335" s="2077"/>
      <c r="O335" s="2078"/>
      <c r="P335" s="2078"/>
      <c r="AM335" s="2492">
        <v>335</v>
      </c>
    </row>
    <row r="336" spans="1:48" ht="16" customHeight="1">
      <c r="A336" s="2075"/>
      <c r="B336" s="2136" t="s">
        <v>1725</v>
      </c>
      <c r="C336" s="2075"/>
      <c r="D336" s="2136"/>
      <c r="E336" s="2127"/>
      <c r="F336" s="2127"/>
      <c r="G336" s="2127"/>
      <c r="H336" s="2127"/>
      <c r="I336" s="2127"/>
      <c r="J336" s="2127"/>
      <c r="K336" s="2127"/>
      <c r="L336" s="2127"/>
      <c r="M336" s="2127"/>
      <c r="N336" s="2139"/>
      <c r="O336" s="2140"/>
      <c r="P336" s="2078"/>
      <c r="AM336" s="2493">
        <v>336</v>
      </c>
    </row>
    <row r="337" spans="1:39" ht="15" customHeight="1">
      <c r="A337" s="3878"/>
      <c r="B337" s="3879"/>
      <c r="C337" s="3879"/>
      <c r="D337" s="3879"/>
      <c r="E337" s="3879"/>
      <c r="F337" s="3879"/>
      <c r="G337" s="3879"/>
      <c r="H337" s="3879"/>
      <c r="I337" s="3879"/>
      <c r="J337" s="3879"/>
      <c r="K337" s="3879"/>
      <c r="L337" s="3879"/>
      <c r="M337" s="3879"/>
      <c r="N337" s="3879"/>
      <c r="O337" s="3879"/>
      <c r="P337" s="3880"/>
      <c r="Q337" s="2141"/>
      <c r="AM337" s="2493">
        <v>337</v>
      </c>
    </row>
    <row r="338" spans="1:39" ht="9.75" customHeight="1">
      <c r="A338" s="2075"/>
      <c r="D338" s="2075"/>
      <c r="E338" s="2075"/>
      <c r="F338" s="2078"/>
      <c r="G338" s="2078"/>
      <c r="H338" s="2078"/>
      <c r="I338" s="2078"/>
      <c r="J338" s="2107"/>
      <c r="K338" s="2107"/>
      <c r="L338" s="2107"/>
      <c r="M338" s="2077"/>
      <c r="N338" s="2078"/>
      <c r="P338" s="2088"/>
      <c r="AM338" s="2493">
        <v>338</v>
      </c>
    </row>
    <row r="339" spans="1:39" ht="9.75" customHeight="1" thickBot="1">
      <c r="A339" s="2075"/>
      <c r="B339" s="2075"/>
      <c r="C339" s="2127"/>
      <c r="D339" s="2127"/>
      <c r="E339" s="2127"/>
      <c r="F339" s="2127"/>
      <c r="G339" s="2127"/>
      <c r="H339" s="2127"/>
      <c r="I339" s="2127"/>
      <c r="J339" s="2127"/>
      <c r="K339" s="2127"/>
      <c r="L339" s="2127"/>
      <c r="M339" s="2127"/>
      <c r="N339" s="2139"/>
      <c r="O339" s="2140"/>
      <c r="P339" s="2078"/>
      <c r="AM339" s="2493">
        <v>339</v>
      </c>
    </row>
    <row r="340" spans="1:39" ht="16" customHeight="1" thickBot="1">
      <c r="A340" s="2098" t="s">
        <v>3289</v>
      </c>
      <c r="B340" s="2099" t="s">
        <v>2463</v>
      </c>
      <c r="D340" s="2107"/>
      <c r="G340" s="2127"/>
      <c r="H340" s="2127"/>
      <c r="I340" s="2127"/>
      <c r="J340" s="2127"/>
      <c r="K340" s="2127"/>
      <c r="L340" s="2127"/>
      <c r="M340" s="2078">
        <v>2</v>
      </c>
      <c r="N340" s="2113"/>
      <c r="O340" s="2109">
        <f>IF(AND($H$11="New Affordability",$C$16="9%"),MIN($M340,O342+O344),0)</f>
        <v>0</v>
      </c>
      <c r="P340" s="2109">
        <f>IF(AND($H$12="New Affordability",$C$16="9%"),MIN($M340,P342+P344),0)</f>
        <v>0</v>
      </c>
      <c r="Q340" s="2110" t="s">
        <v>415</v>
      </c>
      <c r="R340" s="2116" t="str">
        <f>IF(AND(O340&gt;0,NOT($H$11="New Affordability")), "Ineligible to score in this section, not New Affordability!","")</f>
        <v/>
      </c>
      <c r="AM340" s="2492">
        <v>340</v>
      </c>
    </row>
    <row r="341" spans="1:39" s="2130" customFormat="1" ht="16" customHeight="1">
      <c r="A341" s="2184"/>
      <c r="B341" s="2272" t="s">
        <v>2989</v>
      </c>
      <c r="G341" s="3891" t="s">
        <v>3762</v>
      </c>
      <c r="H341" s="3892"/>
      <c r="I341" s="3892"/>
      <c r="J341" s="3892"/>
      <c r="K341" s="3892"/>
      <c r="L341" s="3893"/>
      <c r="M341" s="2131"/>
      <c r="N341" s="2131"/>
      <c r="O341" s="2131"/>
      <c r="P341" s="2131"/>
      <c r="Q341" s="2075"/>
      <c r="AM341" s="2493">
        <v>341</v>
      </c>
    </row>
    <row r="342" spans="1:39" s="2130" customFormat="1" ht="16" customHeight="1">
      <c r="A342" s="2158" t="s">
        <v>1836</v>
      </c>
      <c r="B342" s="2086" t="s">
        <v>3828</v>
      </c>
      <c r="L342" s="2112" t="str">
        <f t="shared" ref="L342" si="12">IF(OR($O342=$M342,$O342=0,$O342=""),"","* * Check Score! * *")</f>
        <v/>
      </c>
      <c r="M342" s="2131">
        <v>2</v>
      </c>
      <c r="N342" s="2132"/>
      <c r="O342" s="1988"/>
      <c r="P342" s="2197"/>
      <c r="Q342" s="2115" t="str">
        <f>IF(OR($O342=$M342,$O342=0,$O342=""),"","*CHECK!*")</f>
        <v/>
      </c>
      <c r="R342" s="2116"/>
      <c r="AM342" s="2492">
        <v>342</v>
      </c>
    </row>
    <row r="343" spans="1:39" ht="15" customHeight="1">
      <c r="A343" s="2149"/>
      <c r="B343" s="3934" t="s">
        <v>3327</v>
      </c>
      <c r="C343" s="3935"/>
      <c r="D343" s="3935"/>
      <c r="E343" s="3935"/>
      <c r="F343" s="3935"/>
      <c r="G343" s="3935"/>
      <c r="H343" s="3935"/>
      <c r="I343" s="3935"/>
      <c r="J343" s="3935"/>
      <c r="K343" s="3935"/>
      <c r="L343" s="3935"/>
      <c r="M343" s="3935"/>
      <c r="N343" s="3935"/>
      <c r="O343" s="3935"/>
      <c r="P343" s="3936"/>
      <c r="Q343" s="2141"/>
      <c r="R343" s="2154"/>
      <c r="S343" s="2154"/>
      <c r="AM343" s="2492">
        <v>343</v>
      </c>
    </row>
    <row r="344" spans="1:39" s="2130" customFormat="1" ht="16" customHeight="1">
      <c r="A344" s="2275" t="s">
        <v>1838</v>
      </c>
      <c r="B344" s="2232" t="s">
        <v>3829</v>
      </c>
      <c r="L344" s="2112" t="str">
        <f t="shared" ref="L344" si="13">IF(OR($O344=$M344,$O344=0,$O344=""),"","* * Check Score! * *")</f>
        <v/>
      </c>
      <c r="M344" s="2131">
        <v>2</v>
      </c>
      <c r="N344" s="2132"/>
      <c r="O344" s="1978"/>
      <c r="P344" s="2198"/>
      <c r="Q344" s="2115" t="str">
        <f>IF(OR($O344=$M344,$O344=0,$O344=""),"","*CHECK!*")</f>
        <v/>
      </c>
      <c r="R344" s="2116"/>
      <c r="AM344" s="2492">
        <v>344</v>
      </c>
    </row>
    <row r="345" spans="1:39" ht="16" customHeight="1">
      <c r="A345" s="2075"/>
      <c r="B345" s="2097" t="s">
        <v>4817</v>
      </c>
      <c r="C345" s="2075"/>
      <c r="D345" s="2075"/>
      <c r="E345" s="2075"/>
      <c r="F345" s="2075"/>
      <c r="G345" s="2075"/>
      <c r="H345" s="2075"/>
      <c r="I345" s="2075"/>
      <c r="J345" s="2075"/>
      <c r="K345" s="2075"/>
      <c r="M345" s="2077"/>
      <c r="O345" s="2088"/>
      <c r="AM345" s="2492">
        <v>345</v>
      </c>
    </row>
    <row r="346" spans="1:39" ht="15" customHeight="1">
      <c r="A346" s="3966" t="s">
        <v>5281</v>
      </c>
      <c r="B346" s="3967"/>
      <c r="C346" s="3967"/>
      <c r="D346" s="3967"/>
      <c r="E346" s="3967"/>
      <c r="F346" s="3967"/>
      <c r="G346" s="3967"/>
      <c r="H346" s="3967"/>
      <c r="I346" s="3967"/>
      <c r="J346" s="3967"/>
      <c r="K346" s="3967"/>
      <c r="L346" s="3967"/>
      <c r="M346" s="3967"/>
      <c r="N346" s="3967"/>
      <c r="O346" s="3967"/>
      <c r="P346" s="3968"/>
      <c r="Q346" s="2154"/>
      <c r="R346" s="2154"/>
      <c r="AM346" s="2492">
        <v>346</v>
      </c>
    </row>
    <row r="347" spans="1:39" ht="16" customHeight="1">
      <c r="B347" s="2136" t="s">
        <v>1725</v>
      </c>
      <c r="C347" s="2137"/>
      <c r="D347" s="2136"/>
      <c r="E347" s="2138"/>
      <c r="F347" s="2127"/>
      <c r="G347" s="2127"/>
      <c r="H347" s="2127"/>
      <c r="I347" s="2127"/>
      <c r="J347" s="2127"/>
      <c r="K347" s="2127"/>
      <c r="L347" s="2127"/>
      <c r="M347" s="2127"/>
      <c r="N347" s="2139"/>
      <c r="O347" s="2140"/>
      <c r="P347" s="2078"/>
      <c r="AM347" s="2492">
        <v>347</v>
      </c>
    </row>
    <row r="348" spans="1:39" ht="15" customHeight="1">
      <c r="A348" s="3878"/>
      <c r="B348" s="3879"/>
      <c r="C348" s="3879"/>
      <c r="D348" s="3879"/>
      <c r="E348" s="3879"/>
      <c r="F348" s="3879"/>
      <c r="G348" s="3879"/>
      <c r="H348" s="3879"/>
      <c r="I348" s="3879"/>
      <c r="J348" s="3879"/>
      <c r="K348" s="3879"/>
      <c r="L348" s="3879"/>
      <c r="M348" s="3879"/>
      <c r="N348" s="3879"/>
      <c r="O348" s="3879"/>
      <c r="P348" s="3880"/>
      <c r="Q348" s="2141"/>
      <c r="AM348" s="2493">
        <v>348</v>
      </c>
    </row>
    <row r="349" spans="1:39" ht="7.5" customHeight="1">
      <c r="A349" s="2075"/>
      <c r="B349" s="2075"/>
      <c r="C349" s="2127"/>
      <c r="D349" s="2127"/>
      <c r="E349" s="2127"/>
      <c r="F349" s="2127"/>
      <c r="G349" s="2127"/>
      <c r="H349" s="2127"/>
      <c r="I349" s="2127"/>
      <c r="J349" s="2127"/>
      <c r="K349" s="2127"/>
      <c r="L349" s="2127"/>
      <c r="M349" s="2127"/>
      <c r="N349" s="2139"/>
      <c r="O349" s="2140"/>
      <c r="P349" s="2078"/>
      <c r="AM349" s="2493">
        <v>349</v>
      </c>
    </row>
    <row r="350" spans="1:39" ht="7.5" customHeight="1" thickBot="1">
      <c r="A350" s="2075"/>
      <c r="D350" s="2075"/>
      <c r="E350" s="2075"/>
      <c r="F350" s="2078"/>
      <c r="G350" s="2078"/>
      <c r="H350" s="2078"/>
      <c r="I350" s="2078"/>
      <c r="J350" s="2107"/>
      <c r="K350" s="2107"/>
      <c r="L350" s="2107"/>
      <c r="M350" s="2077"/>
      <c r="N350" s="2078"/>
      <c r="P350" s="2088"/>
      <c r="AM350" s="2492">
        <v>350</v>
      </c>
    </row>
    <row r="351" spans="1:39" s="2075" customFormat="1" ht="16" customHeight="1" thickBot="1">
      <c r="A351" s="2098" t="s">
        <v>3290</v>
      </c>
      <c r="B351" s="2099" t="s">
        <v>4474</v>
      </c>
      <c r="D351" s="2099"/>
      <c r="E351" s="2099"/>
      <c r="G351" s="2142"/>
      <c r="M351" s="2078">
        <v>2</v>
      </c>
      <c r="N351" s="2077"/>
      <c r="O351" s="2109">
        <f>IF($C$16="9%",IF(OR(O352=$M352,O353=$M353),$M$351,0),0)</f>
        <v>0</v>
      </c>
      <c r="P351" s="2109">
        <f>IF($C$16="9%",IF(OR(P352=$M352,P353=$M353),$M$351,0),0)</f>
        <v>0</v>
      </c>
      <c r="Q351" s="2110" t="s">
        <v>415</v>
      </c>
      <c r="R351" s="2072"/>
      <c r="S351" s="2072"/>
      <c r="T351" s="2072"/>
      <c r="U351" s="2072"/>
      <c r="V351" s="2072"/>
      <c r="AM351" s="2492">
        <v>351</v>
      </c>
    </row>
    <row r="352" spans="1:39" ht="16" customHeight="1">
      <c r="A352" s="2078" t="s">
        <v>1836</v>
      </c>
      <c r="B352" s="2148" t="s">
        <v>4475</v>
      </c>
      <c r="D352" s="2129"/>
      <c r="F352" s="2107" t="s">
        <v>4486</v>
      </c>
      <c r="J352" s="4098"/>
      <c r="K352" s="4099"/>
      <c r="L352" s="4100"/>
      <c r="M352" s="2095">
        <v>2</v>
      </c>
      <c r="N352" s="2113"/>
      <c r="O352" s="1988"/>
      <c r="P352" s="2197"/>
      <c r="Q352" s="2149" t="str">
        <f>IF(OR(O352=0,O352="",O352=$M352),"","Check!")</f>
        <v/>
      </c>
      <c r="R352" s="2112" t="str">
        <f t="shared" ref="R352:R353" si="14">IF(OR($O352=$M352,$O352=0,$O352=""),"","* * Check Score! * *")</f>
        <v/>
      </c>
      <c r="S352" s="2072"/>
      <c r="T352" s="2072"/>
      <c r="U352" s="2072"/>
      <c r="V352" s="2072"/>
      <c r="AM352" s="2493">
        <v>352</v>
      </c>
    </row>
    <row r="353" spans="1:39" ht="16" customHeight="1">
      <c r="A353" s="2078" t="s">
        <v>1838</v>
      </c>
      <c r="B353" s="2148" t="s">
        <v>4476</v>
      </c>
      <c r="F353" s="2107" t="s">
        <v>5075</v>
      </c>
      <c r="J353" s="4098"/>
      <c r="K353" s="4099"/>
      <c r="L353" s="4100"/>
      <c r="M353" s="2095">
        <v>2</v>
      </c>
      <c r="N353" s="2113"/>
      <c r="O353" s="1978"/>
      <c r="P353" s="2198"/>
      <c r="Q353" s="2149" t="str">
        <f>IF(OR(O353=0,O353="",O353=$M353),"","Check!")</f>
        <v/>
      </c>
      <c r="R353" s="2112" t="str">
        <f t="shared" si="14"/>
        <v/>
      </c>
      <c r="S353" s="2072"/>
      <c r="T353" s="2072"/>
      <c r="U353" s="2072"/>
      <c r="V353" s="2072"/>
      <c r="AM353" s="2493">
        <v>353</v>
      </c>
    </row>
    <row r="354" spans="1:39" ht="16" customHeight="1">
      <c r="A354" s="2075"/>
      <c r="B354" s="2097" t="s">
        <v>4817</v>
      </c>
      <c r="C354" s="2075"/>
      <c r="D354" s="2075"/>
      <c r="E354" s="2075"/>
      <c r="F354" s="2075"/>
      <c r="G354" s="2075"/>
      <c r="H354" s="2075"/>
      <c r="I354" s="2075"/>
      <c r="J354" s="2075"/>
      <c r="K354" s="2075"/>
      <c r="M354" s="2077"/>
      <c r="O354" s="2088"/>
      <c r="R354" s="2072"/>
      <c r="S354" s="2072"/>
      <c r="T354" s="2072"/>
      <c r="U354" s="2072"/>
      <c r="V354" s="2072"/>
      <c r="AM354" s="2493">
        <v>354</v>
      </c>
    </row>
    <row r="355" spans="1:39" ht="15" customHeight="1">
      <c r="A355" s="3966" t="s">
        <v>5280</v>
      </c>
      <c r="B355" s="3967"/>
      <c r="C355" s="3967"/>
      <c r="D355" s="3967"/>
      <c r="E355" s="3967"/>
      <c r="F355" s="3967"/>
      <c r="G355" s="3967"/>
      <c r="H355" s="3967"/>
      <c r="I355" s="3967"/>
      <c r="J355" s="3967"/>
      <c r="K355" s="3967"/>
      <c r="L355" s="3967"/>
      <c r="M355" s="3967"/>
      <c r="N355" s="3967"/>
      <c r="O355" s="3967"/>
      <c r="P355" s="3968"/>
      <c r="Q355" s="2154"/>
      <c r="AM355" s="2493">
        <v>355</v>
      </c>
    </row>
    <row r="356" spans="1:39" ht="16" customHeight="1">
      <c r="A356" s="2075"/>
      <c r="B356" s="2136" t="s">
        <v>1725</v>
      </c>
      <c r="C356" s="2075"/>
      <c r="D356" s="2136"/>
      <c r="E356" s="2127"/>
      <c r="F356" s="2127"/>
      <c r="G356" s="2127"/>
      <c r="H356" s="2127"/>
      <c r="I356" s="2127"/>
      <c r="J356" s="2127"/>
      <c r="K356" s="2127"/>
      <c r="L356" s="2127"/>
      <c r="M356" s="2127"/>
      <c r="N356" s="2139"/>
      <c r="O356" s="2140"/>
      <c r="P356" s="2078"/>
      <c r="AM356" s="2492">
        <v>356</v>
      </c>
    </row>
    <row r="357" spans="1:39" ht="15" customHeight="1">
      <c r="A357" s="3878"/>
      <c r="B357" s="3879"/>
      <c r="C357" s="3879"/>
      <c r="D357" s="3879"/>
      <c r="E357" s="3879"/>
      <c r="F357" s="3879"/>
      <c r="G357" s="3879"/>
      <c r="H357" s="3879"/>
      <c r="I357" s="3879"/>
      <c r="J357" s="3879"/>
      <c r="K357" s="3879"/>
      <c r="L357" s="3879"/>
      <c r="M357" s="3879"/>
      <c r="N357" s="3879"/>
      <c r="O357" s="3879"/>
      <c r="P357" s="3880"/>
      <c r="Q357" s="2141"/>
      <c r="AM357" s="2493">
        <v>357</v>
      </c>
    </row>
    <row r="358" spans="1:39" ht="9.75" customHeight="1">
      <c r="A358" s="2075"/>
      <c r="D358" s="2075"/>
      <c r="E358" s="2075"/>
      <c r="F358" s="2078"/>
      <c r="G358" s="2078"/>
      <c r="H358" s="2078"/>
      <c r="I358" s="2078"/>
      <c r="J358" s="2107"/>
      <c r="K358" s="2107"/>
      <c r="L358" s="2107"/>
      <c r="M358" s="2077"/>
      <c r="N358" s="2078"/>
      <c r="P358" s="2088"/>
      <c r="AM358" s="2492">
        <v>358</v>
      </c>
    </row>
    <row r="359" spans="1:39" ht="9.75" customHeight="1" thickBot="1">
      <c r="AM359" s="2492">
        <v>359</v>
      </c>
    </row>
    <row r="360" spans="1:39" ht="16" customHeight="1" thickBot="1">
      <c r="A360" s="2184" t="s">
        <v>3291</v>
      </c>
      <c r="B360" s="2099" t="s">
        <v>1553</v>
      </c>
      <c r="D360" s="2155"/>
      <c r="E360" s="2155"/>
      <c r="G360" s="2075"/>
      <c r="L360" s="2217" t="str">
        <f>IF(AND(O360&gt;0,NOT($C$16="9%")),"Ineligible, not 9%!","")</f>
        <v/>
      </c>
      <c r="M360" s="2078">
        <v>2</v>
      </c>
      <c r="N360" s="2112"/>
      <c r="O360" s="2018"/>
      <c r="P360" s="2242"/>
      <c r="Q360" s="2110" t="s">
        <v>415</v>
      </c>
      <c r="R360" s="2279"/>
      <c r="S360" s="2279"/>
      <c r="AM360" s="2492">
        <v>360</v>
      </c>
    </row>
    <row r="361" spans="1:39" ht="16" customHeight="1">
      <c r="A361" s="2094"/>
      <c r="B361" s="2199" t="s">
        <v>3070</v>
      </c>
      <c r="D361" s="2155"/>
      <c r="E361" s="2155"/>
      <c r="G361" s="2075"/>
      <c r="I361" s="4101" t="s">
        <v>5041</v>
      </c>
      <c r="J361" s="4102"/>
      <c r="K361" s="4102"/>
      <c r="L361" s="4103"/>
      <c r="M361" s="2077"/>
      <c r="N361" s="2077"/>
      <c r="O361" s="2095"/>
      <c r="P361" s="2095"/>
      <c r="Q361" s="2115"/>
      <c r="R361" s="2279"/>
      <c r="S361" s="2279"/>
      <c r="AM361" s="2492">
        <v>361</v>
      </c>
    </row>
    <row r="362" spans="1:39" ht="16" hidden="1" customHeight="1">
      <c r="B362" s="2199"/>
      <c r="D362" s="2075"/>
      <c r="E362" s="2075"/>
      <c r="F362" s="2075"/>
      <c r="G362" s="2075"/>
      <c r="H362" s="2075"/>
      <c r="I362" s="2075"/>
      <c r="J362" s="2075"/>
      <c r="K362" s="2075"/>
      <c r="L362" s="2075"/>
      <c r="M362" s="2075"/>
      <c r="N362" s="2113"/>
      <c r="O362" s="2113"/>
      <c r="P362" s="2113"/>
      <c r="AM362" s="2492">
        <v>362</v>
      </c>
    </row>
    <row r="363" spans="1:39" s="2075" customFormat="1" ht="16" customHeight="1">
      <c r="B363" s="2097" t="s">
        <v>4817</v>
      </c>
      <c r="L363" s="2074"/>
      <c r="M363" s="2077"/>
      <c r="N363" s="2095"/>
      <c r="O363" s="2088"/>
      <c r="P363" s="2087"/>
      <c r="AM363" s="2492">
        <v>363</v>
      </c>
    </row>
    <row r="364" spans="1:39" ht="30" customHeight="1">
      <c r="A364" s="3966" t="s">
        <v>5280</v>
      </c>
      <c r="B364" s="3967"/>
      <c r="C364" s="3967"/>
      <c r="D364" s="3967"/>
      <c r="E364" s="3967"/>
      <c r="F364" s="3967"/>
      <c r="G364" s="3967"/>
      <c r="H364" s="3967"/>
      <c r="I364" s="3967"/>
      <c r="J364" s="3967"/>
      <c r="K364" s="3967"/>
      <c r="L364" s="3967"/>
      <c r="M364" s="3967"/>
      <c r="N364" s="3967"/>
      <c r="O364" s="3967"/>
      <c r="P364" s="3968"/>
      <c r="Q364" s="2154"/>
      <c r="AM364" s="2493">
        <v>364</v>
      </c>
    </row>
    <row r="365" spans="1:39" s="2075" customFormat="1" ht="16" customHeight="1">
      <c r="B365" s="2181" t="s">
        <v>1725</v>
      </c>
      <c r="D365" s="2181"/>
      <c r="E365" s="2125"/>
      <c r="F365" s="2125"/>
      <c r="G365" s="2125"/>
      <c r="H365" s="2125"/>
      <c r="I365" s="2125"/>
      <c r="J365" s="2125"/>
      <c r="K365" s="2125"/>
      <c r="L365" s="2125"/>
      <c r="M365" s="2125"/>
      <c r="N365" s="2183"/>
      <c r="O365" s="2103"/>
      <c r="P365" s="2078"/>
      <c r="Q365" s="2074"/>
      <c r="AM365" s="2493">
        <v>365</v>
      </c>
    </row>
    <row r="366" spans="1:39" ht="15" customHeight="1">
      <c r="A366" s="3878"/>
      <c r="B366" s="3879"/>
      <c r="C366" s="3879"/>
      <c r="D366" s="3879"/>
      <c r="E366" s="3879"/>
      <c r="F366" s="3879"/>
      <c r="G366" s="3879"/>
      <c r="H366" s="3879"/>
      <c r="I366" s="3879"/>
      <c r="J366" s="3879"/>
      <c r="K366" s="3879"/>
      <c r="L366" s="3879"/>
      <c r="M366" s="3879"/>
      <c r="N366" s="3879"/>
      <c r="O366" s="3879"/>
      <c r="P366" s="3880"/>
      <c r="Q366" s="2141"/>
      <c r="AM366" s="2493">
        <v>366</v>
      </c>
    </row>
    <row r="367" spans="1:39" ht="9.75" customHeight="1">
      <c r="AM367" s="2492">
        <v>367</v>
      </c>
    </row>
    <row r="368" spans="1:39" ht="9.75" customHeight="1" thickBot="1">
      <c r="A368" s="2184"/>
      <c r="B368" s="2075"/>
      <c r="C368" s="2127"/>
      <c r="D368" s="2127"/>
      <c r="E368" s="2127"/>
      <c r="F368" s="2127"/>
      <c r="I368" s="2127"/>
      <c r="J368" s="2127"/>
      <c r="K368" s="2127"/>
      <c r="L368" s="2127"/>
      <c r="M368" s="2127"/>
      <c r="N368" s="2139"/>
      <c r="O368" s="2140"/>
      <c r="P368" s="2078"/>
      <c r="AM368" s="2492">
        <v>368</v>
      </c>
    </row>
    <row r="369" spans="1:39" s="2075" customFormat="1" ht="16" customHeight="1" thickBot="1">
      <c r="A369" s="2184" t="s">
        <v>3292</v>
      </c>
      <c r="B369" s="2099" t="s">
        <v>4822</v>
      </c>
      <c r="D369" s="2099"/>
      <c r="E369" s="2099"/>
      <c r="I369" s="2217" t="str">
        <f>IF(AND($O369&gt;0,NOT($H$11="Preservation")),"Ineligible, not Preservation!","")</f>
        <v/>
      </c>
      <c r="M369" s="2078"/>
      <c r="N369" s="2077"/>
      <c r="O369" s="2280">
        <f>IF(AND(O374&gt;0, O375&gt;0),"C or D?",IF(AND($C$16="9%",$H$11="Preservation"),O371+O372+O374+O375+O376+O385,IF(AND($C$16="4%",$H$11="Preservation",O385&gt;0),O371+O374+O375+O385,IF(AND($C$16="4%",$H$11="Preservation"),O371+O374+O375+O376+O385,0))))</f>
        <v>26</v>
      </c>
      <c r="P369" s="2280">
        <f>IF(AND(P374&gt;0, P375&gt;0),"C or D?",IF(AND($C$16="9%",$H$11="Preservation"),P371+P372+P374+P375+P376+P385,IF(AND($C$16="4%",$H$11="Preservation",P385&gt;0),P371+P374+P375+P385,IF(AND($C$16="4%",$H$11="Preservation"),P371+P374+P375+P376+P385,0))))</f>
        <v>0</v>
      </c>
      <c r="Q369" s="2110" t="s">
        <v>415</v>
      </c>
      <c r="R369" s="2116"/>
      <c r="AM369" s="2493">
        <v>369</v>
      </c>
    </row>
    <row r="370" spans="1:39" ht="7.5" customHeight="1">
      <c r="A370" s="2184"/>
      <c r="B370" s="2075"/>
      <c r="C370" s="2127"/>
      <c r="D370" s="2127"/>
      <c r="E370" s="2127"/>
      <c r="F370" s="2127"/>
      <c r="G370" s="2127"/>
      <c r="H370" s="2127"/>
      <c r="J370" s="2127"/>
      <c r="K370" s="2127"/>
      <c r="L370" s="2127"/>
      <c r="M370" s="2127"/>
      <c r="N370" s="2139"/>
      <c r="O370" s="2140"/>
      <c r="P370" s="2140"/>
      <c r="AM370" s="2492">
        <v>370</v>
      </c>
    </row>
    <row r="371" spans="1:39" s="2075" customFormat="1" ht="16" customHeight="1">
      <c r="A371" s="2078" t="s">
        <v>1836</v>
      </c>
      <c r="B371" s="2086" t="s">
        <v>4029</v>
      </c>
      <c r="D371" s="2099"/>
      <c r="E371" s="2099"/>
      <c r="L371" s="2172" t="s">
        <v>4866</v>
      </c>
      <c r="M371" s="2078">
        <v>6</v>
      </c>
      <c r="N371" s="2077"/>
      <c r="O371" s="1986">
        <v>4</v>
      </c>
      <c r="P371" s="2189"/>
      <c r="Q371" s="2110"/>
      <c r="R371" s="2116"/>
      <c r="AM371" s="2492">
        <v>371</v>
      </c>
    </row>
    <row r="372" spans="1:39" s="2075" customFormat="1" ht="16" customHeight="1">
      <c r="A372" s="2218" t="s">
        <v>1838</v>
      </c>
      <c r="B372" s="2086" t="s">
        <v>4720</v>
      </c>
      <c r="D372" s="2099"/>
      <c r="E372" s="2099"/>
      <c r="G372" s="2193" t="s">
        <v>5040</v>
      </c>
      <c r="J372" s="2193"/>
      <c r="K372" s="2115" t="str">
        <f>IF(OR($O372=$M372,$O372=0,$O372=""),"","*CHECK!*")</f>
        <v/>
      </c>
      <c r="L372" s="2172" t="s">
        <v>4866</v>
      </c>
      <c r="M372" s="2078">
        <v>6</v>
      </c>
      <c r="N372" s="2077"/>
      <c r="O372" s="2077"/>
      <c r="P372" s="2197"/>
      <c r="Q372" s="2110"/>
      <c r="R372" s="2116"/>
      <c r="AM372" s="2493">
        <v>372</v>
      </c>
    </row>
    <row r="373" spans="1:39" s="2075" customFormat="1" ht="16" customHeight="1">
      <c r="A373" s="2184"/>
      <c r="B373" s="2075" t="s">
        <v>4694</v>
      </c>
      <c r="D373" s="2099"/>
      <c r="E373" s="2099"/>
      <c r="F373" s="2091"/>
      <c r="L373" s="2115"/>
      <c r="M373" s="2078"/>
      <c r="N373" s="2077"/>
      <c r="O373" s="1990" t="s">
        <v>2642</v>
      </c>
      <c r="P373" s="2122"/>
      <c r="Q373" s="2110"/>
      <c r="R373" s="2116"/>
      <c r="AM373" s="2493">
        <v>373</v>
      </c>
    </row>
    <row r="374" spans="1:39" s="2130" customFormat="1" ht="16" customHeight="1">
      <c r="A374" s="2078" t="s">
        <v>697</v>
      </c>
      <c r="B374" s="2232" t="s">
        <v>4031</v>
      </c>
      <c r="C374" s="2225"/>
      <c r="D374" s="2225"/>
      <c r="E374" s="2225"/>
      <c r="G374" s="4104" t="s">
        <v>5000</v>
      </c>
      <c r="H374" s="4105"/>
      <c r="I374" s="4106"/>
      <c r="J374" s="4055" t="str">
        <f>IF(AND(O374&gt;0, O375&gt;0), "Choose EITHER C OR D, but not both!","")</f>
        <v/>
      </c>
      <c r="K374" s="4055"/>
      <c r="L374" s="2172" t="s">
        <v>4866</v>
      </c>
      <c r="M374" s="2078">
        <v>4</v>
      </c>
      <c r="N374" s="2191"/>
      <c r="O374" s="1986">
        <v>2</v>
      </c>
      <c r="P374" s="2189"/>
      <c r="Q374" s="2115"/>
      <c r="R374" s="2116"/>
      <c r="AM374" s="2493">
        <v>374</v>
      </c>
    </row>
    <row r="375" spans="1:39" ht="16" customHeight="1">
      <c r="A375" s="2078" t="s">
        <v>1957</v>
      </c>
      <c r="B375" s="2086" t="s">
        <v>4030</v>
      </c>
      <c r="E375" s="2155"/>
      <c r="G375" s="4107"/>
      <c r="H375" s="4108"/>
      <c r="I375" s="4109"/>
      <c r="J375" s="4055"/>
      <c r="K375" s="4055"/>
      <c r="L375" s="2172" t="s">
        <v>4866</v>
      </c>
      <c r="M375" s="2078">
        <v>4</v>
      </c>
      <c r="N375" s="2191"/>
      <c r="O375" s="1986">
        <v>0</v>
      </c>
      <c r="P375" s="2189"/>
      <c r="Q375" s="2115"/>
      <c r="R375" s="2116"/>
      <c r="AM375" s="2493">
        <v>375</v>
      </c>
    </row>
    <row r="376" spans="1:39" s="2075" customFormat="1" ht="16" customHeight="1">
      <c r="A376" s="2078" t="s">
        <v>1609</v>
      </c>
      <c r="B376" s="2086" t="s">
        <v>4823</v>
      </c>
      <c r="D376" s="2099"/>
      <c r="G376" s="2193" t="s">
        <v>5040</v>
      </c>
      <c r="J376" s="2193"/>
      <c r="K376" s="1806" t="str">
        <f>IF(AND($O376&gt;0,NOT($H$11="Preservation")),"Ineligible, not Preservation!","")</f>
        <v/>
      </c>
      <c r="L376" s="2172" t="s">
        <v>4866</v>
      </c>
      <c r="M376" s="2078">
        <v>20</v>
      </c>
      <c r="N376" s="2077"/>
      <c r="O376" s="2123">
        <f>IF($H$11="Preservation",MIN($M376,(K378+K379+K380+K381)),0)</f>
        <v>20</v>
      </c>
      <c r="P376" s="2123">
        <f>IF($H$12="Preservation",MIN($M376,(L378+L379+L380+L381)),0)</f>
        <v>0</v>
      </c>
      <c r="Q376" s="2110"/>
      <c r="R376" s="2116"/>
      <c r="AM376" s="2492">
        <v>376</v>
      </c>
    </row>
    <row r="377" spans="1:39" s="2075" customFormat="1" ht="16" customHeight="1">
      <c r="A377" s="2078"/>
      <c r="B377" s="2086"/>
      <c r="F377" s="2256" t="s">
        <v>5071</v>
      </c>
      <c r="G377" s="2257"/>
      <c r="H377" s="2258"/>
      <c r="I377" s="2258"/>
      <c r="J377" s="2258"/>
      <c r="K377" s="2458" t="s">
        <v>2881</v>
      </c>
      <c r="L377" s="2459" t="s">
        <v>245</v>
      </c>
      <c r="R377" s="2110"/>
      <c r="S377" s="2110"/>
      <c r="T377" s="2110"/>
      <c r="U377" s="2110"/>
      <c r="V377" s="2110"/>
      <c r="W377" s="2110"/>
      <c r="X377" s="2110"/>
      <c r="Y377" s="2110"/>
      <c r="Z377" s="2110"/>
      <c r="AA377" s="2110"/>
      <c r="AM377" s="2493">
        <v>377</v>
      </c>
    </row>
    <row r="378" spans="1:39" s="2075" customFormat="1" ht="16" customHeight="1">
      <c r="A378" s="2078"/>
      <c r="B378" s="2086"/>
      <c r="F378" s="2262"/>
      <c r="G378" s="2247" t="s">
        <v>3306</v>
      </c>
      <c r="K378" s="2263">
        <f>MAX(O160,O161-O162)</f>
        <v>20</v>
      </c>
      <c r="L378" s="2460">
        <f>MAX(P160,P161-P162)</f>
        <v>0</v>
      </c>
      <c r="R378" s="2110"/>
      <c r="S378" s="2110"/>
      <c r="T378" s="2110"/>
      <c r="U378" s="2110"/>
      <c r="V378" s="2110"/>
      <c r="W378" s="2110"/>
      <c r="X378" s="2110"/>
      <c r="Y378" s="2110"/>
      <c r="Z378" s="2110"/>
      <c r="AA378" s="2110"/>
      <c r="AM378" s="2492">
        <v>378</v>
      </c>
    </row>
    <row r="379" spans="1:39" s="2075" customFormat="1" ht="16" customHeight="1">
      <c r="A379" s="2078"/>
      <c r="B379" s="2086"/>
      <c r="F379" s="2262"/>
      <c r="G379" s="2247" t="s">
        <v>3907</v>
      </c>
      <c r="K379" s="2263">
        <f>MAX(O169,O178+O179+O181+O182+O183)</f>
        <v>4</v>
      </c>
      <c r="L379" s="2460">
        <f>MAX(P169,P178+P179+P181+P182+P183)</f>
        <v>0</v>
      </c>
      <c r="R379" s="2110"/>
      <c r="S379" s="2110"/>
      <c r="T379" s="2110"/>
      <c r="U379" s="2110"/>
      <c r="V379" s="2110"/>
      <c r="W379" s="2110"/>
      <c r="X379" s="2110"/>
      <c r="Y379" s="2110"/>
      <c r="Z379" s="2110"/>
      <c r="AA379" s="2110"/>
      <c r="AM379" s="2492">
        <v>379</v>
      </c>
    </row>
    <row r="380" spans="1:39" s="2075" customFormat="1" ht="16" customHeight="1">
      <c r="A380" s="2078"/>
      <c r="B380" s="2086"/>
      <c r="F380" s="2262"/>
      <c r="G380" s="2247" t="s">
        <v>3251</v>
      </c>
      <c r="K380" s="2461">
        <f>$O$190</f>
        <v>1.5</v>
      </c>
      <c r="L380" s="2462">
        <f>$P$190</f>
        <v>0</v>
      </c>
      <c r="R380" s="2110"/>
      <c r="S380" s="2110"/>
      <c r="T380" s="2110"/>
      <c r="U380" s="2110"/>
      <c r="V380" s="2110"/>
      <c r="W380" s="2110"/>
      <c r="X380" s="2110"/>
      <c r="Y380" s="2110"/>
      <c r="Z380" s="2110"/>
      <c r="AA380" s="2110"/>
      <c r="AM380" s="2492">
        <v>380</v>
      </c>
    </row>
    <row r="381" spans="1:39" s="2075" customFormat="1" ht="16" customHeight="1">
      <c r="A381" s="2078"/>
      <c r="B381" s="2086"/>
      <c r="F381" s="2382" t="s">
        <v>4955</v>
      </c>
      <c r="J381" s="2207" t="s">
        <v>4956</v>
      </c>
      <c r="K381" s="2384">
        <f>MAX(K382:K384)</f>
        <v>8</v>
      </c>
      <c r="L381" s="2385">
        <f>MAX(L382:L384)</f>
        <v>0</v>
      </c>
      <c r="R381" s="2110"/>
      <c r="S381" s="2110"/>
      <c r="T381" s="2110"/>
      <c r="U381" s="2110"/>
      <c r="V381" s="2110"/>
      <c r="W381" s="2110"/>
      <c r="X381" s="2110"/>
      <c r="Y381" s="2110"/>
      <c r="Z381" s="2110"/>
      <c r="AA381" s="2110"/>
      <c r="AM381" s="2492">
        <v>381</v>
      </c>
    </row>
    <row r="382" spans="1:39" s="2075" customFormat="1" ht="16" customHeight="1">
      <c r="A382" s="2078"/>
      <c r="B382" s="2086"/>
      <c r="F382" s="2262"/>
      <c r="G382" s="2247" t="s">
        <v>3307</v>
      </c>
      <c r="K382" s="2263">
        <f>O207</f>
        <v>0</v>
      </c>
      <c r="L382" s="2460">
        <f>P207</f>
        <v>0</v>
      </c>
      <c r="R382" s="2110"/>
      <c r="S382" s="2110"/>
      <c r="T382" s="2110"/>
      <c r="U382" s="2110"/>
      <c r="V382" s="2110"/>
      <c r="W382" s="2110"/>
      <c r="X382" s="2110"/>
      <c r="Y382" s="2110"/>
      <c r="Z382" s="2110"/>
      <c r="AA382" s="2110"/>
      <c r="AM382" s="2493">
        <v>382</v>
      </c>
    </row>
    <row r="383" spans="1:39" s="2075" customFormat="1" ht="16" customHeight="1">
      <c r="A383" s="2078"/>
      <c r="B383" s="2086"/>
      <c r="F383" s="2262"/>
      <c r="G383" s="2247" t="s">
        <v>3908</v>
      </c>
      <c r="K383" s="2266">
        <f>MAX($J$251,$O$238)</f>
        <v>8</v>
      </c>
      <c r="L383" s="2463">
        <f>MAX($K$251,$P$238)</f>
        <v>0</v>
      </c>
      <c r="R383" s="2110"/>
      <c r="S383" s="2110"/>
      <c r="T383" s="2110"/>
      <c r="U383" s="2110"/>
      <c r="V383" s="2110"/>
      <c r="W383" s="2110"/>
      <c r="X383" s="2110"/>
      <c r="Y383" s="2110"/>
      <c r="Z383" s="2110"/>
      <c r="AA383" s="2110"/>
      <c r="AM383" s="2493">
        <v>383</v>
      </c>
    </row>
    <row r="384" spans="1:39" s="2075" customFormat="1" ht="16" customHeight="1">
      <c r="A384" s="2078"/>
      <c r="B384" s="2086"/>
      <c r="F384" s="2268"/>
      <c r="G384" s="2466" t="s">
        <v>3179</v>
      </c>
      <c r="H384" s="2270"/>
      <c r="I384" s="2270"/>
      <c r="J384" s="2270"/>
      <c r="K384" s="2383">
        <f>IF(OR(O266="Yes",O267="Yes"),M265,0)</f>
        <v>0</v>
      </c>
      <c r="L384" s="2464">
        <f>IF(OR(P266="Yes",P267="Yes"),M265,0)</f>
        <v>0</v>
      </c>
      <c r="R384" s="2110"/>
      <c r="S384" s="2110"/>
      <c r="T384" s="2110"/>
      <c r="U384" s="2110"/>
      <c r="V384" s="2110"/>
      <c r="W384" s="2110"/>
      <c r="X384" s="2110"/>
      <c r="Y384" s="2110"/>
      <c r="Z384" s="2110"/>
      <c r="AA384" s="2110"/>
      <c r="AM384" s="2493">
        <v>384</v>
      </c>
    </row>
    <row r="385" spans="1:39" s="2075" customFormat="1" ht="16" customHeight="1">
      <c r="A385" s="2078" t="s">
        <v>1610</v>
      </c>
      <c r="B385" s="2086" t="s">
        <v>4824</v>
      </c>
      <c r="D385" s="2099"/>
      <c r="G385" s="2111"/>
      <c r="K385" s="2115" t="str">
        <f>IF(OR($O385&lt;=$M385,$O385=0,$O385=""),"","*CHECK!*")</f>
        <v/>
      </c>
      <c r="L385" s="2113" t="s">
        <v>4866</v>
      </c>
      <c r="M385" s="2078">
        <v>22</v>
      </c>
      <c r="N385" s="2077"/>
      <c r="O385" s="2123">
        <f>IF(AND($C$16="4%",$H$11="Preservation"),IF(O386+O387+O388+O400&gt;$M385,"Check",O386+O387+O388+O400),IF(AND($C$16="9%",$H$11="Preservation"),IF((O386+O387)&gt;($N386+$N387),"Check",O386+O387),0))</f>
        <v>0</v>
      </c>
      <c r="P385" s="2123">
        <f>IF(AND($C$16="4%",$H$11="Preservation"),IF(P386+P387+P388+P400&gt;$M385,"Check",P386+P387+P388+P400),IF(AND($C$16="9%",$H$11="Preservation"),IF((P386+P387)&gt;($N386+$N387),"Check",P386+P387),0))</f>
        <v>0</v>
      </c>
      <c r="Q385" s="2110" t="s">
        <v>415</v>
      </c>
      <c r="R385" s="2116"/>
      <c r="AM385" s="2493">
        <v>385</v>
      </c>
    </row>
    <row r="386" spans="1:39" s="2075" customFormat="1" ht="16" customHeight="1">
      <c r="A386" s="2078"/>
      <c r="B386" s="2250" t="s">
        <v>1839</v>
      </c>
      <c r="C386" s="2107" t="s">
        <v>4895</v>
      </c>
      <c r="G386" s="2422" t="s">
        <v>4907</v>
      </c>
      <c r="I386" s="2078"/>
      <c r="K386" s="2069"/>
      <c r="M386" s="2172" t="s">
        <v>4866</v>
      </c>
      <c r="N386" s="2175">
        <v>3</v>
      </c>
      <c r="O386" s="1988"/>
      <c r="P386" s="2197"/>
      <c r="Q386" s="2116"/>
      <c r="V386" s="2106"/>
      <c r="AM386" s="2492">
        <v>386</v>
      </c>
    </row>
    <row r="387" spans="1:39" s="2075" customFormat="1" ht="15" customHeight="1">
      <c r="A387" s="2078"/>
      <c r="B387" s="2117" t="s">
        <v>1841</v>
      </c>
      <c r="C387" s="2130" t="s">
        <v>4896</v>
      </c>
      <c r="D387" s="2130"/>
      <c r="E387" s="2130"/>
      <c r="G387" s="2247" t="s">
        <v>4906</v>
      </c>
      <c r="I387" s="2130"/>
      <c r="K387" s="2070"/>
      <c r="M387" s="2172" t="s">
        <v>4866</v>
      </c>
      <c r="N387" s="2175">
        <v>3</v>
      </c>
      <c r="O387" s="1977"/>
      <c r="P387" s="2200"/>
      <c r="Q387" s="2113"/>
      <c r="V387" s="2106"/>
      <c r="AM387" s="2493">
        <v>387</v>
      </c>
    </row>
    <row r="388" spans="1:39" ht="16" customHeight="1">
      <c r="B388" s="2117" t="s">
        <v>2326</v>
      </c>
      <c r="C388" s="2075" t="s">
        <v>4721</v>
      </c>
      <c r="G388" s="2193" t="s">
        <v>4897</v>
      </c>
      <c r="K388" s="2281" t="str">
        <f>IF(OR($O388="",AND($O388&gt;=0,$O388&lt;=$N388,$C$16="4%"),$C$16="4%"),"","Ineligible!")</f>
        <v/>
      </c>
      <c r="M388" s="2172" t="s">
        <v>4866</v>
      </c>
      <c r="N388" s="2175">
        <v>10</v>
      </c>
      <c r="O388" s="2022"/>
      <c r="P388" s="2282"/>
      <c r="Q388" s="2115" t="str">
        <f>IF(OR($O388&lt;=$N388,$O388=0,$O388=""),"","*CHECK!*")</f>
        <v/>
      </c>
      <c r="R388" s="2116"/>
      <c r="AM388" s="2492">
        <v>388</v>
      </c>
    </row>
    <row r="389" spans="1:39" ht="16" customHeight="1">
      <c r="A389" s="2078"/>
      <c r="B389" s="2074" t="s">
        <v>1132</v>
      </c>
      <c r="D389" s="2074" t="s">
        <v>4725</v>
      </c>
      <c r="E389" s="2075"/>
      <c r="F389" s="2075"/>
      <c r="G389" s="2075" t="s">
        <v>4116</v>
      </c>
      <c r="H389" s="2075"/>
      <c r="I389" s="2075"/>
      <c r="J389" s="3977" t="s">
        <v>574</v>
      </c>
      <c r="K389" s="3977"/>
      <c r="L389" s="2095" t="s">
        <v>4726</v>
      </c>
      <c r="M389" s="3949" t="s">
        <v>4730</v>
      </c>
      <c r="N389" s="3949"/>
      <c r="O389" s="3949"/>
      <c r="P389" s="3949"/>
      <c r="Q389" s="2115"/>
      <c r="AM389" s="2492">
        <v>389</v>
      </c>
    </row>
    <row r="390" spans="1:39" ht="15" customHeight="1">
      <c r="A390" s="2118" t="s">
        <v>1958</v>
      </c>
      <c r="B390" s="4093"/>
      <c r="C390" s="4093"/>
      <c r="D390" s="4093"/>
      <c r="E390" s="4093"/>
      <c r="F390" s="4093"/>
      <c r="G390" s="4093"/>
      <c r="H390" s="4093"/>
      <c r="I390" s="4093"/>
      <c r="J390" s="4094"/>
      <c r="K390" s="4094"/>
      <c r="L390" s="2019"/>
      <c r="M390" s="4095"/>
      <c r="N390" s="4096"/>
      <c r="O390" s="4096"/>
      <c r="P390" s="4097"/>
      <c r="Q390" s="2115"/>
      <c r="AM390" s="2492">
        <v>390</v>
      </c>
    </row>
    <row r="391" spans="1:39" ht="15" customHeight="1">
      <c r="A391" s="2118" t="s">
        <v>1959</v>
      </c>
      <c r="B391" s="4110"/>
      <c r="C391" s="4110"/>
      <c r="D391" s="4110"/>
      <c r="E391" s="4110"/>
      <c r="F391" s="4110"/>
      <c r="G391" s="4110"/>
      <c r="H391" s="4110"/>
      <c r="I391" s="4110"/>
      <c r="J391" s="4111"/>
      <c r="K391" s="4111"/>
      <c r="L391" s="2020"/>
      <c r="M391" s="4112"/>
      <c r="N391" s="4113"/>
      <c r="O391" s="4113"/>
      <c r="P391" s="4114"/>
      <c r="Q391" s="2115"/>
      <c r="AM391" s="2492">
        <v>391</v>
      </c>
    </row>
    <row r="392" spans="1:39" ht="15" customHeight="1">
      <c r="A392" s="2118" t="s">
        <v>1608</v>
      </c>
      <c r="B392" s="4110"/>
      <c r="C392" s="4110"/>
      <c r="D392" s="4110"/>
      <c r="E392" s="4110"/>
      <c r="F392" s="4110"/>
      <c r="G392" s="4110"/>
      <c r="H392" s="4110"/>
      <c r="I392" s="4110"/>
      <c r="J392" s="4111"/>
      <c r="K392" s="4111"/>
      <c r="L392" s="2020"/>
      <c r="M392" s="4112"/>
      <c r="N392" s="4113"/>
      <c r="O392" s="4113"/>
      <c r="P392" s="4114"/>
      <c r="Q392" s="2115"/>
      <c r="AM392" s="2493">
        <v>392</v>
      </c>
    </row>
    <row r="393" spans="1:39" ht="15" customHeight="1">
      <c r="A393" s="2118" t="s">
        <v>3741</v>
      </c>
      <c r="B393" s="4110"/>
      <c r="C393" s="4110"/>
      <c r="D393" s="4110"/>
      <c r="E393" s="4110"/>
      <c r="F393" s="4110"/>
      <c r="G393" s="4110"/>
      <c r="H393" s="4110"/>
      <c r="I393" s="4110"/>
      <c r="J393" s="4111"/>
      <c r="K393" s="4111"/>
      <c r="L393" s="2020"/>
      <c r="M393" s="4112"/>
      <c r="N393" s="4113"/>
      <c r="O393" s="4113"/>
      <c r="P393" s="4114"/>
      <c r="Q393" s="2115"/>
      <c r="AM393" s="2493">
        <v>393</v>
      </c>
    </row>
    <row r="394" spans="1:39" ht="15" customHeight="1">
      <c r="A394" s="2118" t="s">
        <v>4674</v>
      </c>
      <c r="B394" s="4110"/>
      <c r="C394" s="4110"/>
      <c r="D394" s="4110"/>
      <c r="E394" s="4110"/>
      <c r="F394" s="4110"/>
      <c r="G394" s="4110"/>
      <c r="H394" s="4110"/>
      <c r="I394" s="4110"/>
      <c r="J394" s="4111"/>
      <c r="K394" s="4111"/>
      <c r="L394" s="2020"/>
      <c r="M394" s="4112"/>
      <c r="N394" s="4113"/>
      <c r="O394" s="4113"/>
      <c r="P394" s="4114"/>
      <c r="Q394" s="2115"/>
      <c r="AM394" s="2493">
        <v>394</v>
      </c>
    </row>
    <row r="395" spans="1:39" ht="15" customHeight="1">
      <c r="A395" s="2118" t="s">
        <v>4675</v>
      </c>
      <c r="B395" s="4110"/>
      <c r="C395" s="4110"/>
      <c r="D395" s="4110"/>
      <c r="E395" s="4110"/>
      <c r="F395" s="4110"/>
      <c r="G395" s="4110"/>
      <c r="H395" s="4110"/>
      <c r="I395" s="4110"/>
      <c r="J395" s="4111"/>
      <c r="K395" s="4111"/>
      <c r="L395" s="2020"/>
      <c r="M395" s="4112"/>
      <c r="N395" s="4113"/>
      <c r="O395" s="4113"/>
      <c r="P395" s="4114"/>
      <c r="Q395" s="2115"/>
      <c r="AM395" s="2493">
        <v>395</v>
      </c>
    </row>
    <row r="396" spans="1:39" ht="15" customHeight="1">
      <c r="A396" s="2118" t="s">
        <v>4898</v>
      </c>
      <c r="B396" s="4110"/>
      <c r="C396" s="4110"/>
      <c r="D396" s="4110"/>
      <c r="E396" s="4110"/>
      <c r="F396" s="4110"/>
      <c r="G396" s="4110"/>
      <c r="H396" s="4110"/>
      <c r="I396" s="4110"/>
      <c r="J396" s="4111"/>
      <c r="K396" s="4111"/>
      <c r="L396" s="2020"/>
      <c r="M396" s="4112"/>
      <c r="N396" s="4113"/>
      <c r="O396" s="4113"/>
      <c r="P396" s="4114"/>
      <c r="Q396" s="2115"/>
      <c r="AM396" s="2492">
        <v>396</v>
      </c>
    </row>
    <row r="397" spans="1:39" ht="15" customHeight="1">
      <c r="A397" s="2118" t="s">
        <v>4899</v>
      </c>
      <c r="B397" s="4110"/>
      <c r="C397" s="4110"/>
      <c r="D397" s="4110"/>
      <c r="E397" s="4110"/>
      <c r="F397" s="4110"/>
      <c r="G397" s="4110"/>
      <c r="H397" s="4110"/>
      <c r="I397" s="4110"/>
      <c r="J397" s="4111"/>
      <c r="K397" s="4111"/>
      <c r="L397" s="2020"/>
      <c r="M397" s="4112"/>
      <c r="N397" s="4113"/>
      <c r="O397" s="4113"/>
      <c r="P397" s="4114"/>
      <c r="Q397" s="2115"/>
      <c r="AM397" s="2493">
        <v>397</v>
      </c>
    </row>
    <row r="398" spans="1:39" ht="15" customHeight="1">
      <c r="A398" s="2118" t="s">
        <v>4874</v>
      </c>
      <c r="B398" s="4110"/>
      <c r="C398" s="4110"/>
      <c r="D398" s="4110"/>
      <c r="E398" s="4110"/>
      <c r="F398" s="4110"/>
      <c r="G398" s="4110"/>
      <c r="H398" s="4110"/>
      <c r="I398" s="4110"/>
      <c r="J398" s="4111"/>
      <c r="K398" s="4111"/>
      <c r="L398" s="2020"/>
      <c r="M398" s="4112"/>
      <c r="N398" s="4113"/>
      <c r="O398" s="4113"/>
      <c r="P398" s="4114"/>
      <c r="AM398" s="2492">
        <v>398</v>
      </c>
    </row>
    <row r="399" spans="1:39" ht="15" customHeight="1">
      <c r="A399" s="2118" t="s">
        <v>4900</v>
      </c>
      <c r="B399" s="4139"/>
      <c r="C399" s="4139"/>
      <c r="D399" s="4139"/>
      <c r="E399" s="4139"/>
      <c r="F399" s="4139"/>
      <c r="G399" s="4139"/>
      <c r="H399" s="4139"/>
      <c r="I399" s="4139"/>
      <c r="J399" s="4140"/>
      <c r="K399" s="4140"/>
      <c r="L399" s="2021"/>
      <c r="M399" s="4115"/>
      <c r="N399" s="4116"/>
      <c r="O399" s="4116"/>
      <c r="P399" s="4117"/>
      <c r="Q399" s="2115"/>
      <c r="AM399" s="2492">
        <v>399</v>
      </c>
    </row>
    <row r="400" spans="1:39" s="2130" customFormat="1" ht="16" customHeight="1">
      <c r="A400" s="2218"/>
      <c r="B400" s="2117" t="s">
        <v>1149</v>
      </c>
      <c r="C400" s="2130" t="s">
        <v>4722</v>
      </c>
      <c r="D400" s="2225"/>
      <c r="E400" s="2225"/>
      <c r="G400" s="2193" t="s">
        <v>4897</v>
      </c>
      <c r="J400" s="2207" t="s">
        <v>4905</v>
      </c>
      <c r="K400" s="2069"/>
      <c r="L400" s="2281" t="str">
        <f>IF(OR($O400="",AND($O400&gt;=0,$O400&lt;=$N400,$C$16="4%"),$C$16="4%"),"","Ineligible!")</f>
        <v/>
      </c>
      <c r="M400" s="2172" t="s">
        <v>4866</v>
      </c>
      <c r="N400" s="2077">
        <v>6</v>
      </c>
      <c r="O400" s="2022"/>
      <c r="P400" s="2282"/>
      <c r="Q400" s="2115" t="str">
        <f>IF(OR($O400&lt;=$N400,$O400=0,$O400=""),"","*CHECK!*")</f>
        <v/>
      </c>
      <c r="AM400" s="2492">
        <v>400</v>
      </c>
    </row>
    <row r="401" spans="1:39" ht="16" customHeight="1">
      <c r="A401" s="2075"/>
      <c r="B401" s="2097" t="s">
        <v>4817</v>
      </c>
      <c r="C401" s="2075"/>
      <c r="D401" s="2075"/>
      <c r="E401" s="2075"/>
      <c r="F401" s="2075"/>
      <c r="G401" s="2075"/>
      <c r="H401" s="2075"/>
      <c r="I401" s="2075"/>
      <c r="J401" s="2075"/>
      <c r="K401" s="2075"/>
      <c r="M401" s="2077"/>
      <c r="O401" s="2088"/>
      <c r="AM401" s="2492">
        <v>401</v>
      </c>
    </row>
    <row r="402" spans="1:39" ht="45" customHeight="1">
      <c r="A402" s="3934" t="s">
        <v>5282</v>
      </c>
      <c r="B402" s="3935"/>
      <c r="C402" s="3935"/>
      <c r="D402" s="3935"/>
      <c r="E402" s="3935"/>
      <c r="F402" s="3935"/>
      <c r="G402" s="3935"/>
      <c r="H402" s="3935"/>
      <c r="I402" s="3935"/>
      <c r="J402" s="3935"/>
      <c r="K402" s="3935"/>
      <c r="L402" s="3935"/>
      <c r="M402" s="3935"/>
      <c r="N402" s="3935"/>
      <c r="O402" s="3935"/>
      <c r="P402" s="3936"/>
      <c r="Q402" s="2154"/>
      <c r="R402" s="2154"/>
      <c r="AM402" s="2492">
        <v>402</v>
      </c>
    </row>
    <row r="403" spans="1:39" s="2075" customFormat="1" ht="16" customHeight="1">
      <c r="A403" s="2097"/>
      <c r="B403" s="2097" t="s">
        <v>1725</v>
      </c>
      <c r="D403" s="2097"/>
      <c r="E403" s="2125"/>
      <c r="F403" s="2125"/>
      <c r="G403" s="2125"/>
      <c r="H403" s="2125"/>
      <c r="I403" s="2125"/>
      <c r="J403" s="2125"/>
      <c r="K403" s="2125"/>
      <c r="L403" s="2125"/>
      <c r="M403" s="2125"/>
      <c r="N403" s="2183"/>
      <c r="O403" s="2103"/>
      <c r="P403" s="2078"/>
      <c r="AM403" s="2492">
        <v>403</v>
      </c>
    </row>
    <row r="404" spans="1:39" ht="30" customHeight="1">
      <c r="A404" s="3878"/>
      <c r="B404" s="3879"/>
      <c r="C404" s="3879"/>
      <c r="D404" s="3879"/>
      <c r="E404" s="3879"/>
      <c r="F404" s="3879"/>
      <c r="G404" s="3879"/>
      <c r="H404" s="3879"/>
      <c r="I404" s="3879"/>
      <c r="J404" s="3879"/>
      <c r="K404" s="3879"/>
      <c r="L404" s="3879"/>
      <c r="M404" s="3879"/>
      <c r="N404" s="3879"/>
      <c r="O404" s="3879"/>
      <c r="P404" s="3880"/>
      <c r="Q404" s="2154"/>
      <c r="R404" s="2154"/>
      <c r="AM404" s="2492">
        <v>404</v>
      </c>
    </row>
    <row r="405" spans="1:39" ht="10.5" customHeight="1">
      <c r="A405" s="2075"/>
      <c r="B405" s="2075"/>
      <c r="C405" s="2127"/>
      <c r="D405" s="2127"/>
      <c r="E405" s="2127"/>
      <c r="F405" s="2127"/>
      <c r="G405" s="2127"/>
      <c r="H405" s="2127"/>
      <c r="I405" s="2127"/>
      <c r="J405" s="2127"/>
      <c r="K405" s="2127"/>
      <c r="L405" s="2127"/>
      <c r="M405" s="2127"/>
      <c r="N405" s="2139"/>
      <c r="O405" s="2140"/>
      <c r="P405" s="2078"/>
      <c r="Q405" s="4129" t="s">
        <v>4958</v>
      </c>
      <c r="R405" s="4130"/>
      <c r="S405" s="4130"/>
      <c r="T405" s="4130"/>
      <c r="U405" s="4130"/>
      <c r="V405" s="4130"/>
      <c r="W405" s="4130"/>
      <c r="X405" s="4130"/>
      <c r="Y405" s="4130"/>
      <c r="Z405" s="4130"/>
      <c r="AA405" s="4130"/>
      <c r="AB405" s="4130"/>
      <c r="AC405" s="4130"/>
      <c r="AD405" s="4130"/>
      <c r="AE405" s="4130"/>
      <c r="AF405" s="4130"/>
      <c r="AM405" s="2493">
        <v>405</v>
      </c>
    </row>
    <row r="406" spans="1:39" ht="10.5" customHeight="1">
      <c r="A406" s="2075"/>
      <c r="B406" s="2075"/>
      <c r="C406" s="2127"/>
      <c r="D406" s="2127"/>
      <c r="E406" s="2127"/>
      <c r="F406" s="2127"/>
      <c r="G406" s="2127"/>
      <c r="H406" s="2127"/>
      <c r="I406" s="2127"/>
      <c r="J406" s="2127"/>
      <c r="K406" s="2127"/>
      <c r="L406" s="2127"/>
      <c r="M406" s="2127"/>
      <c r="N406" s="2139"/>
      <c r="O406" s="2140"/>
      <c r="P406" s="2078"/>
      <c r="Q406" s="4129"/>
      <c r="R406" s="4130"/>
      <c r="S406" s="4130"/>
      <c r="T406" s="4130"/>
      <c r="U406" s="4130"/>
      <c r="V406" s="4130"/>
      <c r="W406" s="4130"/>
      <c r="X406" s="4130"/>
      <c r="Y406" s="4130"/>
      <c r="Z406" s="4130"/>
      <c r="AA406" s="4130"/>
      <c r="AB406" s="4130"/>
      <c r="AC406" s="4130"/>
      <c r="AD406" s="4130"/>
      <c r="AE406" s="4130"/>
      <c r="AF406" s="4130"/>
      <c r="AM406" s="2493">
        <v>406</v>
      </c>
    </row>
    <row r="407" spans="1:39" ht="16" customHeight="1" thickBot="1">
      <c r="Q407" s="4129"/>
      <c r="R407" s="4130"/>
      <c r="S407" s="4130"/>
      <c r="T407" s="4130"/>
      <c r="U407" s="4130"/>
      <c r="V407" s="4130"/>
      <c r="W407" s="4130"/>
      <c r="X407" s="4130"/>
      <c r="Y407" s="4130"/>
      <c r="Z407" s="4130"/>
      <c r="AA407" s="4130"/>
      <c r="AB407" s="4130"/>
      <c r="AC407" s="4130"/>
      <c r="AD407" s="4130"/>
      <c r="AE407" s="4130"/>
      <c r="AF407" s="4130"/>
      <c r="AM407" s="2493">
        <v>407</v>
      </c>
    </row>
    <row r="408" spans="1:39" s="2075" customFormat="1" ht="21" customHeight="1" thickTop="1" thickBot="1">
      <c r="A408" s="2086" t="s">
        <v>401</v>
      </c>
      <c r="B408" s="2074"/>
      <c r="D408" s="2074"/>
      <c r="E408" s="2074"/>
      <c r="F408" s="2074"/>
      <c r="M408" s="2000"/>
      <c r="N408" s="2089"/>
      <c r="O408" s="2090">
        <f>IF(AND($H$11="New Affordability",$C$16="9%"),$AV$450,IF(AND($H$11="New Affordability",$C$16="4%"),$AW$450,IF(AND($H$11="Preservation",$C$16="9%"),$AX$450,IF(AND($H$11="Preservation",$C$16="4%"),$AY$450,0))))</f>
        <v>65</v>
      </c>
      <c r="P408" s="2090">
        <f>IF(AND($H$11="New Affordability",$C$16="9%"),$AZ$450,IF(AND($H$11="New Affordability",$C$16="4%"),$BA$450,IF(AND($H$11="Preservation",$C$16="9%"),$BB$450,IF(AND($H$11="Preservation",$C$16="4%"),$BC$450,0))))</f>
        <v>12</v>
      </c>
      <c r="Q408" s="4130"/>
      <c r="R408" s="4130"/>
      <c r="S408" s="4130"/>
      <c r="T408" s="4130"/>
      <c r="U408" s="4130"/>
      <c r="V408" s="4130"/>
      <c r="W408" s="4130"/>
      <c r="X408" s="4130"/>
      <c r="Y408" s="4130"/>
      <c r="Z408" s="4130"/>
      <c r="AA408" s="4130"/>
      <c r="AB408" s="4130"/>
      <c r="AC408" s="4130"/>
      <c r="AD408" s="4130"/>
      <c r="AE408" s="4130"/>
      <c r="AF408" s="4130"/>
      <c r="AM408" s="2493">
        <v>408</v>
      </c>
    </row>
    <row r="409" spans="1:39" ht="9" customHeight="1" thickTop="1">
      <c r="A409" s="2075"/>
      <c r="C409" s="2127"/>
      <c r="D409" s="2127"/>
      <c r="E409" s="2127"/>
      <c r="F409" s="2127"/>
      <c r="G409" s="2127"/>
      <c r="H409" s="2127"/>
      <c r="I409" s="2127"/>
      <c r="J409" s="2127"/>
      <c r="K409" s="2127"/>
      <c r="L409" s="2127"/>
      <c r="M409" s="2127"/>
      <c r="N409" s="2127"/>
      <c r="O409" s="2127"/>
      <c r="P409" s="2127"/>
      <c r="Q409" s="4129"/>
      <c r="R409" s="4130"/>
      <c r="S409" s="4130"/>
      <c r="T409" s="4130"/>
      <c r="U409" s="4130"/>
      <c r="V409" s="4130"/>
      <c r="W409" s="4130"/>
      <c r="X409" s="4130"/>
      <c r="Y409" s="4130"/>
      <c r="Z409" s="4130"/>
      <c r="AA409" s="4130"/>
      <c r="AB409" s="4130"/>
      <c r="AC409" s="4130"/>
      <c r="AD409" s="4130"/>
      <c r="AE409" s="4130"/>
      <c r="AF409" s="4130"/>
      <c r="AM409" s="2492">
        <v>409</v>
      </c>
    </row>
    <row r="410" spans="1:39" ht="9" customHeight="1">
      <c r="F410" s="2107"/>
      <c r="G410" s="2107"/>
      <c r="H410" s="2078"/>
      <c r="I410" s="2078"/>
      <c r="N410" s="2078"/>
      <c r="O410" s="2078"/>
      <c r="P410" s="2088"/>
      <c r="Q410" s="4129"/>
      <c r="R410" s="4130"/>
      <c r="S410" s="4130"/>
      <c r="T410" s="4130"/>
      <c r="U410" s="4130"/>
      <c r="V410" s="4130"/>
      <c r="W410" s="4130"/>
      <c r="X410" s="4130"/>
      <c r="Y410" s="4130"/>
      <c r="Z410" s="4130"/>
      <c r="AA410" s="4130"/>
      <c r="AB410" s="4130"/>
      <c r="AC410" s="4130"/>
      <c r="AD410" s="4130"/>
      <c r="AE410" s="4130"/>
      <c r="AF410" s="4130"/>
      <c r="AM410" s="2493">
        <v>410</v>
      </c>
    </row>
    <row r="411" spans="1:39" ht="45" customHeight="1">
      <c r="A411" s="4131" t="s">
        <v>4984</v>
      </c>
      <c r="B411" s="4131"/>
      <c r="C411" s="4131"/>
      <c r="D411" s="4131"/>
      <c r="E411" s="4131"/>
      <c r="F411" s="4131"/>
      <c r="G411" s="4131"/>
      <c r="H411" s="4131"/>
      <c r="I411" s="4131"/>
      <c r="J411" s="4131"/>
      <c r="K411" s="4131"/>
      <c r="L411" s="4131"/>
      <c r="M411" s="4131"/>
      <c r="N411" s="4131"/>
      <c r="O411" s="4131"/>
      <c r="P411" s="4131"/>
      <c r="Q411" s="4129"/>
      <c r="R411" s="4130"/>
      <c r="S411" s="4130"/>
      <c r="T411" s="4130"/>
      <c r="U411" s="4130"/>
      <c r="V411" s="4130"/>
      <c r="W411" s="4130"/>
      <c r="X411" s="4130"/>
      <c r="Y411" s="4130"/>
      <c r="Z411" s="4130"/>
      <c r="AA411" s="4130"/>
      <c r="AB411" s="4130"/>
      <c r="AC411" s="4130"/>
      <c r="AD411" s="4130"/>
      <c r="AE411" s="4130"/>
      <c r="AF411" s="4130"/>
      <c r="AM411" s="2492">
        <v>411</v>
      </c>
    </row>
    <row r="412" spans="1:39" ht="409.5" customHeight="1">
      <c r="A412" s="3934" t="s">
        <v>5274</v>
      </c>
      <c r="B412" s="3935"/>
      <c r="C412" s="3935"/>
      <c r="D412" s="3935"/>
      <c r="E412" s="3935"/>
      <c r="F412" s="3935"/>
      <c r="G412" s="3935"/>
      <c r="H412" s="3935"/>
      <c r="I412" s="3935"/>
      <c r="J412" s="3935"/>
      <c r="K412" s="3935"/>
      <c r="L412" s="3935"/>
      <c r="M412" s="3935"/>
      <c r="N412" s="3935"/>
      <c r="O412" s="3935"/>
      <c r="P412" s="3936"/>
      <c r="Q412" s="2092"/>
      <c r="R412" s="2092"/>
      <c r="S412" s="2092"/>
      <c r="T412" s="2092"/>
      <c r="U412" s="2092"/>
      <c r="V412" s="2092"/>
      <c r="W412" s="2092"/>
      <c r="X412" s="2092"/>
      <c r="Y412" s="2092"/>
      <c r="AM412" s="2492">
        <v>412</v>
      </c>
    </row>
    <row r="413" spans="1:39">
      <c r="B413" s="2001"/>
      <c r="C413" s="2001" t="s">
        <v>1934</v>
      </c>
      <c r="D413" s="2001"/>
      <c r="E413" s="2001"/>
      <c r="F413" s="2001"/>
      <c r="G413" s="2001"/>
      <c r="H413" s="2001"/>
      <c r="I413" s="2001"/>
      <c r="J413" s="2002" t="s">
        <v>1535</v>
      </c>
      <c r="K413" s="2001"/>
      <c r="L413" s="2001"/>
      <c r="M413" s="2001"/>
      <c r="N413" s="1992"/>
      <c r="O413" s="2003"/>
      <c r="P413" s="2003"/>
      <c r="Q413" s="2015"/>
      <c r="R413" s="2015"/>
      <c r="S413" s="2015"/>
      <c r="T413" s="2093"/>
      <c r="U413" s="2093"/>
      <c r="V413" s="2093"/>
      <c r="W413" s="2093"/>
      <c r="X413" s="2093"/>
      <c r="Y413" s="2093"/>
    </row>
    <row r="414" spans="1:39">
      <c r="B414" s="2001"/>
      <c r="C414" s="2001" t="s">
        <v>1935</v>
      </c>
      <c r="D414" s="2001"/>
      <c r="E414" s="2001"/>
      <c r="F414" s="2001"/>
      <c r="G414" s="2001"/>
      <c r="H414" s="2001"/>
      <c r="I414" s="2001"/>
      <c r="J414" s="2002" t="s">
        <v>1536</v>
      </c>
      <c r="K414" s="2001"/>
      <c r="L414" s="2001"/>
      <c r="M414" s="2001"/>
      <c r="N414" s="1992"/>
      <c r="O414" s="2003"/>
      <c r="P414" s="2003"/>
      <c r="Q414" s="2001"/>
      <c r="R414" s="2001"/>
      <c r="S414" s="2001"/>
    </row>
    <row r="415" spans="1:39">
      <c r="B415" s="2001"/>
      <c r="C415" s="2001" t="s">
        <v>1936</v>
      </c>
      <c r="D415" s="2001"/>
      <c r="E415" s="2001"/>
      <c r="F415" s="2001"/>
      <c r="G415" s="2001"/>
      <c r="H415" s="2001"/>
      <c r="I415" s="2001"/>
      <c r="J415" s="2002" t="s">
        <v>2300</v>
      </c>
      <c r="K415" s="2001"/>
      <c r="L415" s="2001"/>
      <c r="M415" s="2001"/>
      <c r="N415" s="1992"/>
      <c r="O415" s="2003"/>
      <c r="P415" s="2003"/>
      <c r="Q415" s="2001"/>
      <c r="R415" s="2001"/>
      <c r="S415" s="2001"/>
    </row>
    <row r="416" spans="1:39">
      <c r="B416" s="2001"/>
      <c r="C416" s="2001" t="s">
        <v>1937</v>
      </c>
      <c r="D416" s="2001"/>
      <c r="E416" s="2001"/>
      <c r="F416" s="2001"/>
      <c r="G416" s="2001"/>
      <c r="H416" s="2001"/>
      <c r="I416" s="2001"/>
      <c r="J416" s="2002" t="s">
        <v>1537</v>
      </c>
      <c r="K416" s="2001"/>
      <c r="L416" s="2001"/>
      <c r="M416" s="2001"/>
      <c r="N416" s="1992"/>
      <c r="O416" s="2003"/>
      <c r="P416" s="2003"/>
      <c r="Q416" s="2001"/>
      <c r="R416" s="2001"/>
      <c r="S416" s="2001"/>
    </row>
    <row r="417" spans="2:58">
      <c r="B417" s="2001"/>
      <c r="C417" s="2001"/>
      <c r="D417" s="2001"/>
      <c r="E417" s="2001"/>
      <c r="F417" s="2001"/>
      <c r="G417" s="2001"/>
      <c r="H417" s="2001"/>
      <c r="I417" s="2001"/>
      <c r="J417" s="2002" t="s">
        <v>1538</v>
      </c>
      <c r="K417" s="2001"/>
      <c r="L417" s="2001"/>
      <c r="M417" s="2001"/>
      <c r="N417" s="1992"/>
      <c r="O417" s="2003"/>
      <c r="P417" s="2003"/>
      <c r="Q417" s="2001"/>
      <c r="R417" s="2001"/>
      <c r="S417" s="2001"/>
    </row>
    <row r="418" spans="2:58">
      <c r="B418" s="2001"/>
      <c r="C418" s="2001" t="s">
        <v>1641</v>
      </c>
      <c r="D418" s="2001"/>
      <c r="E418" s="2001"/>
      <c r="F418" s="2001"/>
      <c r="G418" s="2001"/>
      <c r="H418" s="2001"/>
      <c r="I418" s="2001"/>
      <c r="J418" s="2002" t="s">
        <v>1539</v>
      </c>
      <c r="K418" s="2001"/>
      <c r="L418" s="2001"/>
      <c r="M418" s="2001"/>
      <c r="N418" s="1992"/>
      <c r="O418" s="2003"/>
      <c r="P418" s="2003"/>
      <c r="Q418" s="2001"/>
      <c r="R418" s="2001"/>
      <c r="S418" s="2001"/>
    </row>
    <row r="419" spans="2:58" ht="14.5" thickBot="1">
      <c r="B419" s="2001"/>
      <c r="C419" s="2004" t="s">
        <v>1310</v>
      </c>
      <c r="D419" s="2001"/>
      <c r="E419" s="2001"/>
      <c r="F419" s="2001"/>
      <c r="G419" s="2001"/>
      <c r="H419" s="2001"/>
      <c r="I419" s="2001"/>
      <c r="J419" s="2002" t="s">
        <v>1540</v>
      </c>
      <c r="K419" s="2001"/>
      <c r="L419" s="2001"/>
      <c r="M419" s="2001"/>
      <c r="N419" s="1992"/>
      <c r="O419" s="2003"/>
      <c r="P419" s="2003"/>
      <c r="Q419" s="2001"/>
      <c r="R419" s="2001"/>
      <c r="S419" s="2001"/>
      <c r="AS419" s="2081"/>
      <c r="AT419" s="2081"/>
      <c r="AU419" s="2075"/>
      <c r="AV419" s="4132" t="s">
        <v>4453</v>
      </c>
      <c r="AW419" s="4132"/>
      <c r="AX419" s="4132"/>
      <c r="AY419" s="4132"/>
      <c r="AZ419" s="4132"/>
      <c r="BA419" s="4132"/>
      <c r="BB419" s="4132"/>
      <c r="BC419" s="4132"/>
      <c r="BD419" s="2075"/>
      <c r="BE419" s="2075"/>
      <c r="BF419" s="2075"/>
    </row>
    <row r="420" spans="2:58" ht="14.5" thickBot="1">
      <c r="B420" s="2001"/>
      <c r="C420" s="2004" t="s">
        <v>1311</v>
      </c>
      <c r="D420" s="2001"/>
      <c r="E420" s="2001"/>
      <c r="F420" s="2001"/>
      <c r="G420" s="2001"/>
      <c r="H420" s="2001"/>
      <c r="I420" s="2001"/>
      <c r="J420" s="2002" t="s">
        <v>1541</v>
      </c>
      <c r="K420" s="2001"/>
      <c r="L420" s="2001"/>
      <c r="M420" s="2001"/>
      <c r="N420" s="1992"/>
      <c r="O420" s="2003"/>
      <c r="P420" s="2003"/>
      <c r="Q420" s="2001"/>
      <c r="R420" s="2001"/>
      <c r="S420" s="2001"/>
      <c r="AP420" s="2081"/>
      <c r="AQ420" s="2081"/>
      <c r="AR420" s="2075"/>
      <c r="AS420" s="2075"/>
      <c r="AT420" s="2075"/>
      <c r="AU420" s="2075"/>
      <c r="AV420" s="4133" t="s">
        <v>4454</v>
      </c>
      <c r="AW420" s="4134"/>
      <c r="AX420" s="4134"/>
      <c r="AY420" s="4135"/>
      <c r="AZ420" s="4136" t="s">
        <v>4455</v>
      </c>
      <c r="BA420" s="4137"/>
      <c r="BB420" s="4137"/>
      <c r="BC420" s="4138"/>
    </row>
    <row r="421" spans="2:58">
      <c r="B421" s="2001"/>
      <c r="C421" s="2004" t="s">
        <v>1975</v>
      </c>
      <c r="D421" s="2001"/>
      <c r="E421" s="2001"/>
      <c r="F421" s="2001"/>
      <c r="G421" s="2001"/>
      <c r="H421" s="2001"/>
      <c r="I421" s="2001"/>
      <c r="J421" s="2002" t="s">
        <v>1542</v>
      </c>
      <c r="K421" s="2001"/>
      <c r="L421" s="2001"/>
      <c r="M421" s="2001"/>
      <c r="N421" s="1992"/>
      <c r="O421" s="2003"/>
      <c r="P421" s="2003"/>
      <c r="Q421" s="2001"/>
      <c r="R421" s="2001"/>
      <c r="S421" s="2001"/>
      <c r="AA421" s="2398" t="s">
        <v>688</v>
      </c>
      <c r="AB421" s="2399" t="s">
        <v>4034</v>
      </c>
      <c r="AC421" s="2001"/>
      <c r="AD421" s="2001"/>
      <c r="AE421" s="2001"/>
      <c r="AF421" s="2001"/>
      <c r="AG421" s="2001"/>
      <c r="AH421" s="2001"/>
      <c r="AI421" s="2001"/>
      <c r="AJ421" s="2001"/>
      <c r="AK421" s="2001"/>
      <c r="AL421" s="2001"/>
      <c r="AN421" s="2001"/>
      <c r="AV421" s="2283"/>
      <c r="AW421" s="2283"/>
      <c r="AX421" s="2283"/>
      <c r="AY421" s="2283"/>
      <c r="AZ421" s="2283"/>
      <c r="BA421" s="2283"/>
      <c r="BB421" s="2283"/>
      <c r="BC421" s="2283"/>
    </row>
    <row r="422" spans="2:58" ht="15" customHeight="1">
      <c r="B422" s="2001"/>
      <c r="C422" s="2004" t="s">
        <v>1307</v>
      </c>
      <c r="D422" s="2001"/>
      <c r="E422" s="2001"/>
      <c r="F422" s="2001"/>
      <c r="G422" s="2001"/>
      <c r="H422" s="2001"/>
      <c r="I422" s="2001"/>
      <c r="J422" s="2002" t="s">
        <v>548</v>
      </c>
      <c r="K422" s="2001"/>
      <c r="L422" s="2001"/>
      <c r="M422" s="2001"/>
      <c r="N422" s="1992"/>
      <c r="O422" s="2003"/>
      <c r="P422" s="2003"/>
      <c r="Q422" s="2001"/>
      <c r="R422" s="2001"/>
      <c r="S422" s="2001"/>
      <c r="AA422" s="2001"/>
      <c r="AB422" s="2001"/>
      <c r="AC422" s="1974"/>
      <c r="AD422" s="2001"/>
      <c r="AE422" s="2001"/>
      <c r="AF422" s="2001"/>
      <c r="AG422" s="4122" t="s">
        <v>4747</v>
      </c>
      <c r="AH422" s="4122"/>
      <c r="AI422" s="4122" t="s">
        <v>4398</v>
      </c>
      <c r="AJ422" s="4122"/>
      <c r="AK422" s="4125" t="s">
        <v>4035</v>
      </c>
      <c r="AL422" s="4125"/>
      <c r="AM422" s="4125"/>
      <c r="AN422" s="4125"/>
      <c r="AP422" s="2100"/>
      <c r="AQ422" s="2099" t="s">
        <v>4034</v>
      </c>
      <c r="AR422" s="2100"/>
      <c r="AS422" s="2100"/>
      <c r="AT422" s="2100"/>
      <c r="AV422" s="4126" t="s">
        <v>4747</v>
      </c>
      <c r="AW422" s="4127"/>
      <c r="AX422" s="4126" t="s">
        <v>4398</v>
      </c>
      <c r="AY422" s="4127"/>
      <c r="AZ422" s="4128" t="s">
        <v>4747</v>
      </c>
      <c r="BA422" s="4128"/>
      <c r="BB422" s="4120" t="s">
        <v>4398</v>
      </c>
      <c r="BC422" s="4121"/>
    </row>
    <row r="423" spans="2:58" ht="29">
      <c r="B423" s="2001"/>
      <c r="C423" s="2004" t="s">
        <v>1308</v>
      </c>
      <c r="D423" s="2001"/>
      <c r="E423" s="2001"/>
      <c r="F423" s="2001"/>
      <c r="G423" s="2001"/>
      <c r="H423" s="2001"/>
      <c r="I423" s="2001"/>
      <c r="J423" s="2002" t="s">
        <v>1543</v>
      </c>
      <c r="K423" s="2001"/>
      <c r="L423" s="2001"/>
      <c r="M423" s="2001"/>
      <c r="N423" s="1992"/>
      <c r="O423" s="2003"/>
      <c r="P423" s="2003"/>
      <c r="Q423" s="2001"/>
      <c r="R423" s="2001"/>
      <c r="S423" s="2001"/>
      <c r="AA423" s="2001"/>
      <c r="AB423" s="1974"/>
      <c r="AC423" s="2001"/>
      <c r="AD423" s="2001"/>
      <c r="AE423" s="2001"/>
      <c r="AF423" s="2001"/>
      <c r="AG423" s="2400">
        <v>0.09</v>
      </c>
      <c r="AH423" s="2400" t="s">
        <v>4731</v>
      </c>
      <c r="AI423" s="2400">
        <v>0.09</v>
      </c>
      <c r="AJ423" s="2400" t="s">
        <v>4731</v>
      </c>
      <c r="AK423" s="4122" t="str">
        <f>'Part I-Project Identification'!F12</f>
        <v>4% Credit/TE Bond</v>
      </c>
      <c r="AL423" s="4122"/>
      <c r="AM423" s="4122"/>
      <c r="AN423" s="4122"/>
      <c r="AQ423" s="2075"/>
      <c r="AV423" s="2284">
        <v>0.09</v>
      </c>
      <c r="AW423" s="2284" t="s">
        <v>4731</v>
      </c>
      <c r="AX423" s="2284">
        <v>0.09</v>
      </c>
      <c r="AY423" s="2284" t="s">
        <v>4731</v>
      </c>
      <c r="AZ423" s="2285">
        <v>0.09</v>
      </c>
      <c r="BA423" s="2285" t="s">
        <v>4731</v>
      </c>
      <c r="BB423" s="2285">
        <v>0.09</v>
      </c>
      <c r="BC423" s="2285" t="s">
        <v>4731</v>
      </c>
    </row>
    <row r="424" spans="2:58">
      <c r="B424" s="2001"/>
      <c r="C424" s="2004" t="s">
        <v>1970</v>
      </c>
      <c r="D424" s="2001"/>
      <c r="E424" s="2001"/>
      <c r="F424" s="2001"/>
      <c r="G424" s="2001"/>
      <c r="H424" s="2001"/>
      <c r="I424" s="2001"/>
      <c r="J424" s="2002" t="s">
        <v>1544</v>
      </c>
      <c r="K424" s="2001"/>
      <c r="L424" s="2001"/>
      <c r="M424" s="2001"/>
      <c r="N424" s="1992"/>
      <c r="O424" s="2003"/>
      <c r="P424" s="2003"/>
      <c r="Q424" s="2001"/>
      <c r="R424" s="2001"/>
      <c r="S424" s="2001"/>
      <c r="AA424" s="2401"/>
      <c r="AB424" s="1974"/>
      <c r="AC424" s="2001"/>
      <c r="AD424" s="2001"/>
      <c r="AE424" s="2001"/>
      <c r="AF424" s="2001"/>
      <c r="AG424" s="2402"/>
      <c r="AH424" s="2402"/>
      <c r="AI424" s="2402"/>
      <c r="AJ424" s="2402"/>
      <c r="AK424" s="2001"/>
      <c r="AL424" s="2001"/>
      <c r="AN424" s="2001"/>
      <c r="AP424" s="2113"/>
      <c r="AQ424" s="2270"/>
      <c r="AR424" s="2270"/>
      <c r="AS424" s="2270"/>
      <c r="AT424" s="2270"/>
      <c r="AU424" s="2270"/>
      <c r="AV424" s="2287"/>
      <c r="AW424" s="2288"/>
      <c r="AX424" s="2289"/>
      <c r="AY424" s="2290"/>
      <c r="AZ424" s="2291"/>
      <c r="BA424" s="2292"/>
      <c r="BB424" s="2293"/>
      <c r="BC424" s="2292"/>
    </row>
    <row r="425" spans="2:58">
      <c r="B425" s="2001"/>
      <c r="C425" s="2004" t="s">
        <v>1971</v>
      </c>
      <c r="D425" s="2001"/>
      <c r="E425" s="2001"/>
      <c r="F425" s="2001"/>
      <c r="G425" s="2001"/>
      <c r="H425" s="2001"/>
      <c r="I425" s="2001"/>
      <c r="J425" s="2002" t="s">
        <v>1545</v>
      </c>
      <c r="K425" s="2001"/>
      <c r="L425" s="2001"/>
      <c r="M425" s="2001"/>
      <c r="N425" s="1992"/>
      <c r="O425" s="2003"/>
      <c r="P425" s="2003"/>
      <c r="Q425" s="2001"/>
      <c r="R425" s="2001"/>
      <c r="S425" s="2001"/>
      <c r="AA425" s="2401" t="s">
        <v>690</v>
      </c>
      <c r="AB425" s="1974" t="s">
        <v>3680</v>
      </c>
      <c r="AC425" s="2001"/>
      <c r="AD425" s="2001"/>
      <c r="AE425" s="2001"/>
      <c r="AF425" s="2001"/>
      <c r="AG425" s="2402">
        <f>$M$20</f>
        <v>6</v>
      </c>
      <c r="AH425" s="2402">
        <f>$M$20</f>
        <v>6</v>
      </c>
      <c r="AI425" s="2402">
        <f>$M$20</f>
        <v>6</v>
      </c>
      <c r="AJ425" s="2402">
        <f>$M$20</f>
        <v>6</v>
      </c>
      <c r="AK425" s="2001"/>
      <c r="AL425" s="2001"/>
      <c r="AN425" s="2001"/>
      <c r="AP425" s="2113" t="s">
        <v>690</v>
      </c>
      <c r="AQ425" s="2294" t="s">
        <v>3680</v>
      </c>
      <c r="AR425" s="2286"/>
      <c r="AS425" s="2286"/>
      <c r="AT425" s="2286"/>
      <c r="AU425" s="2286"/>
      <c r="AV425" s="2287">
        <f>$O$20</f>
        <v>6</v>
      </c>
      <c r="AW425" s="2288">
        <f>$O$20</f>
        <v>6</v>
      </c>
      <c r="AX425" s="2295">
        <f>$O$20</f>
        <v>6</v>
      </c>
      <c r="AY425" s="2296">
        <f>$O$20</f>
        <v>6</v>
      </c>
      <c r="AZ425" s="2297">
        <f>$P$20</f>
        <v>0</v>
      </c>
      <c r="BA425" s="2298">
        <f>$P$20</f>
        <v>0</v>
      </c>
      <c r="BB425" s="2299">
        <f>$P$20</f>
        <v>0</v>
      </c>
      <c r="BC425" s="2298">
        <f>$P$20</f>
        <v>0</v>
      </c>
    </row>
    <row r="426" spans="2:58">
      <c r="B426" s="2001"/>
      <c r="C426" s="2004" t="s">
        <v>1972</v>
      </c>
      <c r="D426" s="2001"/>
      <c r="E426" s="2001"/>
      <c r="F426" s="2001"/>
      <c r="G426" s="2001"/>
      <c r="H426" s="2001"/>
      <c r="I426" s="2001"/>
      <c r="J426" s="2002" t="s">
        <v>32</v>
      </c>
      <c r="K426" s="2001"/>
      <c r="L426" s="2001"/>
      <c r="M426" s="2001"/>
      <c r="N426" s="1992"/>
      <c r="O426" s="2003"/>
      <c r="P426" s="2003"/>
      <c r="Q426" s="2001"/>
      <c r="R426" s="2001"/>
      <c r="S426" s="2001"/>
      <c r="AA426" s="2401" t="s">
        <v>1661</v>
      </c>
      <c r="AB426" s="1974" t="s">
        <v>4440</v>
      </c>
      <c r="AC426" s="2001"/>
      <c r="AD426" s="2001"/>
      <c r="AE426" s="2001"/>
      <c r="AF426" s="2001"/>
      <c r="AG426" s="2402">
        <f>$M$37</f>
        <v>2</v>
      </c>
      <c r="AH426" s="2402">
        <f>$M$37</f>
        <v>2</v>
      </c>
      <c r="AI426" s="2402">
        <f>$M$37</f>
        <v>2</v>
      </c>
      <c r="AJ426" s="2402">
        <f>$M$37</f>
        <v>2</v>
      </c>
      <c r="AK426" s="1973" t="s">
        <v>4036</v>
      </c>
      <c r="AL426" s="2001"/>
      <c r="AN426" s="2403" t="str">
        <f>IF(OR($AK$423="9% Credit Competitive Round only", $AK$423="9% Credit &amp; HOME"),"9%",IF(OR($AK$423="4% Credit/TE Bond", $AK$423="4% Credit/TE Bond &amp; HOME", $AK$423="4% Credit/TE Bond &amp; HOME NOFA", $AK$423="4% Credit &amp; NHTF", $AK$423="4% Credit &amp; NHTF &amp; HOME"),"4%",""))</f>
        <v>4%</v>
      </c>
      <c r="AP426" s="2113" t="s">
        <v>1661</v>
      </c>
      <c r="AQ426" s="2294" t="s">
        <v>4440</v>
      </c>
      <c r="AR426" s="2300"/>
      <c r="AS426" s="2300"/>
      <c r="AT426" s="2300"/>
      <c r="AU426" s="2300"/>
      <c r="AV426" s="2295">
        <f>$O$37</f>
        <v>2</v>
      </c>
      <c r="AW426" s="2302">
        <f>$O$37</f>
        <v>2</v>
      </c>
      <c r="AX426" s="2295">
        <f>$O$37</f>
        <v>2</v>
      </c>
      <c r="AY426" s="2296">
        <f>$O$37</f>
        <v>2</v>
      </c>
      <c r="AZ426" s="2297">
        <f>$P$37</f>
        <v>0</v>
      </c>
      <c r="BA426" s="2298">
        <f>$P$37</f>
        <v>0</v>
      </c>
      <c r="BB426" s="2299">
        <f>$P$37</f>
        <v>0</v>
      </c>
      <c r="BC426" s="2298">
        <f>$P$37</f>
        <v>0</v>
      </c>
    </row>
    <row r="427" spans="2:58">
      <c r="B427" s="2001"/>
      <c r="C427" s="2004" t="s">
        <v>1973</v>
      </c>
      <c r="D427" s="2001"/>
      <c r="E427" s="2001"/>
      <c r="F427" s="2001"/>
      <c r="G427" s="2001"/>
      <c r="H427" s="2001"/>
      <c r="I427" s="2001"/>
      <c r="J427" s="2001"/>
      <c r="K427" s="2001"/>
      <c r="L427" s="2001"/>
      <c r="M427" s="2001"/>
      <c r="N427" s="1992"/>
      <c r="O427" s="2003"/>
      <c r="P427" s="2003"/>
      <c r="Q427" s="2001"/>
      <c r="R427" s="2001"/>
      <c r="S427" s="2001"/>
      <c r="AA427" s="2401" t="s">
        <v>1663</v>
      </c>
      <c r="AB427" s="1974" t="s">
        <v>3310</v>
      </c>
      <c r="AC427" s="2001"/>
      <c r="AD427" s="2001"/>
      <c r="AE427" s="2001"/>
      <c r="AF427" s="2001"/>
      <c r="AG427" s="2404">
        <f>$M$55</f>
        <v>5</v>
      </c>
      <c r="AH427" s="2402">
        <f>$M$55</f>
        <v>5</v>
      </c>
      <c r="AI427" s="2402">
        <f>$M$55</f>
        <v>5</v>
      </c>
      <c r="AJ427" s="2402">
        <f>$M$55</f>
        <v>5</v>
      </c>
      <c r="AK427" s="2001"/>
      <c r="AL427" s="2001"/>
      <c r="AN427" s="2001"/>
      <c r="AP427" s="2113" t="s">
        <v>1663</v>
      </c>
      <c r="AQ427" s="2294" t="s">
        <v>3310</v>
      </c>
      <c r="AR427" s="2300"/>
      <c r="AS427" s="2300"/>
      <c r="AT427" s="2300"/>
      <c r="AU427" s="2300"/>
      <c r="AV427" s="2303">
        <f>$O$55</f>
        <v>2</v>
      </c>
      <c r="AW427" s="2304">
        <f>$O$55</f>
        <v>2</v>
      </c>
      <c r="AX427" s="2305">
        <f>$O$55</f>
        <v>2</v>
      </c>
      <c r="AY427" s="2306">
        <f>$O$55</f>
        <v>2</v>
      </c>
      <c r="AZ427" s="2307">
        <f>$P$55</f>
        <v>0</v>
      </c>
      <c r="BA427" s="2308">
        <f>$P$55</f>
        <v>0</v>
      </c>
      <c r="BB427" s="2309">
        <f>$P$55</f>
        <v>0</v>
      </c>
      <c r="BC427" s="2310">
        <f>$P$55</f>
        <v>0</v>
      </c>
    </row>
    <row r="428" spans="2:58">
      <c r="B428" s="2001"/>
      <c r="C428" s="2004" t="s">
        <v>1974</v>
      </c>
      <c r="D428" s="2001"/>
      <c r="E428" s="2001"/>
      <c r="F428" s="2001"/>
      <c r="G428" s="2001"/>
      <c r="H428" s="2001"/>
      <c r="I428" s="2001"/>
      <c r="J428" s="2005" t="s">
        <v>2955</v>
      </c>
      <c r="K428" s="2001"/>
      <c r="L428" s="2001"/>
      <c r="M428" s="2001"/>
      <c r="N428" s="1992"/>
      <c r="O428" s="2005" t="s">
        <v>3169</v>
      </c>
      <c r="P428" s="2003"/>
      <c r="Q428" s="2001"/>
      <c r="R428" s="2001"/>
      <c r="S428" s="2001"/>
      <c r="AA428" s="2401" t="s">
        <v>495</v>
      </c>
      <c r="AB428" s="1974" t="s">
        <v>4028</v>
      </c>
      <c r="AC428" s="2001"/>
      <c r="AD428" s="2001"/>
      <c r="AE428" s="2001"/>
      <c r="AF428" s="2001"/>
      <c r="AG428" s="2402">
        <f>$M$89</f>
        <v>10</v>
      </c>
      <c r="AH428" s="2402">
        <f>$M$89</f>
        <v>10</v>
      </c>
      <c r="AI428" s="2402">
        <f>$M$89</f>
        <v>10</v>
      </c>
      <c r="AJ428" s="2402">
        <f>$M$89</f>
        <v>10</v>
      </c>
      <c r="AK428" s="2001"/>
      <c r="AL428" s="2001"/>
      <c r="AN428" s="2001"/>
      <c r="AP428" s="2113" t="s">
        <v>495</v>
      </c>
      <c r="AQ428" s="2294" t="s">
        <v>4028</v>
      </c>
      <c r="AR428" s="2300"/>
      <c r="AS428" s="2300"/>
      <c r="AT428" s="2300"/>
      <c r="AU428" s="2300"/>
      <c r="AV428" s="2295">
        <f>$O$89</f>
        <v>10</v>
      </c>
      <c r="AW428" s="2302">
        <f>$O$89</f>
        <v>10</v>
      </c>
      <c r="AX428" s="2295">
        <f>$O$89</f>
        <v>10</v>
      </c>
      <c r="AY428" s="2296">
        <f>$O$89</f>
        <v>10</v>
      </c>
      <c r="AZ428" s="2297">
        <f>$P$89</f>
        <v>10</v>
      </c>
      <c r="BA428" s="2298">
        <f>$P$89</f>
        <v>10</v>
      </c>
      <c r="BB428" s="2309">
        <f>$P$89</f>
        <v>10</v>
      </c>
      <c r="BC428" s="2310">
        <f>$P$89</f>
        <v>10</v>
      </c>
    </row>
    <row r="429" spans="2:58">
      <c r="B429" s="2001"/>
      <c r="C429" s="2004" t="s">
        <v>1309</v>
      </c>
      <c r="D429" s="2001"/>
      <c r="E429" s="2001"/>
      <c r="F429" s="2001"/>
      <c r="G429" s="2001"/>
      <c r="H429" s="2001"/>
      <c r="I429" s="2001"/>
      <c r="J429" s="2002" t="s">
        <v>2956</v>
      </c>
      <c r="K429" s="2001"/>
      <c r="L429" s="2001"/>
      <c r="M429" s="2001"/>
      <c r="N429" s="1992"/>
      <c r="O429" s="2003"/>
      <c r="P429" s="2003"/>
      <c r="Q429" s="2001"/>
      <c r="R429" s="2001"/>
      <c r="S429" s="2001"/>
      <c r="AA429" s="2401" t="s">
        <v>719</v>
      </c>
      <c r="AB429" s="1974" t="s">
        <v>4441</v>
      </c>
      <c r="AC429" s="2001"/>
      <c r="AD429" s="2001"/>
      <c r="AE429" s="2001"/>
      <c r="AF429" s="2001"/>
      <c r="AG429" s="2402">
        <f>$M$100</f>
        <v>5</v>
      </c>
      <c r="AH429" s="2402">
        <f>$M$100</f>
        <v>5</v>
      </c>
      <c r="AI429" s="2402">
        <f>$M$100</f>
        <v>5</v>
      </c>
      <c r="AJ429" s="2402">
        <f>$M$100</f>
        <v>5</v>
      </c>
      <c r="AK429" s="4123" t="s">
        <v>4452</v>
      </c>
      <c r="AL429" s="4123"/>
      <c r="AM429" s="4123"/>
      <c r="AN429" s="4123"/>
      <c r="AP429" s="2113" t="s">
        <v>719</v>
      </c>
      <c r="AQ429" s="2294" t="s">
        <v>4441</v>
      </c>
      <c r="AR429" s="2300"/>
      <c r="AS429" s="2300"/>
      <c r="AT429" s="2300"/>
      <c r="AU429" s="2300"/>
      <c r="AV429" s="2295">
        <f>$O$100</f>
        <v>4</v>
      </c>
      <c r="AW429" s="2311">
        <f>$O$100</f>
        <v>4</v>
      </c>
      <c r="AX429" s="2305">
        <f>$O$100</f>
        <v>4</v>
      </c>
      <c r="AY429" s="2306">
        <f>$O$100</f>
        <v>4</v>
      </c>
      <c r="AZ429" s="2297">
        <f>$P$100</f>
        <v>2</v>
      </c>
      <c r="BA429" s="2310">
        <f>$P$100</f>
        <v>2</v>
      </c>
      <c r="BB429" s="2309">
        <f>$P$100</f>
        <v>2</v>
      </c>
      <c r="BC429" s="2310">
        <f>$P$100</f>
        <v>2</v>
      </c>
    </row>
    <row r="430" spans="2:58">
      <c r="B430" s="2001"/>
      <c r="C430" s="2004" t="s">
        <v>2103</v>
      </c>
      <c r="D430" s="2001"/>
      <c r="E430" s="2001"/>
      <c r="F430" s="2001"/>
      <c r="G430" s="2001"/>
      <c r="H430" s="2001"/>
      <c r="I430" s="2001"/>
      <c r="J430" s="2001" t="s">
        <v>2940</v>
      </c>
      <c r="K430" s="2001"/>
      <c r="L430" s="2001"/>
      <c r="M430" s="2001"/>
      <c r="N430" s="1992"/>
      <c r="O430" s="2003">
        <v>2</v>
      </c>
      <c r="P430" s="2003"/>
      <c r="Q430" s="2001"/>
      <c r="R430" s="2001"/>
      <c r="S430" s="2001"/>
      <c r="AA430" s="2401" t="s">
        <v>280</v>
      </c>
      <c r="AB430" s="2001" t="s">
        <v>4806</v>
      </c>
      <c r="AC430" s="2001"/>
      <c r="AD430" s="2001"/>
      <c r="AE430" s="2001"/>
      <c r="AF430" s="2001"/>
      <c r="AG430" s="2402">
        <f>$M$117</f>
        <v>13</v>
      </c>
      <c r="AH430" s="2402">
        <f>$M$117</f>
        <v>13</v>
      </c>
      <c r="AI430" s="2402">
        <f>$M$117</f>
        <v>13</v>
      </c>
      <c r="AJ430" s="2402">
        <f>$M$117</f>
        <v>13</v>
      </c>
      <c r="AK430" s="4123"/>
      <c r="AL430" s="4123"/>
      <c r="AM430" s="4123"/>
      <c r="AN430" s="4123"/>
      <c r="AP430" s="2113" t="s">
        <v>280</v>
      </c>
      <c r="AQ430" s="2294" t="s">
        <v>4806</v>
      </c>
      <c r="AR430" s="2300"/>
      <c r="AS430" s="2300"/>
      <c r="AT430" s="2300"/>
      <c r="AU430" s="2300"/>
      <c r="AV430" s="2295">
        <f>$O$117</f>
        <v>13</v>
      </c>
      <c r="AW430" s="2302">
        <f>$O$117</f>
        <v>13</v>
      </c>
      <c r="AX430" s="2295">
        <f>$O$117</f>
        <v>13</v>
      </c>
      <c r="AY430" s="2296">
        <f>$O$117</f>
        <v>13</v>
      </c>
      <c r="AZ430" s="2297">
        <f>$P$117</f>
        <v>0</v>
      </c>
      <c r="BA430" s="2298">
        <f>$P$117</f>
        <v>0</v>
      </c>
      <c r="BB430" s="2309">
        <f>$P$117</f>
        <v>0</v>
      </c>
      <c r="BC430" s="2310">
        <f>$P$117</f>
        <v>0</v>
      </c>
    </row>
    <row r="431" spans="2:58">
      <c r="B431" s="2001"/>
      <c r="C431" s="2001"/>
      <c r="D431" s="2001"/>
      <c r="E431" s="2001"/>
      <c r="F431" s="2001"/>
      <c r="G431" s="2001"/>
      <c r="H431" s="2001"/>
      <c r="I431" s="2001"/>
      <c r="J431" s="2001" t="s">
        <v>2941</v>
      </c>
      <c r="K431" s="2001"/>
      <c r="L431" s="2001"/>
      <c r="M431" s="2001"/>
      <c r="N431" s="1992"/>
      <c r="O431" s="2003">
        <v>2</v>
      </c>
      <c r="P431" s="2003"/>
      <c r="Q431" s="2001"/>
      <c r="R431" s="2001"/>
      <c r="S431" s="2001"/>
      <c r="AA431" s="2401" t="s">
        <v>400</v>
      </c>
      <c r="AB431" s="1974" t="s">
        <v>4024</v>
      </c>
      <c r="AC431" s="2001"/>
      <c r="AD431" s="2001"/>
      <c r="AE431" s="2001"/>
      <c r="AF431" s="2001"/>
      <c r="AG431" s="2402">
        <f>$M$141</f>
        <v>3</v>
      </c>
      <c r="AH431" s="2402">
        <f>$M$141</f>
        <v>3</v>
      </c>
      <c r="AI431" s="2402">
        <f>$M$141</f>
        <v>3</v>
      </c>
      <c r="AJ431" s="2402">
        <f>$M$141</f>
        <v>3</v>
      </c>
      <c r="AK431" s="1974" t="s">
        <v>4447</v>
      </c>
      <c r="AL431" s="1974"/>
      <c r="AM431" s="2495"/>
      <c r="AN431" s="1987"/>
      <c r="AP431" s="2113" t="s">
        <v>400</v>
      </c>
      <c r="AQ431" s="2294" t="s">
        <v>4024</v>
      </c>
      <c r="AR431" s="2300"/>
      <c r="AS431" s="2300"/>
      <c r="AT431" s="2300"/>
      <c r="AU431" s="2300"/>
      <c r="AV431" s="2295">
        <f>$O$141</f>
        <v>0</v>
      </c>
      <c r="AW431" s="2311">
        <f>$O$141</f>
        <v>0</v>
      </c>
      <c r="AX431" s="2305">
        <f>$O$141</f>
        <v>0</v>
      </c>
      <c r="AY431" s="2306">
        <f>$O$141</f>
        <v>0</v>
      </c>
      <c r="AZ431" s="2297">
        <f>$P$141</f>
        <v>0</v>
      </c>
      <c r="BA431" s="2310">
        <f>$P$141</f>
        <v>0</v>
      </c>
      <c r="BB431" s="2309">
        <f>$P$141</f>
        <v>0</v>
      </c>
      <c r="BC431" s="2310">
        <f>$P$141</f>
        <v>0</v>
      </c>
    </row>
    <row r="432" spans="2:58">
      <c r="B432" s="2001"/>
      <c r="C432" s="2001"/>
      <c r="D432" s="2001"/>
      <c r="E432" s="2001"/>
      <c r="F432" s="2001"/>
      <c r="G432" s="4124" t="s">
        <v>1405</v>
      </c>
      <c r="H432" s="4124"/>
      <c r="I432" s="4124"/>
      <c r="J432" s="2001" t="s">
        <v>2942</v>
      </c>
      <c r="K432" s="2001"/>
      <c r="L432" s="2001"/>
      <c r="M432" s="2001"/>
      <c r="N432" s="1992"/>
      <c r="O432" s="2003">
        <v>2</v>
      </c>
      <c r="P432" s="2003"/>
      <c r="Q432" s="2001"/>
      <c r="R432" s="2001"/>
      <c r="S432" s="2001"/>
      <c r="AA432" s="2401" t="s">
        <v>342</v>
      </c>
      <c r="AB432" s="1974" t="s">
        <v>4807</v>
      </c>
      <c r="AC432" s="2001"/>
      <c r="AD432" s="2001"/>
      <c r="AE432" s="2001"/>
      <c r="AF432" s="2001"/>
      <c r="AG432" s="2402">
        <f>$M$152</f>
        <v>2</v>
      </c>
      <c r="AH432" s="2402">
        <f>$M$152</f>
        <v>2</v>
      </c>
      <c r="AI432" s="2402">
        <f>$M$152</f>
        <v>2</v>
      </c>
      <c r="AJ432" s="2402">
        <f>$M$152</f>
        <v>2</v>
      </c>
      <c r="AK432" s="1974" t="s">
        <v>3223</v>
      </c>
      <c r="AL432" s="1974"/>
      <c r="AM432" s="2495"/>
      <c r="AN432" s="1987"/>
      <c r="AP432" s="2113" t="s">
        <v>342</v>
      </c>
      <c r="AQ432" s="2294" t="s">
        <v>4807</v>
      </c>
      <c r="AR432" s="2300"/>
      <c r="AS432" s="2300"/>
      <c r="AT432" s="2300"/>
      <c r="AU432" s="2300"/>
      <c r="AV432" s="2295">
        <f>$O$152</f>
        <v>2</v>
      </c>
      <c r="AW432" s="2302">
        <f>$O$152</f>
        <v>2</v>
      </c>
      <c r="AX432" s="2305">
        <f>$O$152</f>
        <v>2</v>
      </c>
      <c r="AY432" s="2306">
        <f>$O$152</f>
        <v>2</v>
      </c>
      <c r="AZ432" s="2297">
        <f>$P$152</f>
        <v>0</v>
      </c>
      <c r="BA432" s="2298">
        <f>$P$152</f>
        <v>0</v>
      </c>
      <c r="BB432" s="2309">
        <f>$P$152</f>
        <v>0</v>
      </c>
      <c r="BC432" s="2310">
        <f>$P$152</f>
        <v>0</v>
      </c>
    </row>
    <row r="433" spans="1:55">
      <c r="B433" s="2001"/>
      <c r="C433" s="2001"/>
      <c r="D433" s="2001"/>
      <c r="E433" s="2001"/>
      <c r="F433" s="2001"/>
      <c r="G433" s="2006" t="s">
        <v>3931</v>
      </c>
      <c r="H433" s="2001" t="s">
        <v>3932</v>
      </c>
      <c r="I433" s="2006" t="s">
        <v>3930</v>
      </c>
      <c r="J433" s="2001" t="s">
        <v>2943</v>
      </c>
      <c r="K433" s="2001"/>
      <c r="L433" s="2006"/>
      <c r="M433" s="2001"/>
      <c r="N433" s="1992"/>
      <c r="O433" s="2003">
        <v>2</v>
      </c>
      <c r="P433" s="2003"/>
      <c r="Q433" s="2001"/>
      <c r="R433" s="2001"/>
      <c r="S433" s="2001"/>
      <c r="AA433" s="2401" t="s">
        <v>343</v>
      </c>
      <c r="AB433" s="1974" t="s">
        <v>3306</v>
      </c>
      <c r="AC433" s="2001"/>
      <c r="AD433" s="2001"/>
      <c r="AE433" s="2001"/>
      <c r="AF433" s="2001"/>
      <c r="AG433" s="2402">
        <f>$M$160</f>
        <v>20</v>
      </c>
      <c r="AH433" s="2402">
        <f>$M$160</f>
        <v>20</v>
      </c>
      <c r="AI433" s="2402"/>
      <c r="AJ433" s="2402"/>
      <c r="AK433" s="1974" t="s">
        <v>4040</v>
      </c>
      <c r="AL433" s="1974"/>
      <c r="AM433" s="2495"/>
      <c r="AN433" s="1987"/>
      <c r="AP433" s="2113" t="s">
        <v>343</v>
      </c>
      <c r="AQ433" s="2294" t="s">
        <v>3306</v>
      </c>
      <c r="AR433" s="2300"/>
      <c r="AS433" s="2300"/>
      <c r="AT433" s="2300"/>
      <c r="AU433" s="2300"/>
      <c r="AV433" s="2303">
        <f>$O$160</f>
        <v>0</v>
      </c>
      <c r="AW433" s="2304">
        <f>$O$160</f>
        <v>0</v>
      </c>
      <c r="AX433" s="2313"/>
      <c r="AY433" s="2314"/>
      <c r="AZ433" s="2307">
        <f>$P$160</f>
        <v>0</v>
      </c>
      <c r="BA433" s="2308">
        <f>$P$160</f>
        <v>0</v>
      </c>
      <c r="BB433" s="2315"/>
      <c r="BC433" s="2316"/>
    </row>
    <row r="434" spans="1:55">
      <c r="B434" s="2001"/>
      <c r="C434" s="2007"/>
      <c r="D434" s="2001"/>
      <c r="E434" s="2001"/>
      <c r="F434" s="2001"/>
      <c r="G434" s="2008" t="s">
        <v>2314</v>
      </c>
      <c r="H434" s="2001"/>
      <c r="I434" s="2008"/>
      <c r="J434" s="2001" t="s">
        <v>3167</v>
      </c>
      <c r="K434" s="2001"/>
      <c r="L434" s="2008"/>
      <c r="M434" s="2001"/>
      <c r="N434" s="1992"/>
      <c r="O434" s="2003">
        <v>2</v>
      </c>
      <c r="P434" s="2003"/>
      <c r="Q434" s="2001"/>
      <c r="R434" s="2001"/>
      <c r="S434" s="2001"/>
      <c r="AA434" s="2401" t="s">
        <v>344</v>
      </c>
      <c r="AB434" s="1974" t="s">
        <v>3907</v>
      </c>
      <c r="AC434" s="2001"/>
      <c r="AD434" s="2001"/>
      <c r="AE434" s="2001"/>
      <c r="AF434" s="2001"/>
      <c r="AG434" s="2405">
        <f>$M$169</f>
        <v>6</v>
      </c>
      <c r="AH434" s="2405">
        <f>$M$169</f>
        <v>6</v>
      </c>
      <c r="AI434" s="2405"/>
      <c r="AJ434" s="2405"/>
      <c r="AK434" s="1974" t="s">
        <v>4402</v>
      </c>
      <c r="AL434" s="1974"/>
      <c r="AM434" s="2495" t="s">
        <v>4732</v>
      </c>
      <c r="AN434" s="1987" t="str">
        <f>IF('Part VII-Threshold Criteria'!$P$224="Agree","Yes","")</f>
        <v/>
      </c>
      <c r="AP434" s="2113" t="s">
        <v>344</v>
      </c>
      <c r="AQ434" s="2294" t="s">
        <v>3907</v>
      </c>
      <c r="AR434" s="2300"/>
      <c r="AS434" s="2300"/>
      <c r="AT434" s="2300"/>
      <c r="AU434" s="2300"/>
      <c r="AV434" s="2303">
        <f>$O$169</f>
        <v>0</v>
      </c>
      <c r="AW434" s="2304">
        <f>$O$169</f>
        <v>0</v>
      </c>
      <c r="AX434" s="2313"/>
      <c r="AY434" s="2314"/>
      <c r="AZ434" s="2307">
        <f>$P$169</f>
        <v>0</v>
      </c>
      <c r="BA434" s="2308">
        <f>$P$169</f>
        <v>0</v>
      </c>
      <c r="BB434" s="2315"/>
      <c r="BC434" s="2316"/>
    </row>
    <row r="435" spans="1:55">
      <c r="B435" s="2001"/>
      <c r="C435" s="2007"/>
      <c r="D435" s="2001"/>
      <c r="E435" s="2001"/>
      <c r="F435" s="2001"/>
      <c r="G435" s="2008" t="s">
        <v>435</v>
      </c>
      <c r="H435" s="1992" t="s">
        <v>3934</v>
      </c>
      <c r="I435" s="2006" t="s">
        <v>2447</v>
      </c>
      <c r="J435" s="2001" t="s">
        <v>2944</v>
      </c>
      <c r="K435" s="2001"/>
      <c r="L435" s="2007"/>
      <c r="M435" s="2001"/>
      <c r="N435" s="1992"/>
      <c r="O435" s="2003">
        <v>1</v>
      </c>
      <c r="P435" s="2003"/>
      <c r="Q435" s="2001"/>
      <c r="R435" s="2001"/>
      <c r="S435" s="2001"/>
      <c r="AA435" s="2401" t="s">
        <v>1602</v>
      </c>
      <c r="AB435" s="1974" t="s">
        <v>3251</v>
      </c>
      <c r="AC435" s="2001"/>
      <c r="AD435" s="2001"/>
      <c r="AE435" s="2001"/>
      <c r="AF435" s="2001"/>
      <c r="AG435" s="2402">
        <f>$M$190</f>
        <v>3</v>
      </c>
      <c r="AH435" s="2402">
        <f>$M$190</f>
        <v>3</v>
      </c>
      <c r="AI435" s="2402"/>
      <c r="AJ435" s="2402"/>
      <c r="AK435" s="2001"/>
      <c r="AL435" s="1974"/>
      <c r="AM435" s="2495" t="s">
        <v>4039</v>
      </c>
      <c r="AN435" s="1987" t="str">
        <f>IF('Part VII-Threshold Criteria'!$P$227="Agree","Yes","")</f>
        <v/>
      </c>
      <c r="AP435" s="2113" t="s">
        <v>1602</v>
      </c>
      <c r="AQ435" s="2294" t="s">
        <v>3251</v>
      </c>
      <c r="AR435" s="2300"/>
      <c r="AS435" s="2300"/>
      <c r="AT435" s="2300"/>
      <c r="AU435" s="2300"/>
      <c r="AV435" s="2303">
        <f>$O$190</f>
        <v>1.5</v>
      </c>
      <c r="AW435" s="2304">
        <f>$O$190</f>
        <v>1.5</v>
      </c>
      <c r="AX435" s="2313"/>
      <c r="AY435" s="2314"/>
      <c r="AZ435" s="2307">
        <f>$P$190</f>
        <v>0</v>
      </c>
      <c r="BA435" s="2308">
        <f>$P$190</f>
        <v>0</v>
      </c>
      <c r="BB435" s="2315"/>
      <c r="BC435" s="2316"/>
    </row>
    <row r="436" spans="1:55">
      <c r="B436" s="2001"/>
      <c r="C436" s="2007"/>
      <c r="D436" s="2001"/>
      <c r="E436" s="2001"/>
      <c r="F436" s="2001"/>
      <c r="G436" s="2008" t="s">
        <v>1652</v>
      </c>
      <c r="H436" s="1992">
        <v>2020</v>
      </c>
      <c r="I436" s="1992" t="s">
        <v>3933</v>
      </c>
      <c r="J436" s="2001" t="s">
        <v>2945</v>
      </c>
      <c r="K436" s="2001"/>
      <c r="L436" s="2007"/>
      <c r="M436" s="2001"/>
      <c r="N436" s="1992"/>
      <c r="O436" s="2003">
        <v>1</v>
      </c>
      <c r="P436" s="2003"/>
      <c r="Q436" s="2001"/>
      <c r="R436" s="2001"/>
      <c r="S436" s="2001"/>
      <c r="AA436" s="2401" t="s">
        <v>3282</v>
      </c>
      <c r="AB436" s="1974" t="s">
        <v>3307</v>
      </c>
      <c r="AC436" s="2001"/>
      <c r="AD436" s="2001"/>
      <c r="AE436" s="2001"/>
      <c r="AF436" s="2001"/>
      <c r="AG436" s="2402">
        <f>$M$206</f>
        <v>10</v>
      </c>
      <c r="AH436" s="2402">
        <f>$M$206</f>
        <v>10</v>
      </c>
      <c r="AI436" s="2402"/>
      <c r="AJ436" s="2402"/>
      <c r="AK436" s="1974"/>
      <c r="AL436" s="1974"/>
      <c r="AM436" s="2495" t="s">
        <v>4448</v>
      </c>
      <c r="AN436" s="1987" t="str">
        <f>IF('Part VII-Threshold Criteria'!$P$228="Agree","Yes","")</f>
        <v>Yes</v>
      </c>
      <c r="AP436" s="2113" t="s">
        <v>3282</v>
      </c>
      <c r="AQ436" s="2294" t="s">
        <v>3307</v>
      </c>
      <c r="AR436" s="2300"/>
      <c r="AS436" s="2300"/>
      <c r="AT436" s="2300"/>
      <c r="AU436" s="2300"/>
      <c r="AV436" s="2303">
        <f>$O$206</f>
        <v>0</v>
      </c>
      <c r="AW436" s="2304">
        <f>$O$206</f>
        <v>0</v>
      </c>
      <c r="AX436" s="2313"/>
      <c r="AY436" s="2314"/>
      <c r="AZ436" s="2307">
        <f>$P$206</f>
        <v>0</v>
      </c>
      <c r="BA436" s="2308">
        <f>$P$206</f>
        <v>0</v>
      </c>
      <c r="BB436" s="2315"/>
      <c r="BC436" s="2316"/>
    </row>
    <row r="437" spans="1:55">
      <c r="B437" s="2001"/>
      <c r="C437" s="2007"/>
      <c r="D437" s="2001"/>
      <c r="E437" s="2001"/>
      <c r="F437" s="2001"/>
      <c r="G437" s="2008" t="s">
        <v>2345</v>
      </c>
      <c r="H437" s="1992" t="s">
        <v>1607</v>
      </c>
      <c r="I437" s="2006" t="s">
        <v>2447</v>
      </c>
      <c r="J437" s="2001" t="s">
        <v>2946</v>
      </c>
      <c r="K437" s="2001"/>
      <c r="L437" s="2007"/>
      <c r="M437" s="2001"/>
      <c r="N437" s="1992"/>
      <c r="O437" s="2003">
        <v>1</v>
      </c>
      <c r="P437" s="2003"/>
      <c r="Q437" s="2001"/>
      <c r="R437" s="2001"/>
      <c r="S437" s="2001"/>
      <c r="AA437" s="2401" t="s">
        <v>2075</v>
      </c>
      <c r="AB437" s="1974" t="s">
        <v>3908</v>
      </c>
      <c r="AC437" s="2001"/>
      <c r="AD437" s="2001"/>
      <c r="AE437" s="2001"/>
      <c r="AF437" s="2001"/>
      <c r="AG437" s="2402">
        <f>$M$238</f>
        <v>10</v>
      </c>
      <c r="AH437" s="2402">
        <f>$M$238</f>
        <v>10</v>
      </c>
      <c r="AI437" s="2402"/>
      <c r="AJ437" s="2402"/>
      <c r="AK437" s="1974"/>
      <c r="AL437" s="1974"/>
      <c r="AM437" s="2495" t="s">
        <v>4449</v>
      </c>
      <c r="AN437" s="1987" t="str">
        <f>IF('Part VII-Threshold Criteria'!$P$229="Agree","Yes","")</f>
        <v/>
      </c>
      <c r="AP437" s="2113" t="s">
        <v>2075</v>
      </c>
      <c r="AQ437" s="2294" t="s">
        <v>3908</v>
      </c>
      <c r="AR437" s="2300"/>
      <c r="AS437" s="2300"/>
      <c r="AT437" s="2300"/>
      <c r="AU437" s="2300"/>
      <c r="AV437" s="2295">
        <f>$O$238</f>
        <v>8</v>
      </c>
      <c r="AW437" s="2302">
        <f>$O$238</f>
        <v>8</v>
      </c>
      <c r="AX437" s="2317"/>
      <c r="AY437" s="2318"/>
      <c r="AZ437" s="2297">
        <f>$P$238</f>
        <v>0</v>
      </c>
      <c r="BA437" s="2298">
        <f>$P$238</f>
        <v>0</v>
      </c>
      <c r="BB437" s="2319"/>
      <c r="BC437" s="2320"/>
    </row>
    <row r="438" spans="1:55">
      <c r="B438" s="2001"/>
      <c r="C438" s="2007"/>
      <c r="D438" s="2001"/>
      <c r="E438" s="2001"/>
      <c r="F438" s="2001"/>
      <c r="G438" s="2008" t="s">
        <v>970</v>
      </c>
      <c r="H438" s="1992">
        <v>2020</v>
      </c>
      <c r="I438" s="1992" t="s">
        <v>3933</v>
      </c>
      <c r="J438" s="2001" t="s">
        <v>3168</v>
      </c>
      <c r="K438" s="2001"/>
      <c r="L438" s="2007"/>
      <c r="M438" s="2001"/>
      <c r="N438" s="1992"/>
      <c r="O438" s="2003">
        <v>1</v>
      </c>
      <c r="P438" s="2003"/>
      <c r="Q438" s="2001"/>
      <c r="R438" s="2001"/>
      <c r="S438" s="2001"/>
      <c r="AA438" s="2401" t="s">
        <v>3282</v>
      </c>
      <c r="AB438" s="1974" t="s">
        <v>3179</v>
      </c>
      <c r="AC438" s="2001"/>
      <c r="AD438" s="2001"/>
      <c r="AE438" s="2001"/>
      <c r="AF438" s="2001"/>
      <c r="AG438" s="2402">
        <f>$M$265</f>
        <v>10</v>
      </c>
      <c r="AH438" s="2402">
        <f>$M$265</f>
        <v>10</v>
      </c>
      <c r="AI438" s="2402"/>
      <c r="AJ438" s="2402"/>
      <c r="AK438" s="1974" t="s">
        <v>2437</v>
      </c>
      <c r="AL438" s="1974"/>
      <c r="AM438" s="2495"/>
      <c r="AN438" s="1987"/>
      <c r="AP438" s="2113" t="s">
        <v>3282</v>
      </c>
      <c r="AQ438" s="2294" t="s">
        <v>3179</v>
      </c>
      <c r="AR438" s="2300"/>
      <c r="AS438" s="2300"/>
      <c r="AT438" s="2300"/>
      <c r="AU438" s="2300"/>
      <c r="AV438" s="2295">
        <f>$O$265</f>
        <v>0</v>
      </c>
      <c r="AW438" s="2302">
        <f>$O$265</f>
        <v>0</v>
      </c>
      <c r="AX438" s="2317"/>
      <c r="AY438" s="2318"/>
      <c r="AZ438" s="2297">
        <f>$P$265</f>
        <v>0</v>
      </c>
      <c r="BA438" s="2298">
        <f>$P$265</f>
        <v>0</v>
      </c>
      <c r="BB438" s="2319"/>
      <c r="BC438" s="2320"/>
    </row>
    <row r="439" spans="1:55">
      <c r="B439" s="2001"/>
      <c r="C439" s="2007"/>
      <c r="D439" s="2001"/>
      <c r="E439" s="2001"/>
      <c r="F439" s="2001"/>
      <c r="G439" s="2008" t="s">
        <v>3190</v>
      </c>
      <c r="H439" s="1992">
        <v>2019</v>
      </c>
      <c r="I439" s="1992" t="s">
        <v>3933</v>
      </c>
      <c r="J439" s="2001" t="s">
        <v>2954</v>
      </c>
      <c r="K439" s="2001"/>
      <c r="L439" s="2007"/>
      <c r="M439" s="2001"/>
      <c r="N439" s="1992"/>
      <c r="O439" s="2003">
        <v>1</v>
      </c>
      <c r="P439" s="2003"/>
      <c r="Q439" s="2001"/>
      <c r="R439" s="2001"/>
      <c r="S439" s="2001"/>
      <c r="AA439" s="2401" t="s">
        <v>3283</v>
      </c>
      <c r="AB439" s="1974" t="s">
        <v>4026</v>
      </c>
      <c r="AC439" s="2001"/>
      <c r="AD439" s="2001"/>
      <c r="AE439" s="2001"/>
      <c r="AF439" s="2001"/>
      <c r="AG439" s="2402">
        <f>$M$274</f>
        <v>4</v>
      </c>
      <c r="AH439" s="2402">
        <f>$M$274</f>
        <v>4</v>
      </c>
      <c r="AI439" s="2402"/>
      <c r="AJ439" s="2402"/>
      <c r="AK439" s="1974" t="s">
        <v>4450</v>
      </c>
      <c r="AL439" s="1974"/>
      <c r="AM439" s="2495"/>
      <c r="AN439" s="1987"/>
      <c r="AP439" s="2113" t="s">
        <v>3283</v>
      </c>
      <c r="AQ439" s="2294" t="s">
        <v>4026</v>
      </c>
      <c r="AR439" s="2300"/>
      <c r="AS439" s="2300"/>
      <c r="AT439" s="2300"/>
      <c r="AU439" s="2300"/>
      <c r="AV439" s="2295">
        <f>$O$274</f>
        <v>0</v>
      </c>
      <c r="AW439" s="2302">
        <f>$O$274</f>
        <v>0</v>
      </c>
      <c r="AX439" s="2317"/>
      <c r="AY439" s="2318"/>
      <c r="AZ439" s="2297">
        <f>$P$274</f>
        <v>0</v>
      </c>
      <c r="BA439" s="2298">
        <f>$P$274</f>
        <v>0</v>
      </c>
      <c r="BB439" s="2319"/>
      <c r="BC439" s="2320"/>
    </row>
    <row r="440" spans="1:55">
      <c r="B440" s="2001"/>
      <c r="C440" s="2007"/>
      <c r="D440" s="2001"/>
      <c r="E440" s="2001"/>
      <c r="F440" s="2001"/>
      <c r="G440" s="2008" t="s">
        <v>340</v>
      </c>
      <c r="H440" s="1992" t="s">
        <v>1607</v>
      </c>
      <c r="I440" s="2006" t="s">
        <v>2447</v>
      </c>
      <c r="J440" s="2001" t="s">
        <v>2947</v>
      </c>
      <c r="K440" s="2001"/>
      <c r="L440" s="2007"/>
      <c r="M440" s="2001"/>
      <c r="N440" s="1992"/>
      <c r="O440" s="2003">
        <v>1</v>
      </c>
      <c r="P440" s="2003"/>
      <c r="Q440" s="2001"/>
      <c r="R440" s="2001"/>
      <c r="S440" s="2001"/>
      <c r="AA440" s="2401" t="s">
        <v>3281</v>
      </c>
      <c r="AB440" s="1974" t="s">
        <v>3912</v>
      </c>
      <c r="AC440" s="2001"/>
      <c r="AD440" s="2001"/>
      <c r="AE440" s="2001"/>
      <c r="AF440" s="2001"/>
      <c r="AG440" s="2402">
        <f>$M$286</f>
        <v>5</v>
      </c>
      <c r="AH440" s="2402"/>
      <c r="AI440" s="2402"/>
      <c r="AJ440" s="2402"/>
      <c r="AK440" s="1974" t="s">
        <v>4451</v>
      </c>
      <c r="AL440" s="1974"/>
      <c r="AM440" s="2495"/>
      <c r="AN440" s="2403" t="str">
        <f>'Part II-Sources of Funds'!$L$16</f>
        <v>No</v>
      </c>
      <c r="AP440" s="2113" t="s">
        <v>3281</v>
      </c>
      <c r="AQ440" s="2294" t="s">
        <v>3912</v>
      </c>
      <c r="AR440" s="2300"/>
      <c r="AS440" s="2300"/>
      <c r="AT440" s="2300"/>
      <c r="AU440" s="2300"/>
      <c r="AV440" s="2295">
        <f>$O$286</f>
        <v>0</v>
      </c>
      <c r="AW440" s="2321"/>
      <c r="AX440" s="2322"/>
      <c r="AY440" s="2318"/>
      <c r="AZ440" s="2297">
        <f>$P$286</f>
        <v>0</v>
      </c>
      <c r="BA440" s="2323"/>
      <c r="BB440" s="2324"/>
      <c r="BC440" s="2320"/>
    </row>
    <row r="441" spans="1:55">
      <c r="B441" s="2001"/>
      <c r="C441" s="2007"/>
      <c r="D441" s="2001"/>
      <c r="E441" s="2001"/>
      <c r="F441" s="2001"/>
      <c r="G441" s="2008" t="s">
        <v>1630</v>
      </c>
      <c r="H441" s="1992">
        <v>2020</v>
      </c>
      <c r="I441" s="1992" t="s">
        <v>3933</v>
      </c>
      <c r="J441" s="2001" t="s">
        <v>2948</v>
      </c>
      <c r="K441" s="2001"/>
      <c r="L441" s="2007"/>
      <c r="M441" s="2001"/>
      <c r="N441" s="1992"/>
      <c r="O441" s="2003">
        <v>1</v>
      </c>
      <c r="P441" s="2003"/>
      <c r="Q441" s="2001"/>
      <c r="R441" s="2001"/>
      <c r="S441" s="2001"/>
      <c r="AA441" s="2401" t="s">
        <v>3284</v>
      </c>
      <c r="AB441" s="2001" t="s">
        <v>4808</v>
      </c>
      <c r="AC441" s="2001"/>
      <c r="AD441" s="2001"/>
      <c r="AE441" s="2001"/>
      <c r="AF441" s="2001"/>
      <c r="AG441" s="2402">
        <f>$M$304</f>
        <v>10</v>
      </c>
      <c r="AH441" s="2402"/>
      <c r="AI441" s="2402"/>
      <c r="AJ441" s="2402"/>
      <c r="AK441" s="2001"/>
      <c r="AL441" s="2001"/>
      <c r="AN441" s="2001"/>
      <c r="AP441" s="2113" t="s">
        <v>3284</v>
      </c>
      <c r="AQ441" s="2294" t="s">
        <v>4808</v>
      </c>
      <c r="AR441" s="2300"/>
      <c r="AS441" s="2300"/>
      <c r="AT441" s="2300"/>
      <c r="AU441" s="2300"/>
      <c r="AV441" s="2295">
        <f>$O$304</f>
        <v>0</v>
      </c>
      <c r="AW441" s="2321"/>
      <c r="AX441" s="2322"/>
      <c r="AY441" s="2318"/>
      <c r="AZ441" s="2297">
        <f>$P$304</f>
        <v>0</v>
      </c>
      <c r="BA441" s="2323"/>
      <c r="BB441" s="2324"/>
      <c r="BC441" s="2320"/>
    </row>
    <row r="442" spans="1:55">
      <c r="B442" s="2001"/>
      <c r="C442" s="2007"/>
      <c r="D442" s="2001"/>
      <c r="E442" s="2001"/>
      <c r="F442" s="2001"/>
      <c r="G442" s="2008" t="s">
        <v>1904</v>
      </c>
      <c r="H442" s="1992" t="s">
        <v>3934</v>
      </c>
      <c r="I442" s="2006" t="s">
        <v>2447</v>
      </c>
      <c r="J442" s="2001" t="s">
        <v>2949</v>
      </c>
      <c r="K442" s="2001"/>
      <c r="L442" s="2007"/>
      <c r="M442" s="2001"/>
      <c r="N442" s="1992"/>
      <c r="O442" s="2003">
        <v>1</v>
      </c>
      <c r="P442" s="2003"/>
      <c r="Q442" s="2001"/>
      <c r="R442" s="2001"/>
      <c r="S442" s="2001"/>
      <c r="AA442" s="2401" t="s">
        <v>3285</v>
      </c>
      <c r="AB442" s="2001" t="s">
        <v>4809</v>
      </c>
      <c r="AC442" s="2001"/>
      <c r="AD442" s="2001"/>
      <c r="AE442" s="2001"/>
      <c r="AF442" s="2001"/>
      <c r="AG442" s="2402">
        <f>$M$318</f>
        <v>1</v>
      </c>
      <c r="AH442" s="2402"/>
      <c r="AI442" s="2402"/>
      <c r="AJ442" s="2402"/>
      <c r="AK442" s="2001"/>
      <c r="AL442" s="2001"/>
      <c r="AN442" s="2001"/>
      <c r="AP442" s="2113" t="s">
        <v>3285</v>
      </c>
      <c r="AQ442" s="2294" t="s">
        <v>4809</v>
      </c>
      <c r="AR442" s="2300"/>
      <c r="AS442" s="2300"/>
      <c r="AT442" s="2300"/>
      <c r="AU442" s="2300"/>
      <c r="AV442" s="2295">
        <f>$O$318</f>
        <v>0</v>
      </c>
      <c r="AW442" s="2325"/>
      <c r="AX442" s="2317"/>
      <c r="AY442" s="2318"/>
      <c r="AZ442" s="2297">
        <f>$P$318</f>
        <v>0</v>
      </c>
      <c r="BA442" s="2320"/>
      <c r="BB442" s="2319"/>
      <c r="BC442" s="2320"/>
    </row>
    <row r="443" spans="1:55">
      <c r="A443" s="2001"/>
      <c r="B443" s="2001"/>
      <c r="C443" s="2001"/>
      <c r="D443" s="2001"/>
      <c r="E443" s="2001"/>
      <c r="F443" s="2001"/>
      <c r="G443" s="2008" t="s">
        <v>82</v>
      </c>
      <c r="H443" s="1992" t="s">
        <v>3934</v>
      </c>
      <c r="I443" s="2006" t="s">
        <v>2447</v>
      </c>
      <c r="J443" s="2001" t="s">
        <v>2950</v>
      </c>
      <c r="K443" s="2001"/>
      <c r="L443" s="2007"/>
      <c r="M443" s="2001"/>
      <c r="N443" s="1992"/>
      <c r="O443" s="2003">
        <v>1</v>
      </c>
      <c r="P443" s="2003"/>
      <c r="Q443" s="2001"/>
      <c r="R443" s="2001"/>
      <c r="S443" s="2001"/>
      <c r="AA443" s="2401" t="s">
        <v>3288</v>
      </c>
      <c r="AB443" s="1974" t="s">
        <v>4025</v>
      </c>
      <c r="AC443" s="2001"/>
      <c r="AD443" s="2001"/>
      <c r="AE443" s="2001"/>
      <c r="AF443" s="2001"/>
      <c r="AG443" s="2402">
        <f>$M$332</f>
        <v>1</v>
      </c>
      <c r="AH443" s="2402"/>
      <c r="AI443" s="2402"/>
      <c r="AJ443" s="2402"/>
      <c r="AK443" s="2001"/>
      <c r="AL443" s="2001"/>
      <c r="AN443" s="2001"/>
      <c r="AP443" s="2113" t="s">
        <v>3288</v>
      </c>
      <c r="AQ443" s="2294" t="s">
        <v>4025</v>
      </c>
      <c r="AR443" s="2300"/>
      <c r="AS443" s="2300"/>
      <c r="AT443" s="2300"/>
      <c r="AU443" s="2300"/>
      <c r="AV443" s="2295">
        <f>$O$332</f>
        <v>0</v>
      </c>
      <c r="AW443" s="2325"/>
      <c r="AX443" s="2317"/>
      <c r="AY443" s="2318"/>
      <c r="AZ443" s="2297">
        <f>$P$332</f>
        <v>0</v>
      </c>
      <c r="BA443" s="2320"/>
      <c r="BB443" s="2319"/>
      <c r="BC443" s="2320"/>
    </row>
    <row r="444" spans="1:55">
      <c r="A444" s="2001"/>
      <c r="B444" s="2001"/>
      <c r="C444" s="2001"/>
      <c r="D444" s="2001"/>
      <c r="E444" s="2001"/>
      <c r="F444" s="2001"/>
      <c r="G444" s="2008" t="s">
        <v>836</v>
      </c>
      <c r="H444" s="1992">
        <v>2019</v>
      </c>
      <c r="I444" s="1992" t="s">
        <v>3933</v>
      </c>
      <c r="J444" s="2001" t="s">
        <v>2953</v>
      </c>
      <c r="K444" s="2001"/>
      <c r="L444" s="2007"/>
      <c r="M444" s="2001"/>
      <c r="N444" s="1992"/>
      <c r="O444" s="2003">
        <v>1</v>
      </c>
      <c r="P444" s="2003"/>
      <c r="Q444" s="2001"/>
      <c r="R444" s="2001"/>
      <c r="S444" s="2001"/>
      <c r="AA444" s="2401" t="s">
        <v>3289</v>
      </c>
      <c r="AB444" s="1974" t="s">
        <v>3311</v>
      </c>
      <c r="AC444" s="2001"/>
      <c r="AD444" s="2001"/>
      <c r="AE444" s="2001"/>
      <c r="AF444" s="2001"/>
      <c r="AG444" s="2402">
        <f>$M$340</f>
        <v>2</v>
      </c>
      <c r="AH444" s="2402"/>
      <c r="AI444" s="2402"/>
      <c r="AJ444" s="2402"/>
      <c r="AK444" s="2001"/>
      <c r="AL444" s="2001"/>
      <c r="AN444" s="2001"/>
      <c r="AP444" s="2113" t="s">
        <v>3289</v>
      </c>
      <c r="AQ444" s="2294" t="s">
        <v>3311</v>
      </c>
      <c r="AR444" s="2300"/>
      <c r="AS444" s="2300"/>
      <c r="AT444" s="2300"/>
      <c r="AU444" s="2300"/>
      <c r="AV444" s="2295">
        <f>$O$340</f>
        <v>0</v>
      </c>
      <c r="AW444" s="2325"/>
      <c r="AX444" s="2317"/>
      <c r="AY444" s="2318"/>
      <c r="AZ444" s="2297">
        <f>$P$340</f>
        <v>0</v>
      </c>
      <c r="BA444" s="2320"/>
      <c r="BB444" s="2319"/>
      <c r="BC444" s="2320"/>
    </row>
    <row r="445" spans="1:55">
      <c r="A445" s="2001" t="s">
        <v>2492</v>
      </c>
      <c r="B445" s="2001"/>
      <c r="C445" s="2001"/>
      <c r="D445" s="2001"/>
      <c r="E445" s="2001"/>
      <c r="F445" s="2001"/>
      <c r="G445" s="2008" t="s">
        <v>1981</v>
      </c>
      <c r="H445" s="1992" t="s">
        <v>3934</v>
      </c>
      <c r="I445" s="2006" t="s">
        <v>2447</v>
      </c>
      <c r="J445" s="2001" t="s">
        <v>2951</v>
      </c>
      <c r="K445" s="2001"/>
      <c r="L445" s="2007"/>
      <c r="M445" s="2001"/>
      <c r="N445" s="1992"/>
      <c r="O445" s="2003">
        <v>1</v>
      </c>
      <c r="P445" s="2003"/>
      <c r="Q445" s="2001"/>
      <c r="R445" s="2001"/>
      <c r="S445" s="2001"/>
      <c r="AA445" s="2401" t="s">
        <v>3290</v>
      </c>
      <c r="AB445" s="1974" t="s">
        <v>4445</v>
      </c>
      <c r="AC445" s="2001"/>
      <c r="AD445" s="2001"/>
      <c r="AE445" s="2001"/>
      <c r="AF445" s="2001"/>
      <c r="AG445" s="2402">
        <f>$M$351</f>
        <v>2</v>
      </c>
      <c r="AH445" s="2402"/>
      <c r="AI445" s="2404">
        <f>$M$351</f>
        <v>2</v>
      </c>
      <c r="AJ445" s="2402"/>
      <c r="AK445" s="2001"/>
      <c r="AL445" s="2001"/>
      <c r="AN445" s="2001"/>
      <c r="AP445" s="2113" t="s">
        <v>3290</v>
      </c>
      <c r="AQ445" s="2294" t="s">
        <v>4445</v>
      </c>
      <c r="AR445" s="2300"/>
      <c r="AS445" s="2300"/>
      <c r="AT445" s="2300"/>
      <c r="AU445" s="2300"/>
      <c r="AV445" s="2295">
        <f>$O$351</f>
        <v>0</v>
      </c>
      <c r="AW445" s="2325"/>
      <c r="AX445" s="2295">
        <f>$O$351</f>
        <v>0</v>
      </c>
      <c r="AY445" s="2318"/>
      <c r="AZ445" s="2297">
        <f>$P$351</f>
        <v>0</v>
      </c>
      <c r="BA445" s="2320"/>
      <c r="BB445" s="2299">
        <f>$P$351</f>
        <v>0</v>
      </c>
      <c r="BC445" s="2320"/>
    </row>
    <row r="446" spans="1:55">
      <c r="A446" s="2001" t="s">
        <v>2507</v>
      </c>
      <c r="B446" s="2001"/>
      <c r="C446" s="2001"/>
      <c r="D446" s="2001"/>
      <c r="E446" s="2001"/>
      <c r="F446" s="2001"/>
      <c r="G446" s="2008" t="s">
        <v>1902</v>
      </c>
      <c r="H446" s="1992">
        <v>2019</v>
      </c>
      <c r="I446" s="1992" t="s">
        <v>3933</v>
      </c>
      <c r="J446" s="2001" t="s">
        <v>2952</v>
      </c>
      <c r="K446" s="2001"/>
      <c r="L446" s="2007"/>
      <c r="M446" s="2001"/>
      <c r="N446" s="1992"/>
      <c r="O446" s="2003">
        <v>1</v>
      </c>
      <c r="P446" s="2003"/>
      <c r="Q446" s="2001"/>
      <c r="R446" s="2001"/>
      <c r="S446" s="2001"/>
      <c r="AA446" s="2401" t="s">
        <v>3291</v>
      </c>
      <c r="AB446" s="1974" t="s">
        <v>3309</v>
      </c>
      <c r="AC446" s="2001"/>
      <c r="AD446" s="2001"/>
      <c r="AE446" s="2001"/>
      <c r="AF446" s="2001"/>
      <c r="AG446" s="2402">
        <f>$M$360</f>
        <v>2</v>
      </c>
      <c r="AH446" s="2402"/>
      <c r="AI446" s="2404">
        <f>$M$360</f>
        <v>2</v>
      </c>
      <c r="AJ446" s="2402"/>
      <c r="AK446" s="2001"/>
      <c r="AL446" s="2001"/>
      <c r="AN446" s="2001"/>
      <c r="AP446" s="2113" t="s">
        <v>3291</v>
      </c>
      <c r="AQ446" s="2294" t="s">
        <v>3309</v>
      </c>
      <c r="AR446" s="2300"/>
      <c r="AS446" s="2300"/>
      <c r="AT446" s="2300"/>
      <c r="AU446" s="2300"/>
      <c r="AV446" s="2295">
        <f>$O$360</f>
        <v>0</v>
      </c>
      <c r="AW446" s="2325"/>
      <c r="AX446" s="2295">
        <f>$O$360</f>
        <v>0</v>
      </c>
      <c r="AY446" s="2318"/>
      <c r="AZ446" s="2297">
        <f>$P$360</f>
        <v>0</v>
      </c>
      <c r="BA446" s="2320"/>
      <c r="BB446" s="2299">
        <f>$P$360</f>
        <v>0</v>
      </c>
      <c r="BC446" s="2320"/>
    </row>
    <row r="447" spans="1:55">
      <c r="A447" s="2007" t="s">
        <v>2934</v>
      </c>
      <c r="B447" s="2001"/>
      <c r="C447" s="2001"/>
      <c r="D447" s="2007"/>
      <c r="E447" s="2007">
        <v>3</v>
      </c>
      <c r="F447" s="2001"/>
      <c r="G447" s="2008" t="s">
        <v>322</v>
      </c>
      <c r="H447" s="1992">
        <v>2019</v>
      </c>
      <c r="I447" s="1992" t="s">
        <v>3933</v>
      </c>
      <c r="J447" s="2001"/>
      <c r="K447" s="2001"/>
      <c r="L447" s="2007"/>
      <c r="M447" s="2001"/>
      <c r="N447" s="1992"/>
      <c r="O447" s="2003"/>
      <c r="P447" s="2003"/>
      <c r="Q447" s="2001"/>
      <c r="R447" s="2001"/>
      <c r="S447" s="2001"/>
      <c r="AA447" s="2401" t="s">
        <v>3292</v>
      </c>
      <c r="AB447" s="2001" t="s">
        <v>4810</v>
      </c>
      <c r="AC447" s="2001"/>
      <c r="AD447" s="2001"/>
      <c r="AE447" s="2001"/>
      <c r="AF447" s="2001"/>
      <c r="AG447" s="2402"/>
      <c r="AH447" s="2402"/>
      <c r="AI447" s="2402">
        <f>$M$369</f>
        <v>0</v>
      </c>
      <c r="AJ447" s="2402">
        <f>$M$369</f>
        <v>0</v>
      </c>
      <c r="AK447" s="2001"/>
      <c r="AL447" s="2001"/>
      <c r="AN447" s="2001"/>
      <c r="AP447" s="2113" t="s">
        <v>3292</v>
      </c>
      <c r="AQ447" s="2294" t="s">
        <v>4810</v>
      </c>
      <c r="AR447" s="2300"/>
      <c r="AS447" s="2300"/>
      <c r="AT447" s="2300"/>
      <c r="AU447" s="2300"/>
      <c r="AV447" s="2322"/>
      <c r="AW447" s="2321"/>
      <c r="AX447" s="2295">
        <f>$O$369</f>
        <v>26</v>
      </c>
      <c r="AY447" s="2296">
        <f>$O$369</f>
        <v>26</v>
      </c>
      <c r="AZ447" s="2326"/>
      <c r="BA447" s="2323"/>
      <c r="BB447" s="2299">
        <f>$P$369</f>
        <v>0</v>
      </c>
      <c r="BC447" s="2298">
        <f>$P$369</f>
        <v>0</v>
      </c>
    </row>
    <row r="448" spans="1:55">
      <c r="A448" s="2007" t="s">
        <v>2935</v>
      </c>
      <c r="B448" s="2001"/>
      <c r="C448" s="2001"/>
      <c r="D448" s="2007"/>
      <c r="E448" s="2007">
        <v>2</v>
      </c>
      <c r="F448" s="2001"/>
      <c r="G448" s="2008" t="s">
        <v>814</v>
      </c>
      <c r="H448" s="1992">
        <v>2019</v>
      </c>
      <c r="I448" s="1992" t="s">
        <v>3933</v>
      </c>
      <c r="J448" s="2001"/>
      <c r="K448" s="2001"/>
      <c r="L448" s="2007"/>
      <c r="M448" s="2001"/>
      <c r="N448" s="1992"/>
      <c r="O448" s="2003"/>
      <c r="P448" s="2003"/>
      <c r="Q448" s="2001"/>
      <c r="R448" s="2001"/>
      <c r="S448" s="2001"/>
      <c r="AA448" s="2401"/>
      <c r="AB448" s="1974"/>
      <c r="AC448" s="2001"/>
      <c r="AD448" s="2001"/>
      <c r="AE448" s="2001"/>
      <c r="AF448" s="2001"/>
      <c r="AG448" s="2402"/>
      <c r="AH448" s="2402"/>
      <c r="AI448" s="2402"/>
      <c r="AJ448" s="2402"/>
      <c r="AK448" s="2001"/>
      <c r="AL448" s="2001"/>
      <c r="AN448" s="2001"/>
      <c r="AP448" s="2113"/>
      <c r="AQ448" s="2327"/>
      <c r="AR448" s="2328"/>
      <c r="AS448" s="2328"/>
      <c r="AT448" s="2328"/>
      <c r="AU448" s="2328"/>
      <c r="AV448" s="2329"/>
      <c r="AW448" s="2330"/>
      <c r="AX448" s="2331"/>
      <c r="AY448" s="2332"/>
      <c r="AZ448" s="2333"/>
      <c r="BA448" s="2334"/>
      <c r="BB448" s="2335"/>
      <c r="BC448" s="2334"/>
    </row>
    <row r="449" spans="1:55">
      <c r="A449" s="2007" t="s">
        <v>2936</v>
      </c>
      <c r="B449" s="2001"/>
      <c r="C449" s="2001"/>
      <c r="D449" s="2007"/>
      <c r="E449" s="2007">
        <v>10</v>
      </c>
      <c r="F449" s="2001"/>
      <c r="G449" s="2008" t="s">
        <v>1784</v>
      </c>
      <c r="H449" s="1992">
        <v>2019</v>
      </c>
      <c r="I449" s="1992" t="s">
        <v>3933</v>
      </c>
      <c r="J449" s="2009" t="s">
        <v>3178</v>
      </c>
      <c r="K449" s="2001"/>
      <c r="L449" s="2007"/>
      <c r="M449" s="2001"/>
      <c r="N449" s="1992"/>
      <c r="O449" s="2003"/>
      <c r="P449" s="2003"/>
      <c r="Q449" s="2001"/>
      <c r="R449" s="2001"/>
      <c r="S449" s="2001"/>
      <c r="AA449" s="1974"/>
      <c r="AB449" s="2406"/>
      <c r="AC449" s="1974"/>
      <c r="AD449" s="1974"/>
      <c r="AE449" s="1974"/>
      <c r="AF449" s="1974"/>
      <c r="AG449" s="1974"/>
      <c r="AH449" s="1974"/>
      <c r="AI449" s="1974"/>
      <c r="AJ449" s="1974"/>
      <c r="AK449" s="2001"/>
      <c r="AL449" s="2001"/>
      <c r="AN449" s="2001"/>
      <c r="AP449" s="2075"/>
      <c r="AQ449" s="2075"/>
      <c r="AR449" s="2075"/>
      <c r="AS449" s="2075"/>
      <c r="AT449" s="2075"/>
      <c r="AU449" s="2075"/>
      <c r="AV449" s="2336"/>
      <c r="AW449" s="2336"/>
      <c r="AX449" s="2336"/>
      <c r="AY449" s="2336"/>
      <c r="AZ449" s="2337"/>
      <c r="BA449" s="2337"/>
      <c r="BB449" s="2337"/>
      <c r="BC449" s="2337"/>
    </row>
    <row r="450" spans="1:55">
      <c r="A450" s="2007" t="s">
        <v>2508</v>
      </c>
      <c r="B450" s="2001"/>
      <c r="C450" s="2001"/>
      <c r="D450" s="2007"/>
      <c r="E450" s="2007"/>
      <c r="F450" s="2001"/>
      <c r="G450" s="2008" t="s">
        <v>394</v>
      </c>
      <c r="H450" s="1992">
        <v>2019</v>
      </c>
      <c r="I450" s="1992" t="s">
        <v>3933</v>
      </c>
      <c r="J450" s="2001" t="s">
        <v>3249</v>
      </c>
      <c r="K450" s="2001"/>
      <c r="L450" s="2007"/>
      <c r="M450" s="2001"/>
      <c r="N450" s="1992"/>
      <c r="O450" s="2003"/>
      <c r="P450" s="2003"/>
      <c r="Q450" s="2001"/>
      <c r="R450" s="2001"/>
      <c r="S450" s="2001"/>
      <c r="AA450" s="1974"/>
      <c r="AB450" s="2406"/>
      <c r="AC450" s="1974"/>
      <c r="AD450" s="1973" t="s">
        <v>4137</v>
      </c>
      <c r="AE450" s="1974"/>
      <c r="AF450" s="1974"/>
      <c r="AG450" s="2407"/>
      <c r="AH450" s="2408">
        <f>IF(AND($C$16="4%",($D$12-$C$12)&gt;0),(SUM(AH424:AH448)-($D$12-$C$12)),SUM(AH424:AH448))</f>
        <v>109</v>
      </c>
      <c r="AI450" s="2408">
        <f>IF(AND($C$16="4%",($D$12-$C$12)&gt;0),(SUM(AI424:AI448)-($D$12-$C$12)),SUM(AI424:AI448))</f>
        <v>50</v>
      </c>
      <c r="AJ450" s="2408">
        <f>SUM(AJ425:AJ448)</f>
        <v>46</v>
      </c>
      <c r="AK450" s="1987"/>
      <c r="AL450" s="1992"/>
      <c r="AM450" s="2496"/>
      <c r="AN450" s="2403"/>
      <c r="AP450" s="2075"/>
      <c r="AQ450" s="2075"/>
      <c r="AR450" s="2075"/>
      <c r="AS450" s="2075"/>
      <c r="AT450" s="2075"/>
      <c r="AU450" s="2075"/>
      <c r="AV450" s="2338">
        <f>SUM(AV424:AV448)</f>
        <v>48.5</v>
      </c>
      <c r="AW450" s="2338">
        <f>IF(AND($C$16="4%",($D$12-$C$12)&gt;0),(SUM(AW424:AW448)-($D$12-$C$12)),SUM(AW424:AW448))</f>
        <v>48.5</v>
      </c>
      <c r="AX450" s="2338">
        <f>IF(AND($C$16="4%",($D$12-$C$12)&gt;0),(SUM(AX424:AX448)-($D$12-$C$12)),SUM(AX424:AX448))</f>
        <v>65</v>
      </c>
      <c r="AY450" s="2338">
        <f>SUM(AY424:AY448)</f>
        <v>65</v>
      </c>
      <c r="AZ450" s="2339">
        <f>SUM(AZ424:AZ448)</f>
        <v>12</v>
      </c>
      <c r="BA450" s="2339">
        <f>IF(AND($C$16="4%",($E$12-$C$12)&gt;0),(SUM(BA424:BA448)-($E$12-$C$12)),SUM(BA424:BA448))</f>
        <v>12</v>
      </c>
      <c r="BB450" s="2339">
        <f>IF(AND($C$16="4%",($E$12-$C$12)&gt;0),(SUM(BB424:BB448)-($E$12-$C$12)),SUM(BB424:BB448))</f>
        <v>12</v>
      </c>
      <c r="BC450" s="2339">
        <f>SUM(BC424:BC448)</f>
        <v>12</v>
      </c>
    </row>
    <row r="451" spans="1:55">
      <c r="B451" s="2001"/>
      <c r="C451" s="2007"/>
      <c r="D451" s="2001"/>
      <c r="E451" s="2001"/>
      <c r="F451" s="2001"/>
      <c r="G451" s="2008" t="s">
        <v>920</v>
      </c>
      <c r="H451" s="1992">
        <v>2020</v>
      </c>
      <c r="I451" s="1992" t="s">
        <v>3933</v>
      </c>
      <c r="J451" s="2001" t="s">
        <v>3244</v>
      </c>
      <c r="K451" s="2001"/>
      <c r="L451" s="2007"/>
      <c r="M451" s="2001"/>
      <c r="N451" s="1992"/>
      <c r="O451" s="2003"/>
      <c r="P451" s="2003"/>
      <c r="Q451" s="2001"/>
      <c r="R451" s="2001"/>
      <c r="S451" s="2001"/>
      <c r="AA451" s="2001"/>
      <c r="AB451" s="2001"/>
      <c r="AC451" s="2001"/>
      <c r="AD451" s="2001"/>
      <c r="AE451" s="2001"/>
      <c r="AF451" s="2001"/>
      <c r="AG451" s="2001"/>
      <c r="AH451" s="2001"/>
      <c r="AI451" s="2001"/>
      <c r="AJ451" s="2001"/>
      <c r="AK451" s="1987"/>
      <c r="AL451" s="1992"/>
      <c r="AM451" s="2496"/>
      <c r="AN451" s="2403"/>
    </row>
    <row r="452" spans="1:55">
      <c r="B452" s="2001"/>
      <c r="C452" s="2007"/>
      <c r="D452" s="2001"/>
      <c r="E452" s="2001"/>
      <c r="F452" s="2001"/>
      <c r="G452" s="2008" t="s">
        <v>531</v>
      </c>
      <c r="H452" s="1992">
        <v>2020</v>
      </c>
      <c r="I452" s="1992" t="s">
        <v>3933</v>
      </c>
      <c r="J452" s="2001" t="s">
        <v>3171</v>
      </c>
      <c r="K452" s="2001"/>
      <c r="L452" s="2007"/>
      <c r="M452" s="2001"/>
      <c r="N452" s="1992"/>
      <c r="O452" s="2003"/>
      <c r="P452" s="2003"/>
      <c r="Q452" s="2001"/>
      <c r="R452" s="2001"/>
      <c r="S452" s="2001"/>
      <c r="AA452" s="2001"/>
      <c r="AB452" s="2001"/>
      <c r="AC452" s="2001"/>
      <c r="AD452" s="2001"/>
      <c r="AE452" s="2001"/>
      <c r="AF452" s="2001"/>
      <c r="AG452" s="2001"/>
      <c r="AH452" s="2001"/>
      <c r="AI452" s="2001"/>
      <c r="AJ452" s="2001"/>
      <c r="AK452" s="2001"/>
      <c r="AL452" s="2001"/>
      <c r="AN452" s="2001"/>
    </row>
    <row r="453" spans="1:55">
      <c r="B453" s="2001"/>
      <c r="C453" s="2007"/>
      <c r="D453" s="2001"/>
      <c r="E453" s="2001"/>
      <c r="F453" s="2001"/>
      <c r="G453" s="2008" t="s">
        <v>808</v>
      </c>
      <c r="H453" s="1992" t="s">
        <v>3934</v>
      </c>
      <c r="I453" s="2006" t="s">
        <v>2447</v>
      </c>
      <c r="J453" s="2001" t="s">
        <v>3240</v>
      </c>
      <c r="K453" s="2001"/>
      <c r="L453" s="2007"/>
      <c r="M453" s="2001"/>
      <c r="N453" s="1992"/>
      <c r="O453" s="2003"/>
      <c r="P453" s="2003"/>
      <c r="Q453" s="2001"/>
      <c r="R453" s="2001"/>
      <c r="S453" s="2001"/>
    </row>
    <row r="454" spans="1:55">
      <c r="B454" s="2001"/>
      <c r="C454" s="2007"/>
      <c r="D454" s="2001"/>
      <c r="E454" s="2001"/>
      <c r="F454" s="2001"/>
      <c r="G454" s="2008" t="s">
        <v>2937</v>
      </c>
      <c r="H454" s="1992">
        <v>2019</v>
      </c>
      <c r="I454" s="1992" t="s">
        <v>3933</v>
      </c>
      <c r="J454" s="2001" t="s">
        <v>3172</v>
      </c>
      <c r="K454" s="2001"/>
      <c r="L454" s="2007"/>
      <c r="M454" s="2001"/>
      <c r="N454" s="1992"/>
      <c r="O454" s="2003"/>
      <c r="P454" s="2003"/>
      <c r="Q454" s="2001"/>
      <c r="R454" s="2001"/>
      <c r="S454" s="2001"/>
    </row>
    <row r="455" spans="1:55">
      <c r="B455" s="2001"/>
      <c r="C455" s="2001"/>
      <c r="D455" s="2001"/>
      <c r="E455" s="2001"/>
      <c r="F455" s="2001"/>
      <c r="G455" s="2008" t="s">
        <v>763</v>
      </c>
      <c r="H455" s="1992">
        <v>2019</v>
      </c>
      <c r="I455" s="1992" t="s">
        <v>3933</v>
      </c>
      <c r="J455" s="2001" t="s">
        <v>3241</v>
      </c>
      <c r="K455" s="2001"/>
      <c r="L455" s="2007"/>
      <c r="M455" s="2001"/>
      <c r="N455" s="1992"/>
      <c r="O455" s="2003"/>
      <c r="P455" s="2003"/>
      <c r="Q455" s="2001"/>
      <c r="R455" s="2001"/>
      <c r="S455" s="2001"/>
    </row>
    <row r="456" spans="1:55">
      <c r="B456" s="2001"/>
      <c r="C456" s="2001"/>
      <c r="D456" s="2001"/>
      <c r="E456" s="2001"/>
      <c r="F456" s="2001"/>
      <c r="G456" s="2008" t="s">
        <v>172</v>
      </c>
      <c r="H456" s="1992">
        <v>2019</v>
      </c>
      <c r="I456" s="1992" t="s">
        <v>3933</v>
      </c>
      <c r="J456" s="2001" t="s">
        <v>3173</v>
      </c>
      <c r="K456" s="2001"/>
      <c r="L456" s="2001"/>
      <c r="M456" s="2001"/>
      <c r="N456" s="1992"/>
      <c r="O456" s="2003"/>
      <c r="P456" s="2003"/>
      <c r="Q456" s="2001"/>
      <c r="R456" s="2001"/>
      <c r="S456" s="2001"/>
      <c r="AB456" s="2256" t="s">
        <v>4882</v>
      </c>
      <c r="AC456" s="2257"/>
      <c r="AD456" s="2257"/>
      <c r="AE456" s="2258"/>
      <c r="AF456" s="2258"/>
      <c r="AG456" s="2258"/>
      <c r="AH456" s="2258"/>
      <c r="AI456" s="2259" t="s">
        <v>2881</v>
      </c>
      <c r="AJ456" s="2260" t="s">
        <v>245</v>
      </c>
      <c r="AK456" s="2261"/>
    </row>
    <row r="457" spans="1:55">
      <c r="B457" s="2001"/>
      <c r="C457" s="2001"/>
      <c r="D457" s="2001"/>
      <c r="E457" s="2001"/>
      <c r="F457" s="2001"/>
      <c r="G457" s="2008" t="s">
        <v>3258</v>
      </c>
      <c r="H457" s="1992" t="s">
        <v>3934</v>
      </c>
      <c r="I457" s="2006" t="s">
        <v>2447</v>
      </c>
      <c r="J457" s="2001" t="s">
        <v>3242</v>
      </c>
      <c r="K457" s="2001"/>
      <c r="L457" s="2007"/>
      <c r="M457" s="2001"/>
      <c r="N457" s="1992"/>
      <c r="O457" s="2003"/>
      <c r="P457" s="2003"/>
      <c r="Q457" s="2001"/>
      <c r="R457" s="2001"/>
      <c r="S457" s="2001"/>
      <c r="AB457" s="2262"/>
      <c r="AC457" s="2075" t="s">
        <v>3307</v>
      </c>
      <c r="AD457" s="2099"/>
      <c r="AE457" s="2075"/>
      <c r="AF457" s="2075"/>
      <c r="AG457" s="2075"/>
      <c r="AH457" s="2075"/>
      <c r="AI457" s="2263">
        <f>$O$206</f>
        <v>0</v>
      </c>
      <c r="AJ457" s="2264">
        <f>$P$206</f>
        <v>0</v>
      </c>
      <c r="AK457" s="2265"/>
    </row>
    <row r="458" spans="1:55">
      <c r="B458" s="2001"/>
      <c r="C458" s="2001"/>
      <c r="D458" s="2001"/>
      <c r="E458" s="2001"/>
      <c r="F458" s="2001"/>
      <c r="G458" s="2008" t="s">
        <v>506</v>
      </c>
      <c r="H458" s="1992">
        <v>2020</v>
      </c>
      <c r="I458" s="1992" t="s">
        <v>3933</v>
      </c>
      <c r="J458" s="2001" t="s">
        <v>3245</v>
      </c>
      <c r="K458" s="2001"/>
      <c r="L458" s="2007"/>
      <c r="M458" s="2001"/>
      <c r="N458" s="2001"/>
      <c r="O458" s="2001"/>
      <c r="P458" s="2001"/>
      <c r="Q458" s="2001"/>
      <c r="R458" s="2001"/>
      <c r="S458" s="2001"/>
      <c r="AB458" s="2262"/>
      <c r="AC458" s="2075" t="s">
        <v>3908</v>
      </c>
      <c r="AD458" s="2099"/>
      <c r="AE458" s="2075"/>
      <c r="AF458" s="2075"/>
      <c r="AG458" s="2075"/>
      <c r="AH458" s="2075"/>
      <c r="AI458" s="2266">
        <f>$O$238</f>
        <v>8</v>
      </c>
      <c r="AJ458" s="2267">
        <f>$P$238</f>
        <v>0</v>
      </c>
      <c r="AK458" s="2265"/>
    </row>
    <row r="459" spans="1:55">
      <c r="B459" s="2001"/>
      <c r="C459" s="2001"/>
      <c r="D459" s="2001"/>
      <c r="E459" s="2001"/>
      <c r="F459" s="2001"/>
      <c r="G459" s="2008" t="s">
        <v>375</v>
      </c>
      <c r="H459" s="1992">
        <v>2020</v>
      </c>
      <c r="I459" s="1992" t="s">
        <v>3933</v>
      </c>
      <c r="J459" s="2001" t="s">
        <v>3248</v>
      </c>
      <c r="K459" s="2001"/>
      <c r="L459" s="2001"/>
      <c r="M459" s="2001"/>
      <c r="N459" s="2001"/>
      <c r="O459" s="2001"/>
      <c r="P459" s="2001"/>
      <c r="Q459" s="2001"/>
      <c r="R459" s="2001"/>
      <c r="S459" s="2001"/>
      <c r="AB459" s="2262"/>
      <c r="AC459" s="2075" t="s">
        <v>3179</v>
      </c>
      <c r="AD459" s="2099"/>
      <c r="AE459" s="2075"/>
      <c r="AF459" s="2075"/>
      <c r="AG459" s="2075"/>
      <c r="AH459" s="2075"/>
      <c r="AI459" s="2266">
        <f>$O$265</f>
        <v>0</v>
      </c>
      <c r="AJ459" s="2267">
        <f>$P$265</f>
        <v>0</v>
      </c>
      <c r="AK459" s="2265"/>
    </row>
    <row r="460" spans="1:55">
      <c r="B460" s="2001"/>
      <c r="C460" s="2001"/>
      <c r="D460" s="2010"/>
      <c r="E460" s="2001"/>
      <c r="F460" s="2001"/>
      <c r="G460" s="2008" t="s">
        <v>1347</v>
      </c>
      <c r="H460" s="1992" t="s">
        <v>3934</v>
      </c>
      <c r="I460" s="2006" t="s">
        <v>2447</v>
      </c>
      <c r="J460" s="2001" t="s">
        <v>3174</v>
      </c>
      <c r="K460" s="2001"/>
      <c r="L460" s="2007"/>
      <c r="M460" s="2001"/>
      <c r="N460" s="2001"/>
      <c r="O460" s="2001"/>
      <c r="P460" s="2001"/>
      <c r="Q460" s="2001"/>
      <c r="R460" s="2001"/>
      <c r="S460" s="2001"/>
      <c r="AB460" s="2262"/>
      <c r="AC460" s="2075" t="s">
        <v>4808</v>
      </c>
      <c r="AD460" s="2099"/>
      <c r="AE460" s="2075"/>
      <c r="AF460" s="2075"/>
      <c r="AG460" s="2075"/>
      <c r="AH460" s="2075"/>
      <c r="AI460" s="2266">
        <f>$O$304</f>
        <v>0</v>
      </c>
      <c r="AJ460" s="2267">
        <f>$P$304</f>
        <v>0</v>
      </c>
      <c r="AK460" s="2265"/>
    </row>
    <row r="461" spans="1:55">
      <c r="B461" s="2001"/>
      <c r="C461" s="2001"/>
      <c r="D461" s="2010"/>
      <c r="E461" s="2001"/>
      <c r="F461" s="2001"/>
      <c r="G461" s="2008" t="s">
        <v>1702</v>
      </c>
      <c r="H461" s="1992" t="s">
        <v>3934</v>
      </c>
      <c r="I461" s="2006" t="s">
        <v>2447</v>
      </c>
      <c r="J461" s="2001" t="s">
        <v>3175</v>
      </c>
      <c r="K461" s="2001"/>
      <c r="L461" s="2007"/>
      <c r="M461" s="2001"/>
      <c r="N461" s="2001"/>
      <c r="O461" s="2001"/>
      <c r="P461" s="2001"/>
      <c r="Q461" s="2001"/>
      <c r="R461" s="2001"/>
      <c r="S461" s="2001"/>
      <c r="AB461" s="2268"/>
      <c r="AC461" s="2269"/>
      <c r="AD461" s="2269"/>
      <c r="AE461" s="2270"/>
      <c r="AF461" s="2270"/>
      <c r="AG461" s="2270"/>
      <c r="AH461" s="2270"/>
      <c r="AI461" s="2270"/>
      <c r="AJ461" s="2270"/>
      <c r="AK461" s="2271"/>
    </row>
    <row r="462" spans="1:55">
      <c r="B462" s="2001"/>
      <c r="C462" s="2001"/>
      <c r="D462" s="2001"/>
      <c r="E462" s="2001"/>
      <c r="F462" s="2001"/>
      <c r="G462" s="2008" t="s">
        <v>1964</v>
      </c>
      <c r="H462" s="1992">
        <v>2020</v>
      </c>
      <c r="I462" s="1992" t="s">
        <v>3933</v>
      </c>
      <c r="J462" s="2001" t="s">
        <v>3243</v>
      </c>
      <c r="K462" s="2001"/>
      <c r="L462" s="2007"/>
      <c r="M462" s="2001"/>
      <c r="N462" s="2001"/>
      <c r="O462" s="2001"/>
      <c r="P462" s="2001"/>
      <c r="Q462" s="2001"/>
      <c r="R462" s="2001"/>
      <c r="S462" s="2001"/>
    </row>
    <row r="463" spans="1:55">
      <c r="B463" s="2001"/>
      <c r="C463" s="2001"/>
      <c r="D463" s="2001"/>
      <c r="E463" s="2001"/>
      <c r="F463" s="2001"/>
      <c r="G463" s="2008" t="s">
        <v>1350</v>
      </c>
      <c r="H463" s="1992">
        <v>2019</v>
      </c>
      <c r="I463" s="1992" t="s">
        <v>3933</v>
      </c>
      <c r="J463" s="2001" t="s">
        <v>3246</v>
      </c>
      <c r="K463" s="2001"/>
      <c r="L463" s="2001"/>
      <c r="M463" s="2001"/>
      <c r="N463" s="2001"/>
      <c r="O463" s="2001"/>
      <c r="P463" s="2001"/>
      <c r="Q463" s="2001"/>
      <c r="R463" s="2001"/>
      <c r="S463" s="2001"/>
    </row>
    <row r="464" spans="1:55">
      <c r="B464" s="2001"/>
      <c r="C464" s="2001"/>
      <c r="D464" s="2001"/>
      <c r="E464" s="2001"/>
      <c r="F464" s="2001"/>
      <c r="G464" s="2008" t="s">
        <v>235</v>
      </c>
      <c r="H464" s="1992">
        <v>2019</v>
      </c>
      <c r="I464" s="1992" t="s">
        <v>3933</v>
      </c>
      <c r="J464" s="2001" t="s">
        <v>3247</v>
      </c>
      <c r="K464" s="2001"/>
      <c r="L464" s="2007"/>
      <c r="M464" s="2001"/>
      <c r="N464" s="2001"/>
      <c r="O464" s="2001"/>
      <c r="P464" s="2001"/>
      <c r="Q464" s="2001"/>
      <c r="R464" s="2001"/>
      <c r="S464" s="2001"/>
    </row>
    <row r="465" spans="2:19">
      <c r="B465" s="2001"/>
      <c r="C465" s="2001"/>
      <c r="D465" s="2001"/>
      <c r="E465" s="2001"/>
      <c r="F465" s="2001"/>
      <c r="G465" s="2008" t="s">
        <v>977</v>
      </c>
      <c r="H465" s="1992">
        <v>2020</v>
      </c>
      <c r="I465" s="1992" t="s">
        <v>3933</v>
      </c>
      <c r="J465" s="2001" t="s">
        <v>3176</v>
      </c>
      <c r="K465" s="2001"/>
      <c r="L465" s="2007"/>
      <c r="M465" s="2001"/>
      <c r="N465" s="2001"/>
      <c r="O465" s="2001"/>
      <c r="P465" s="2001"/>
      <c r="Q465" s="2001"/>
      <c r="R465" s="2001"/>
      <c r="S465" s="2001"/>
    </row>
    <row r="466" spans="2:19">
      <c r="B466" s="2001"/>
      <c r="C466" s="2010"/>
      <c r="D466" s="2001"/>
      <c r="E466" s="2001"/>
      <c r="F466" s="2001"/>
      <c r="G466" s="2008" t="s">
        <v>2091</v>
      </c>
      <c r="H466" s="1992">
        <v>2020</v>
      </c>
      <c r="I466" s="1992" t="s">
        <v>3933</v>
      </c>
      <c r="J466" s="2001" t="s">
        <v>3177</v>
      </c>
      <c r="K466" s="2001"/>
      <c r="L466" s="2007"/>
      <c r="M466" s="2001"/>
      <c r="N466" s="2001"/>
      <c r="O466" s="2001"/>
      <c r="P466" s="2001"/>
      <c r="Q466" s="2001"/>
      <c r="R466" s="2001"/>
      <c r="S466" s="2001"/>
    </row>
    <row r="467" spans="2:19">
      <c r="B467" s="2001"/>
      <c r="C467" s="2010"/>
      <c r="D467" s="2001"/>
      <c r="E467" s="2001"/>
      <c r="F467" s="2001"/>
      <c r="G467" s="2008" t="s">
        <v>3928</v>
      </c>
      <c r="H467" s="1992" t="s">
        <v>3934</v>
      </c>
      <c r="I467" s="2006" t="s">
        <v>2447</v>
      </c>
      <c r="J467" s="2001"/>
      <c r="K467" s="2001"/>
      <c r="L467" s="2007"/>
      <c r="M467" s="2001"/>
      <c r="N467" s="2001"/>
      <c r="O467" s="2001"/>
      <c r="P467" s="2001"/>
      <c r="Q467" s="2001"/>
      <c r="R467" s="2001"/>
      <c r="S467" s="2001"/>
    </row>
    <row r="468" spans="2:19">
      <c r="B468" s="2001"/>
      <c r="C468" s="2010"/>
      <c r="D468" s="2001"/>
      <c r="E468" s="2001"/>
      <c r="F468" s="2001"/>
      <c r="G468" s="2008" t="s">
        <v>1744</v>
      </c>
      <c r="H468" s="1992" t="s">
        <v>3934</v>
      </c>
      <c r="I468" s="2006" t="s">
        <v>2447</v>
      </c>
      <c r="J468" s="2001"/>
      <c r="K468" s="2001"/>
      <c r="L468" s="2007"/>
      <c r="M468" s="2001"/>
      <c r="N468" s="2001"/>
      <c r="O468" s="2001"/>
      <c r="P468" s="2001"/>
      <c r="Q468" s="2001"/>
      <c r="R468" s="2001"/>
      <c r="S468" s="2001"/>
    </row>
    <row r="469" spans="2:19">
      <c r="B469" s="2001"/>
      <c r="C469" s="2010"/>
      <c r="D469" s="2001"/>
      <c r="E469" s="2001"/>
      <c r="F469" s="2001"/>
      <c r="G469" s="2008" t="s">
        <v>471</v>
      </c>
      <c r="H469" s="1992" t="s">
        <v>3934</v>
      </c>
      <c r="I469" s="2006" t="s">
        <v>2447</v>
      </c>
      <c r="J469" s="2001"/>
      <c r="K469" s="2001"/>
      <c r="L469" s="2007"/>
      <c r="M469" s="2001"/>
      <c r="N469" s="2001"/>
      <c r="O469" s="2001"/>
      <c r="P469" s="2001"/>
      <c r="Q469" s="2001"/>
      <c r="R469" s="2001"/>
      <c r="S469" s="2001"/>
    </row>
    <row r="470" spans="2:19">
      <c r="B470" s="2001"/>
      <c r="C470" s="2010"/>
      <c r="D470" s="2001"/>
      <c r="E470" s="2001"/>
      <c r="F470" s="2001"/>
      <c r="G470" s="2008" t="s">
        <v>1946</v>
      </c>
      <c r="H470" s="1992" t="s">
        <v>3934</v>
      </c>
      <c r="I470" s="2006" t="s">
        <v>2447</v>
      </c>
      <c r="J470" s="2001"/>
      <c r="K470" s="2001"/>
      <c r="L470" s="2007"/>
      <c r="M470" s="2001"/>
      <c r="N470" s="2001"/>
      <c r="O470" s="2001"/>
      <c r="P470" s="2001"/>
      <c r="Q470" s="2001"/>
      <c r="R470" s="2001"/>
      <c r="S470" s="2001"/>
    </row>
    <row r="471" spans="2:19">
      <c r="B471" s="2001"/>
      <c r="C471" s="2010"/>
      <c r="D471" s="2001"/>
      <c r="E471" s="2001"/>
      <c r="F471" s="2001"/>
      <c r="G471" s="2008" t="s">
        <v>2083</v>
      </c>
      <c r="H471" s="1992">
        <v>2020</v>
      </c>
      <c r="I471" s="1992" t="s">
        <v>3933</v>
      </c>
      <c r="J471" s="2001"/>
      <c r="K471" s="2001"/>
      <c r="L471" s="2007"/>
      <c r="M471" s="2001"/>
      <c r="N471" s="2001"/>
      <c r="O471" s="2001"/>
      <c r="P471" s="2001"/>
      <c r="Q471" s="2001"/>
      <c r="R471" s="2001"/>
      <c r="S471" s="2001"/>
    </row>
    <row r="472" spans="2:19">
      <c r="B472" s="2001"/>
      <c r="C472" s="2010"/>
      <c r="D472" s="2001"/>
      <c r="E472" s="2001"/>
      <c r="F472" s="2001"/>
      <c r="G472" s="2008" t="s">
        <v>1969</v>
      </c>
      <c r="H472" s="1992">
        <v>2020</v>
      </c>
      <c r="I472" s="1992" t="s">
        <v>3933</v>
      </c>
      <c r="J472" s="2001"/>
      <c r="K472" s="2001"/>
      <c r="L472" s="2001"/>
      <c r="M472" s="2001"/>
      <c r="N472" s="2001"/>
      <c r="O472" s="2001"/>
      <c r="P472" s="2001"/>
      <c r="Q472" s="2001"/>
      <c r="R472" s="2001"/>
      <c r="S472" s="2001"/>
    </row>
    <row r="473" spans="2:19">
      <c r="B473" s="2001"/>
      <c r="C473" s="2001"/>
      <c r="D473" s="2001"/>
      <c r="E473" s="2001"/>
      <c r="F473" s="2001"/>
      <c r="G473" s="2008" t="s">
        <v>2148</v>
      </c>
      <c r="H473" s="1992">
        <v>2019</v>
      </c>
      <c r="I473" s="1992" t="s">
        <v>3933</v>
      </c>
      <c r="J473" s="2001"/>
      <c r="K473" s="2001"/>
      <c r="L473" s="2001"/>
      <c r="M473" s="2001"/>
      <c r="N473" s="2001"/>
      <c r="O473" s="2001"/>
      <c r="P473" s="2001"/>
      <c r="Q473" s="2001"/>
      <c r="R473" s="2001"/>
      <c r="S473" s="2001"/>
    </row>
    <row r="474" spans="2:19">
      <c r="B474" s="2001"/>
      <c r="C474" s="2001"/>
      <c r="D474" s="2001"/>
      <c r="E474" s="2001"/>
      <c r="F474" s="2001"/>
      <c r="G474" s="2008" t="s">
        <v>3929</v>
      </c>
      <c r="H474" s="2001"/>
      <c r="I474" s="2001"/>
      <c r="J474" s="2001"/>
      <c r="K474" s="2001"/>
      <c r="L474" s="2001"/>
      <c r="M474" s="2001"/>
      <c r="N474" s="1992"/>
      <c r="O474" s="2003"/>
      <c r="P474" s="2003"/>
      <c r="Q474" s="2001"/>
      <c r="R474" s="2001"/>
      <c r="S474" s="2001"/>
    </row>
    <row r="475" spans="2:19">
      <c r="B475" s="2001"/>
      <c r="C475" s="2001"/>
      <c r="D475" s="2001"/>
      <c r="E475" s="2001"/>
      <c r="F475" s="2001"/>
      <c r="G475" s="2008" t="s">
        <v>1572</v>
      </c>
      <c r="H475" s="1992">
        <v>2019</v>
      </c>
      <c r="I475" s="1992" t="s">
        <v>3933</v>
      </c>
      <c r="J475" s="2001"/>
      <c r="K475" s="2001"/>
      <c r="L475" s="2001"/>
      <c r="M475" s="2001"/>
      <c r="N475" s="1992"/>
      <c r="O475" s="2003"/>
      <c r="P475" s="2003"/>
      <c r="Q475" s="2001"/>
      <c r="R475" s="2001"/>
      <c r="S475" s="2001"/>
    </row>
    <row r="476" spans="2:19">
      <c r="B476" s="2001"/>
      <c r="C476" s="2001"/>
      <c r="D476" s="2001"/>
      <c r="E476" s="2001"/>
      <c r="F476" s="2001"/>
      <c r="G476" s="2008" t="s">
        <v>1575</v>
      </c>
      <c r="H476" s="1992">
        <v>2020</v>
      </c>
      <c r="I476" s="1992" t="s">
        <v>3933</v>
      </c>
      <c r="J476" s="2001"/>
      <c r="K476" s="2001"/>
      <c r="L476" s="2001"/>
      <c r="M476" s="2001"/>
      <c r="N476" s="1992"/>
      <c r="O476" s="2003"/>
      <c r="P476" s="2003"/>
      <c r="Q476" s="2001"/>
      <c r="R476" s="2001"/>
      <c r="S476" s="2001"/>
    </row>
    <row r="477" spans="2:19">
      <c r="B477" s="2001"/>
      <c r="C477" s="2001"/>
      <c r="D477" s="2001"/>
      <c r="E477" s="2001"/>
      <c r="F477" s="2001"/>
      <c r="G477" s="2008" t="s">
        <v>1580</v>
      </c>
      <c r="H477" s="1992">
        <v>2020</v>
      </c>
      <c r="I477" s="1992" t="s">
        <v>3933</v>
      </c>
      <c r="J477" s="2001"/>
      <c r="K477" s="2001"/>
      <c r="L477" s="2001"/>
      <c r="M477" s="2001"/>
      <c r="N477" s="1992"/>
      <c r="O477" s="2003"/>
      <c r="P477" s="2003"/>
      <c r="Q477" s="2001"/>
      <c r="R477" s="2001"/>
      <c r="S477" s="2001"/>
    </row>
    <row r="478" spans="2:19">
      <c r="B478" s="2001"/>
      <c r="C478" s="2001"/>
      <c r="D478" s="2001"/>
      <c r="E478" s="2001"/>
      <c r="F478" s="2001"/>
      <c r="G478" s="2008" t="s">
        <v>1588</v>
      </c>
      <c r="H478" s="1992">
        <v>2020</v>
      </c>
      <c r="I478" s="1992" t="s">
        <v>3933</v>
      </c>
      <c r="J478" s="2001"/>
      <c r="K478" s="2001"/>
      <c r="L478" s="2001"/>
      <c r="M478" s="2001"/>
      <c r="N478" s="1992"/>
      <c r="O478" s="2003"/>
      <c r="P478" s="2003"/>
      <c r="Q478" s="2001"/>
      <c r="R478" s="2001"/>
      <c r="S478" s="2001"/>
    </row>
    <row r="479" spans="2:19">
      <c r="B479" s="2001"/>
      <c r="C479" s="2001"/>
      <c r="D479" s="2001"/>
      <c r="E479" s="2001"/>
      <c r="F479" s="2001"/>
      <c r="G479" s="2008" t="s">
        <v>1589</v>
      </c>
      <c r="H479" s="1992">
        <v>2019</v>
      </c>
      <c r="I479" s="1992" t="s">
        <v>3933</v>
      </c>
      <c r="J479" s="2001"/>
      <c r="K479" s="2001"/>
      <c r="L479" s="2001"/>
      <c r="M479" s="2001"/>
      <c r="N479" s="1992"/>
      <c r="O479" s="2003"/>
      <c r="P479" s="2003"/>
      <c r="Q479" s="2001"/>
      <c r="R479" s="2001"/>
      <c r="S479" s="2001"/>
    </row>
    <row r="480" spans="2:19">
      <c r="B480" s="2001"/>
      <c r="C480" s="2001"/>
      <c r="D480" s="2001"/>
      <c r="E480" s="2001"/>
      <c r="F480" s="2001"/>
      <c r="G480" s="2008" t="s">
        <v>100</v>
      </c>
      <c r="H480" s="1992">
        <v>2020</v>
      </c>
      <c r="I480" s="1992" t="s">
        <v>3933</v>
      </c>
      <c r="J480" s="2001"/>
      <c r="K480" s="2001"/>
      <c r="L480" s="2001"/>
      <c r="M480" s="2001"/>
      <c r="N480" s="1992"/>
      <c r="O480" s="2003"/>
      <c r="P480" s="2003"/>
      <c r="Q480" s="2001"/>
      <c r="R480" s="2001"/>
      <c r="S480" s="2001"/>
    </row>
    <row r="481" spans="2:19">
      <c r="B481" s="2001"/>
      <c r="C481" s="2001"/>
      <c r="D481" s="2001"/>
      <c r="E481" s="2001"/>
      <c r="F481" s="2001"/>
      <c r="G481" s="2008" t="s">
        <v>285</v>
      </c>
      <c r="H481" s="1992">
        <v>2020</v>
      </c>
      <c r="I481" s="1992" t="s">
        <v>3933</v>
      </c>
      <c r="J481" s="2001"/>
      <c r="K481" s="2001"/>
      <c r="L481" s="2001"/>
      <c r="M481" s="2001"/>
      <c r="N481" s="1992"/>
      <c r="O481" s="2003"/>
      <c r="P481" s="2003"/>
      <c r="Q481" s="2001"/>
      <c r="R481" s="2001"/>
      <c r="S481" s="2001"/>
    </row>
    <row r="482" spans="2:19">
      <c r="B482" s="2001"/>
      <c r="C482" s="2001"/>
      <c r="D482" s="2001"/>
      <c r="E482" s="2001"/>
      <c r="F482" s="2001"/>
      <c r="G482" s="2008" t="s">
        <v>1440</v>
      </c>
      <c r="H482" s="1992" t="s">
        <v>3934</v>
      </c>
      <c r="I482" s="2006" t="s">
        <v>2447</v>
      </c>
      <c r="J482" s="2001"/>
      <c r="K482" s="2001"/>
      <c r="L482" s="2001"/>
      <c r="M482" s="2001"/>
      <c r="N482" s="1992"/>
      <c r="O482" s="2003"/>
      <c r="P482" s="2003"/>
      <c r="Q482" s="2001"/>
      <c r="R482" s="2001"/>
      <c r="S482" s="2001"/>
    </row>
    <row r="483" spans="2:19" ht="30" customHeight="1">
      <c r="B483" s="2001"/>
      <c r="C483" s="2001"/>
      <c r="D483" s="2001"/>
      <c r="E483" s="2001"/>
      <c r="F483" s="2001"/>
      <c r="G483" s="2008"/>
      <c r="H483" s="2001"/>
      <c r="I483" s="2001"/>
      <c r="J483" s="2001"/>
      <c r="K483" s="2001"/>
      <c r="L483" s="2001"/>
      <c r="M483" s="2001"/>
      <c r="N483" s="2001"/>
      <c r="O483" s="2001"/>
      <c r="P483" s="2001"/>
      <c r="Q483" s="2001"/>
      <c r="R483" s="2001"/>
      <c r="S483" s="2001"/>
    </row>
    <row r="484" spans="2:19">
      <c r="B484" s="2001"/>
      <c r="C484" s="2001"/>
      <c r="D484" s="2001"/>
      <c r="E484" s="2001"/>
      <c r="F484" s="2001"/>
      <c r="G484" s="2001"/>
      <c r="H484" s="2001"/>
      <c r="I484" s="2001"/>
      <c r="J484" s="2001"/>
      <c r="K484" s="2001"/>
      <c r="L484" s="2001"/>
      <c r="M484" s="2001"/>
      <c r="N484" s="1992"/>
      <c r="O484" s="2003"/>
      <c r="P484" s="2003"/>
      <c r="Q484" s="2001"/>
      <c r="R484" s="2001"/>
      <c r="S484" s="2001"/>
    </row>
    <row r="485" spans="2:19">
      <c r="B485" s="2001"/>
      <c r="C485" s="2001"/>
      <c r="D485" s="2001"/>
      <c r="E485" s="2001"/>
      <c r="F485" s="2001"/>
      <c r="G485" s="2001"/>
      <c r="H485" s="2001"/>
      <c r="I485" s="2001"/>
      <c r="J485" s="2001"/>
      <c r="K485" s="2001"/>
      <c r="L485" s="2001"/>
      <c r="M485" s="2001"/>
      <c r="N485" s="1992"/>
      <c r="O485" s="2003"/>
      <c r="P485" s="2003"/>
      <c r="Q485" s="2001"/>
      <c r="R485" s="2001"/>
      <c r="S485" s="2001"/>
    </row>
    <row r="486" spans="2:19">
      <c r="B486" s="2001"/>
      <c r="C486" s="2001"/>
      <c r="D486" s="2001"/>
      <c r="E486" s="2001"/>
      <c r="F486" s="2001"/>
      <c r="G486" s="2001"/>
      <c r="H486" s="2001"/>
      <c r="I486" s="2001"/>
      <c r="J486" s="2001"/>
      <c r="K486" s="2001"/>
      <c r="L486" s="2001"/>
      <c r="M486" s="2001"/>
      <c r="N486" s="1992"/>
      <c r="O486" s="2003"/>
      <c r="P486" s="2003"/>
      <c r="Q486" s="2001"/>
      <c r="R486" s="2001"/>
      <c r="S486" s="2001"/>
    </row>
    <row r="616" spans="14:16">
      <c r="N616" s="2074"/>
      <c r="O616" s="2074"/>
      <c r="P616" s="2074"/>
    </row>
    <row r="617" spans="14:16">
      <c r="N617" s="2074"/>
      <c r="O617" s="2074"/>
      <c r="P617" s="2074"/>
    </row>
    <row r="618" spans="14:16">
      <c r="N618" s="2074"/>
      <c r="O618" s="2074"/>
      <c r="P618" s="2074"/>
    </row>
    <row r="619" spans="14:16">
      <c r="N619" s="2074"/>
      <c r="O619" s="2074"/>
      <c r="P619" s="2074"/>
    </row>
    <row r="620" spans="14:16">
      <c r="N620" s="2074"/>
      <c r="O620" s="2074"/>
      <c r="P620" s="2074"/>
    </row>
    <row r="621" spans="14:16">
      <c r="N621" s="2074"/>
      <c r="O621" s="2074"/>
      <c r="P621" s="2074"/>
    </row>
    <row r="622" spans="14:16">
      <c r="N622" s="2074"/>
      <c r="O622" s="2074"/>
      <c r="P622" s="2074"/>
    </row>
    <row r="623" spans="14:16">
      <c r="N623" s="2074"/>
      <c r="O623" s="2074"/>
      <c r="P623" s="2074"/>
    </row>
    <row r="624" spans="14:16">
      <c r="N624" s="2074"/>
      <c r="O624" s="2074"/>
      <c r="P624" s="2074"/>
    </row>
    <row r="625" spans="14:16">
      <c r="N625" s="2074"/>
      <c r="O625" s="2074"/>
      <c r="P625" s="2074"/>
    </row>
    <row r="626" spans="14:16">
      <c r="N626" s="2074"/>
      <c r="O626" s="2074"/>
      <c r="P626" s="2074"/>
    </row>
    <row r="627" spans="14:16">
      <c r="N627" s="2074"/>
      <c r="O627" s="2074"/>
      <c r="P627" s="2074"/>
    </row>
    <row r="628" spans="14:16">
      <c r="N628" s="2074"/>
      <c r="O628" s="2074"/>
      <c r="P628" s="2074"/>
    </row>
    <row r="629" spans="14:16">
      <c r="N629" s="2074"/>
      <c r="O629" s="2074"/>
      <c r="P629" s="2074"/>
    </row>
    <row r="630" spans="14:16">
      <c r="N630" s="2074"/>
      <c r="O630" s="2074"/>
      <c r="P630" s="2074"/>
    </row>
    <row r="631" spans="14:16">
      <c r="N631" s="2074"/>
      <c r="O631" s="2074"/>
      <c r="P631" s="2074"/>
    </row>
    <row r="632" spans="14:16">
      <c r="N632" s="2074"/>
      <c r="O632" s="2074"/>
      <c r="P632" s="2074"/>
    </row>
    <row r="633" spans="14:16">
      <c r="N633" s="2074"/>
      <c r="O633" s="2074"/>
      <c r="P633" s="2074"/>
    </row>
    <row r="634" spans="14:16">
      <c r="N634" s="2074"/>
      <c r="O634" s="2074"/>
      <c r="P634" s="2074"/>
    </row>
    <row r="635" spans="14:16">
      <c r="N635" s="2074"/>
      <c r="O635" s="2074"/>
      <c r="P635" s="2074"/>
    </row>
    <row r="636" spans="14:16">
      <c r="N636" s="2074"/>
      <c r="O636" s="2074"/>
      <c r="P636" s="2074"/>
    </row>
    <row r="637" spans="14:16">
      <c r="N637" s="2074"/>
      <c r="O637" s="2074"/>
      <c r="P637" s="2074"/>
    </row>
    <row r="638" spans="14:16">
      <c r="N638" s="2074"/>
      <c r="O638" s="2074"/>
      <c r="P638" s="2074"/>
    </row>
    <row r="639" spans="14:16">
      <c r="N639" s="2074"/>
      <c r="O639" s="2074"/>
      <c r="P639" s="2074"/>
    </row>
    <row r="640" spans="14:16">
      <c r="N640" s="2074"/>
      <c r="O640" s="2074"/>
      <c r="P640" s="2074"/>
    </row>
    <row r="641" spans="14:16">
      <c r="N641" s="2074"/>
      <c r="O641" s="2074"/>
      <c r="P641" s="2074"/>
    </row>
    <row r="642" spans="14:16">
      <c r="N642" s="2074"/>
      <c r="O642" s="2074"/>
      <c r="P642" s="2074"/>
    </row>
    <row r="643" spans="14:16">
      <c r="N643" s="2074"/>
      <c r="O643" s="2074"/>
      <c r="P643" s="2074"/>
    </row>
    <row r="644" spans="14:16">
      <c r="N644" s="2074"/>
      <c r="O644" s="2074"/>
      <c r="P644" s="2074"/>
    </row>
    <row r="645" spans="14:16">
      <c r="N645" s="2074"/>
      <c r="O645" s="2074"/>
      <c r="P645" s="2074"/>
    </row>
    <row r="646" spans="14:16">
      <c r="N646" s="2074"/>
      <c r="O646" s="2074"/>
      <c r="P646" s="2074"/>
    </row>
    <row r="647" spans="14:16">
      <c r="N647" s="2074"/>
      <c r="O647" s="2074"/>
      <c r="P647" s="2074"/>
    </row>
    <row r="648" spans="14:16">
      <c r="N648" s="2074"/>
      <c r="O648" s="2074"/>
      <c r="P648" s="2074"/>
    </row>
    <row r="649" spans="14:16">
      <c r="N649" s="2074"/>
      <c r="O649" s="2074"/>
      <c r="P649" s="2074"/>
    </row>
    <row r="650" spans="14:16">
      <c r="N650" s="2074"/>
      <c r="O650" s="2074"/>
      <c r="P650" s="2074"/>
    </row>
    <row r="651" spans="14:16">
      <c r="N651" s="2074"/>
      <c r="O651" s="2074"/>
      <c r="P651" s="2074"/>
    </row>
    <row r="652" spans="14:16">
      <c r="N652" s="2074"/>
      <c r="O652" s="2074"/>
      <c r="P652" s="2074"/>
    </row>
    <row r="653" spans="14:16">
      <c r="N653" s="2074"/>
      <c r="O653" s="2074"/>
      <c r="P653" s="2074"/>
    </row>
    <row r="654" spans="14:16">
      <c r="N654" s="2074"/>
      <c r="O654" s="2074"/>
      <c r="P654" s="2074"/>
    </row>
    <row r="655" spans="14:16">
      <c r="N655" s="2074"/>
      <c r="O655" s="2074"/>
      <c r="P655" s="2074"/>
    </row>
    <row r="656" spans="14:16">
      <c r="N656" s="2074"/>
      <c r="O656" s="2074"/>
      <c r="P656" s="2074"/>
    </row>
    <row r="657" spans="14:16">
      <c r="N657" s="2074"/>
      <c r="O657" s="2074"/>
      <c r="P657" s="2074"/>
    </row>
    <row r="658" spans="14:16">
      <c r="N658" s="2074"/>
      <c r="O658" s="2074"/>
      <c r="P658" s="2074"/>
    </row>
    <row r="659" spans="14:16">
      <c r="N659" s="2074"/>
      <c r="O659" s="2074"/>
      <c r="P659" s="2074"/>
    </row>
    <row r="660" spans="14:16">
      <c r="N660" s="2074"/>
      <c r="O660" s="2074"/>
      <c r="P660" s="2074"/>
    </row>
    <row r="661" spans="14:16">
      <c r="N661" s="2074"/>
      <c r="O661" s="2074"/>
      <c r="P661" s="2074"/>
    </row>
    <row r="662" spans="14:16">
      <c r="N662" s="2074"/>
      <c r="O662" s="2074"/>
      <c r="P662" s="2074"/>
    </row>
    <row r="663" spans="14:16">
      <c r="N663" s="2074"/>
      <c r="O663" s="2074"/>
      <c r="P663" s="2074"/>
    </row>
    <row r="664" spans="14:16">
      <c r="N664" s="2074"/>
      <c r="O664" s="2074"/>
      <c r="P664" s="2074"/>
    </row>
    <row r="665" spans="14:16">
      <c r="N665" s="2074"/>
      <c r="O665" s="2074"/>
      <c r="P665" s="2074"/>
    </row>
    <row r="666" spans="14:16">
      <c r="N666" s="2074"/>
      <c r="O666" s="2074"/>
      <c r="P666" s="2074"/>
    </row>
    <row r="667" spans="14:16">
      <c r="N667" s="2074"/>
      <c r="O667" s="2074"/>
      <c r="P667" s="2074"/>
    </row>
    <row r="668" spans="14:16">
      <c r="N668" s="2074"/>
      <c r="O668" s="2074"/>
      <c r="P668" s="2074"/>
    </row>
    <row r="669" spans="14:16">
      <c r="N669" s="2074"/>
      <c r="O669" s="2074"/>
      <c r="P669" s="2074"/>
    </row>
    <row r="670" spans="14:16">
      <c r="N670" s="2074"/>
      <c r="O670" s="2074"/>
      <c r="P670" s="2074"/>
    </row>
    <row r="671" spans="14:16">
      <c r="N671" s="2074"/>
      <c r="O671" s="2074"/>
      <c r="P671" s="2074"/>
    </row>
    <row r="672" spans="14:16">
      <c r="N672" s="2074"/>
      <c r="O672" s="2074"/>
      <c r="P672" s="2074"/>
    </row>
    <row r="673" spans="14:16">
      <c r="N673" s="2074"/>
      <c r="O673" s="2074"/>
      <c r="P673" s="2074"/>
    </row>
    <row r="674" spans="14:16">
      <c r="N674" s="2074"/>
      <c r="O674" s="2074"/>
      <c r="P674" s="2074"/>
    </row>
    <row r="675" spans="14:16">
      <c r="N675" s="2074"/>
      <c r="O675" s="2074"/>
      <c r="P675" s="2074"/>
    </row>
    <row r="676" spans="14:16">
      <c r="N676" s="2074"/>
      <c r="O676" s="2074"/>
      <c r="P676" s="2074"/>
    </row>
    <row r="677" spans="14:16">
      <c r="N677" s="2074"/>
      <c r="O677" s="2074"/>
      <c r="P677" s="2074"/>
    </row>
    <row r="678" spans="14:16">
      <c r="N678" s="2074"/>
      <c r="O678" s="2074"/>
      <c r="P678" s="2074"/>
    </row>
    <row r="679" spans="14:16">
      <c r="N679" s="2074"/>
      <c r="O679" s="2074"/>
      <c r="P679" s="2074"/>
    </row>
    <row r="680" spans="14:16">
      <c r="N680" s="2074"/>
      <c r="O680" s="2074"/>
      <c r="P680" s="2074"/>
    </row>
    <row r="681" spans="14:16">
      <c r="N681" s="2074"/>
      <c r="O681" s="2074"/>
      <c r="P681" s="2074"/>
    </row>
    <row r="682" spans="14:16">
      <c r="N682" s="2074"/>
      <c r="O682" s="2074"/>
      <c r="P682" s="2074"/>
    </row>
    <row r="683" spans="14:16">
      <c r="N683" s="2074"/>
      <c r="O683" s="2074"/>
      <c r="P683" s="2074"/>
    </row>
    <row r="684" spans="14:16">
      <c r="N684" s="2074"/>
      <c r="O684" s="2074"/>
      <c r="P684" s="2074"/>
    </row>
    <row r="685" spans="14:16">
      <c r="N685" s="2074"/>
      <c r="O685" s="2074"/>
      <c r="P685" s="2074"/>
    </row>
    <row r="686" spans="14:16">
      <c r="N686" s="2074"/>
      <c r="O686" s="2074"/>
      <c r="P686" s="2074"/>
    </row>
    <row r="687" spans="14:16">
      <c r="N687" s="2074"/>
      <c r="O687" s="2074"/>
      <c r="P687" s="2074"/>
    </row>
    <row r="688" spans="14:16">
      <c r="N688" s="2074"/>
      <c r="O688" s="2074"/>
      <c r="P688" s="2074"/>
    </row>
    <row r="689" spans="14:16">
      <c r="N689" s="2074"/>
      <c r="O689" s="2074"/>
      <c r="P689" s="2074"/>
    </row>
    <row r="690" spans="14:16">
      <c r="N690" s="2074"/>
      <c r="O690" s="2074"/>
      <c r="P690" s="2074"/>
    </row>
    <row r="691" spans="14:16">
      <c r="N691" s="2074"/>
      <c r="O691" s="2074"/>
      <c r="P691" s="2074"/>
    </row>
    <row r="692" spans="14:16">
      <c r="N692" s="2074"/>
      <c r="O692" s="2074"/>
      <c r="P692" s="2074"/>
    </row>
    <row r="693" spans="14:16">
      <c r="N693" s="2074"/>
      <c r="O693" s="2074"/>
      <c r="P693" s="2074"/>
    </row>
    <row r="694" spans="14:16">
      <c r="N694" s="2074"/>
      <c r="O694" s="2074"/>
      <c r="P694" s="2074"/>
    </row>
    <row r="695" spans="14:16">
      <c r="N695" s="2074"/>
      <c r="O695" s="2074"/>
      <c r="P695" s="2074"/>
    </row>
    <row r="696" spans="14:16">
      <c r="N696" s="2074"/>
      <c r="O696" s="2074"/>
      <c r="P696" s="2074"/>
    </row>
    <row r="697" spans="14:16">
      <c r="N697" s="2074"/>
      <c r="O697" s="2074"/>
      <c r="P697" s="2074"/>
    </row>
    <row r="698" spans="14:16">
      <c r="N698" s="2074"/>
      <c r="O698" s="2074"/>
      <c r="P698" s="2074"/>
    </row>
    <row r="699" spans="14:16">
      <c r="N699" s="2074"/>
      <c r="O699" s="2074"/>
      <c r="P699" s="2074"/>
    </row>
    <row r="700" spans="14:16">
      <c r="N700" s="2074"/>
      <c r="O700" s="2074"/>
      <c r="P700" s="2074"/>
    </row>
    <row r="701" spans="14:16">
      <c r="N701" s="2074"/>
      <c r="O701" s="2074"/>
      <c r="P701" s="2074"/>
    </row>
    <row r="702" spans="14:16">
      <c r="N702" s="2074"/>
      <c r="O702" s="2074"/>
      <c r="P702" s="2074"/>
    </row>
    <row r="703" spans="14:16">
      <c r="N703" s="2074"/>
      <c r="O703" s="2074"/>
      <c r="P703" s="2074"/>
    </row>
    <row r="704" spans="14:16">
      <c r="N704" s="2074"/>
      <c r="O704" s="2074"/>
      <c r="P704" s="2074"/>
    </row>
    <row r="705" spans="14:16">
      <c r="N705" s="2074"/>
      <c r="O705" s="2074"/>
      <c r="P705" s="2074"/>
    </row>
    <row r="706" spans="14:16">
      <c r="N706" s="2074"/>
      <c r="O706" s="2074"/>
      <c r="P706" s="2074"/>
    </row>
    <row r="707" spans="14:16">
      <c r="N707" s="2074"/>
      <c r="O707" s="2074"/>
      <c r="P707" s="2074"/>
    </row>
    <row r="708" spans="14:16">
      <c r="N708" s="2074"/>
      <c r="O708" s="2074"/>
      <c r="P708" s="2074"/>
    </row>
    <row r="709" spans="14:16">
      <c r="N709" s="2074"/>
      <c r="O709" s="2074"/>
      <c r="P709" s="2074"/>
    </row>
    <row r="710" spans="14:16">
      <c r="N710" s="2074"/>
      <c r="O710" s="2074"/>
      <c r="P710" s="2074"/>
    </row>
    <row r="711" spans="14:16">
      <c r="N711" s="2074"/>
      <c r="O711" s="2074"/>
      <c r="P711" s="2074"/>
    </row>
    <row r="712" spans="14:16">
      <c r="N712" s="2074"/>
      <c r="O712" s="2074"/>
      <c r="P712" s="2074"/>
    </row>
    <row r="713" spans="14:16">
      <c r="N713" s="2074"/>
      <c r="O713" s="2074"/>
      <c r="P713" s="2074"/>
    </row>
    <row r="714" spans="14:16">
      <c r="N714" s="2074"/>
      <c r="O714" s="2074"/>
      <c r="P714" s="2074"/>
    </row>
    <row r="715" spans="14:16">
      <c r="N715" s="2074"/>
      <c r="O715" s="2074"/>
      <c r="P715" s="2074"/>
    </row>
    <row r="716" spans="14:16">
      <c r="N716" s="2074"/>
      <c r="O716" s="2074"/>
      <c r="P716" s="2074"/>
    </row>
    <row r="717" spans="14:16">
      <c r="N717" s="2074"/>
      <c r="O717" s="2074"/>
      <c r="P717" s="2074"/>
    </row>
    <row r="718" spans="14:16">
      <c r="N718" s="2074"/>
      <c r="O718" s="2074"/>
      <c r="P718" s="2074"/>
    </row>
    <row r="719" spans="14:16">
      <c r="N719" s="2074"/>
      <c r="O719" s="2074"/>
      <c r="P719" s="2074"/>
    </row>
    <row r="720" spans="14:16">
      <c r="N720" s="2074"/>
      <c r="O720" s="2074"/>
      <c r="P720" s="2074"/>
    </row>
    <row r="721" spans="14:16">
      <c r="N721" s="2074"/>
      <c r="O721" s="2074"/>
      <c r="P721" s="2074"/>
    </row>
    <row r="722" spans="14:16">
      <c r="N722" s="2074"/>
      <c r="O722" s="2074"/>
      <c r="P722" s="2074"/>
    </row>
    <row r="723" spans="14:16">
      <c r="N723" s="2074"/>
      <c r="O723" s="2074"/>
      <c r="P723" s="2074"/>
    </row>
    <row r="724" spans="14:16">
      <c r="N724" s="2074"/>
      <c r="O724" s="2074"/>
      <c r="P724" s="2074"/>
    </row>
    <row r="725" spans="14:16">
      <c r="N725" s="2074"/>
      <c r="O725" s="2074"/>
      <c r="P725" s="2074"/>
    </row>
    <row r="726" spans="14:16">
      <c r="N726" s="2074"/>
      <c r="O726" s="2074"/>
      <c r="P726" s="2074"/>
    </row>
    <row r="727" spans="14:16">
      <c r="N727" s="2074"/>
      <c r="O727" s="2074"/>
      <c r="P727" s="2074"/>
    </row>
    <row r="728" spans="14:16">
      <c r="N728" s="2074"/>
      <c r="O728" s="2074"/>
      <c r="P728" s="2074"/>
    </row>
    <row r="729" spans="14:16">
      <c r="N729" s="2074"/>
      <c r="O729" s="2074"/>
      <c r="P729" s="2074"/>
    </row>
    <row r="730" spans="14:16">
      <c r="N730" s="2074"/>
      <c r="O730" s="2074"/>
      <c r="P730" s="2074"/>
    </row>
    <row r="731" spans="14:16">
      <c r="N731" s="2074"/>
      <c r="O731" s="2074"/>
      <c r="P731" s="2074"/>
    </row>
    <row r="732" spans="14:16">
      <c r="N732" s="2074"/>
      <c r="O732" s="2074"/>
      <c r="P732" s="2074"/>
    </row>
    <row r="733" spans="14:16">
      <c r="N733" s="2074"/>
      <c r="O733" s="2074"/>
      <c r="P733" s="2074"/>
    </row>
    <row r="734" spans="14:16">
      <c r="N734" s="2074"/>
      <c r="O734" s="2074"/>
      <c r="P734" s="2074"/>
    </row>
    <row r="735" spans="14:16">
      <c r="N735" s="2074"/>
      <c r="O735" s="2074"/>
      <c r="P735" s="2074"/>
    </row>
    <row r="736" spans="14:16">
      <c r="N736" s="2074"/>
      <c r="O736" s="2074"/>
      <c r="P736" s="2074"/>
    </row>
    <row r="737" spans="14:16">
      <c r="N737" s="2074"/>
      <c r="O737" s="2074"/>
      <c r="P737" s="2074"/>
    </row>
    <row r="738" spans="14:16">
      <c r="N738" s="2074"/>
      <c r="O738" s="2074"/>
      <c r="P738" s="2074"/>
    </row>
    <row r="739" spans="14:16">
      <c r="N739" s="2074"/>
      <c r="O739" s="2074"/>
      <c r="P739" s="2074"/>
    </row>
    <row r="740" spans="14:16">
      <c r="N740" s="2074"/>
      <c r="O740" s="2074"/>
      <c r="P740" s="2074"/>
    </row>
    <row r="741" spans="14:16">
      <c r="N741" s="2074"/>
      <c r="O741" s="2074"/>
      <c r="P741" s="2074"/>
    </row>
    <row r="742" spans="14:16">
      <c r="N742" s="2074"/>
      <c r="O742" s="2074"/>
      <c r="P742" s="2074"/>
    </row>
    <row r="743" spans="14:16">
      <c r="N743" s="2074"/>
      <c r="O743" s="2074"/>
      <c r="P743" s="2074"/>
    </row>
    <row r="744" spans="14:16">
      <c r="N744" s="2074"/>
      <c r="O744" s="2074"/>
      <c r="P744" s="2074"/>
    </row>
    <row r="745" spans="14:16">
      <c r="N745" s="2074"/>
      <c r="O745" s="2074"/>
      <c r="P745" s="2074"/>
    </row>
    <row r="746" spans="14:16">
      <c r="N746" s="2074"/>
      <c r="O746" s="2074"/>
      <c r="P746" s="2074"/>
    </row>
    <row r="747" spans="14:16">
      <c r="N747" s="2074"/>
      <c r="O747" s="2074"/>
      <c r="P747" s="2074"/>
    </row>
    <row r="748" spans="14:16">
      <c r="N748" s="2074"/>
      <c r="O748" s="2074"/>
      <c r="P748" s="2074"/>
    </row>
    <row r="749" spans="14:16">
      <c r="N749" s="2074"/>
      <c r="O749" s="2074"/>
      <c r="P749" s="2074"/>
    </row>
    <row r="750" spans="14:16">
      <c r="N750" s="2074"/>
      <c r="O750" s="2074"/>
      <c r="P750" s="2074"/>
    </row>
    <row r="751" spans="14:16">
      <c r="N751" s="2074"/>
      <c r="O751" s="2074"/>
      <c r="P751" s="2074"/>
    </row>
    <row r="752" spans="14:16">
      <c r="N752" s="2074"/>
      <c r="O752" s="2074"/>
      <c r="P752" s="2074"/>
    </row>
    <row r="753" spans="14:16">
      <c r="N753" s="2074"/>
      <c r="O753" s="2074"/>
      <c r="P753" s="2074"/>
    </row>
    <row r="754" spans="14:16">
      <c r="N754" s="2074"/>
      <c r="O754" s="2074"/>
      <c r="P754" s="2074"/>
    </row>
    <row r="755" spans="14:16">
      <c r="N755" s="2074"/>
      <c r="O755" s="2074"/>
      <c r="P755" s="2074"/>
    </row>
    <row r="756" spans="14:16">
      <c r="N756" s="2074"/>
      <c r="O756" s="2074"/>
      <c r="P756" s="2074"/>
    </row>
    <row r="757" spans="14:16">
      <c r="N757" s="2074"/>
      <c r="O757" s="2074"/>
      <c r="P757" s="2074"/>
    </row>
    <row r="758" spans="14:16">
      <c r="N758" s="2074"/>
      <c r="O758" s="2074"/>
      <c r="P758" s="2074"/>
    </row>
    <row r="759" spans="14:16">
      <c r="N759" s="2074"/>
      <c r="O759" s="2074"/>
      <c r="P759" s="2074"/>
    </row>
    <row r="760" spans="14:16">
      <c r="N760" s="2074"/>
      <c r="O760" s="2074"/>
      <c r="P760" s="2074"/>
    </row>
    <row r="761" spans="14:16">
      <c r="N761" s="2074"/>
      <c r="O761" s="2074"/>
      <c r="P761" s="2074"/>
    </row>
    <row r="762" spans="14:16">
      <c r="N762" s="2074"/>
      <c r="O762" s="2074"/>
      <c r="P762" s="2074"/>
    </row>
    <row r="763" spans="14:16">
      <c r="N763" s="2074"/>
      <c r="O763" s="2074"/>
      <c r="P763" s="2074"/>
    </row>
    <row r="764" spans="14:16">
      <c r="N764" s="2074"/>
      <c r="O764" s="2074"/>
      <c r="P764" s="2074"/>
    </row>
    <row r="765" spans="14:16">
      <c r="N765" s="2074"/>
      <c r="O765" s="2074"/>
      <c r="P765" s="2074"/>
    </row>
    <row r="766" spans="14:16">
      <c r="N766" s="2074"/>
      <c r="O766" s="2074"/>
      <c r="P766" s="2074"/>
    </row>
    <row r="767" spans="14:16">
      <c r="N767" s="2074"/>
      <c r="O767" s="2074"/>
      <c r="P767" s="2074"/>
    </row>
    <row r="768" spans="14:16">
      <c r="N768" s="2074"/>
      <c r="O768" s="2074"/>
      <c r="P768" s="2074"/>
    </row>
    <row r="769" spans="14:16">
      <c r="N769" s="2074"/>
      <c r="O769" s="2074"/>
      <c r="P769" s="2074"/>
    </row>
    <row r="770" spans="14:16">
      <c r="N770" s="2074"/>
      <c r="O770" s="2074"/>
      <c r="P770" s="2074"/>
    </row>
    <row r="771" spans="14:16">
      <c r="N771" s="2074"/>
      <c r="O771" s="2074"/>
      <c r="P771" s="2074"/>
    </row>
    <row r="772" spans="14:16">
      <c r="N772" s="2074"/>
      <c r="O772" s="2074"/>
      <c r="P772" s="2074"/>
    </row>
    <row r="773" spans="14:16">
      <c r="N773" s="2074"/>
      <c r="O773" s="2074"/>
      <c r="P773" s="2074"/>
    </row>
    <row r="774" spans="14:16">
      <c r="N774" s="2074"/>
      <c r="O774" s="2074"/>
      <c r="P774" s="2074"/>
    </row>
    <row r="775" spans="14:16">
      <c r="N775" s="2074"/>
      <c r="O775" s="2074"/>
      <c r="P775" s="2074"/>
    </row>
    <row r="776" spans="14:16">
      <c r="N776" s="2074"/>
      <c r="O776" s="2074"/>
      <c r="P776" s="2074"/>
    </row>
    <row r="777" spans="14:16">
      <c r="N777" s="2074"/>
      <c r="O777" s="2074"/>
      <c r="P777" s="2074"/>
    </row>
    <row r="778" spans="14:16">
      <c r="N778" s="2074"/>
      <c r="O778" s="2074"/>
      <c r="P778" s="2074"/>
    </row>
    <row r="779" spans="14:16">
      <c r="N779" s="2074"/>
      <c r="O779" s="2074"/>
      <c r="P779" s="2074"/>
    </row>
    <row r="780" spans="14:16">
      <c r="N780" s="2074"/>
      <c r="O780" s="2074"/>
      <c r="P780" s="2074"/>
    </row>
    <row r="781" spans="14:16">
      <c r="N781" s="2074"/>
      <c r="O781" s="2074"/>
      <c r="P781" s="2074"/>
    </row>
    <row r="782" spans="14:16">
      <c r="N782" s="2074"/>
      <c r="O782" s="2074"/>
      <c r="P782" s="2074"/>
    </row>
    <row r="783" spans="14:16">
      <c r="N783" s="2074"/>
      <c r="O783" s="2074"/>
      <c r="P783" s="2074"/>
    </row>
    <row r="784" spans="14:16">
      <c r="N784" s="2074"/>
      <c r="O784" s="2074"/>
      <c r="P784" s="2074"/>
    </row>
    <row r="785" spans="14:16">
      <c r="N785" s="2074"/>
      <c r="O785" s="2074"/>
      <c r="P785" s="2074"/>
    </row>
    <row r="786" spans="14:16">
      <c r="N786" s="2074"/>
      <c r="O786" s="2074"/>
      <c r="P786" s="2074"/>
    </row>
    <row r="787" spans="14:16">
      <c r="N787" s="2074"/>
      <c r="O787" s="2074"/>
      <c r="P787" s="2074"/>
    </row>
    <row r="788" spans="14:16">
      <c r="N788" s="2074"/>
      <c r="O788" s="2074"/>
      <c r="P788" s="2074"/>
    </row>
    <row r="789" spans="14:16">
      <c r="N789" s="2074"/>
      <c r="O789" s="2074"/>
      <c r="P789" s="2074"/>
    </row>
    <row r="790" spans="14:16">
      <c r="N790" s="2074"/>
      <c r="O790" s="2074"/>
      <c r="P790" s="2074"/>
    </row>
    <row r="791" spans="14:16">
      <c r="N791" s="2074"/>
      <c r="O791" s="2074"/>
      <c r="P791" s="2074"/>
    </row>
    <row r="792" spans="14:16">
      <c r="N792" s="2074"/>
      <c r="O792" s="2074"/>
      <c r="P792" s="2074"/>
    </row>
    <row r="793" spans="14:16">
      <c r="N793" s="2074"/>
      <c r="O793" s="2074"/>
      <c r="P793" s="2074"/>
    </row>
    <row r="794" spans="14:16">
      <c r="N794" s="2074"/>
      <c r="O794" s="2074"/>
      <c r="P794" s="2074"/>
    </row>
    <row r="795" spans="14:16">
      <c r="N795" s="2074"/>
      <c r="O795" s="2074"/>
      <c r="P795" s="2074"/>
    </row>
    <row r="796" spans="14:16">
      <c r="N796" s="2074"/>
      <c r="O796" s="2074"/>
      <c r="P796" s="2074"/>
    </row>
    <row r="797" spans="14:16">
      <c r="N797" s="2074"/>
      <c r="O797" s="2074"/>
      <c r="P797" s="2074"/>
    </row>
    <row r="798" spans="14:16">
      <c r="N798" s="2074"/>
      <c r="O798" s="2074"/>
      <c r="P798" s="2074"/>
    </row>
    <row r="799" spans="14:16">
      <c r="N799" s="2074"/>
      <c r="O799" s="2074"/>
      <c r="P799" s="2074"/>
    </row>
    <row r="800" spans="14:16">
      <c r="N800" s="2074"/>
      <c r="O800" s="2074"/>
      <c r="P800" s="2074"/>
    </row>
    <row r="801" spans="14:16">
      <c r="N801" s="2074"/>
      <c r="O801" s="2074"/>
      <c r="P801" s="2074"/>
    </row>
    <row r="802" spans="14:16">
      <c r="N802" s="2074"/>
      <c r="O802" s="2074"/>
      <c r="P802" s="2074"/>
    </row>
    <row r="803" spans="14:16">
      <c r="N803" s="2074"/>
      <c r="O803" s="2074"/>
      <c r="P803" s="2074"/>
    </row>
    <row r="804" spans="14:16">
      <c r="N804" s="2074"/>
      <c r="O804" s="2074"/>
      <c r="P804" s="2074"/>
    </row>
  </sheetData>
  <sheetProtection algorithmName="SHA-512" hashValue="ilytzPY2qHEwiyWLKrAGgdrNu6Ad5jHL57Cdhp/RGNbEpEu//F6d9tQGfwBBgoUNjcX3wTGvgqZBexvuso0sKQ==" saltValue="f1+2L1OLRApeha4Ik1PMgQ==" spinCount="100000" sheet="1" objects="1" scenarios="1" formatRows="0"/>
  <mergeCells count="30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topLeftCell="A27" workbookViewId="0">
      <selection activeCell="A39" sqref="A39:F39"/>
    </sheetView>
  </sheetViews>
  <sheetFormatPr defaultColWidth="8.7265625" defaultRowHeight="15.5"/>
  <cols>
    <col min="1" max="1" width="2.26953125" style="792" customWidth="1"/>
    <col min="2" max="13" width="7.7265625" style="792" customWidth="1"/>
    <col min="14" max="15" width="5.7265625" style="792" customWidth="1"/>
    <col min="16" max="16384" width="8.7265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42" t="s">
        <v>2474</v>
      </c>
      <c r="B5" s="4142"/>
      <c r="C5" s="4142"/>
      <c r="D5" s="4142"/>
      <c r="E5" s="4142"/>
      <c r="F5" s="4142"/>
      <c r="G5" s="4142"/>
      <c r="H5" s="4142"/>
      <c r="I5" s="4142"/>
      <c r="J5" s="4142"/>
      <c r="K5" s="4142"/>
      <c r="L5" s="4142"/>
      <c r="M5" s="4142"/>
    </row>
    <row r="6" spans="1:26" ht="11.65"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65" customHeight="1">
      <c r="A8" s="796"/>
      <c r="B8" s="796"/>
      <c r="C8" s="796"/>
      <c r="D8" s="796"/>
      <c r="E8" s="796"/>
      <c r="F8" s="796"/>
      <c r="G8" s="796"/>
      <c r="H8" s="796"/>
      <c r="I8" s="796"/>
      <c r="J8" s="796"/>
      <c r="K8" s="796"/>
      <c r="L8" s="796"/>
      <c r="M8" s="796"/>
    </row>
    <row r="9" spans="1:26">
      <c r="A9" s="4143" t="s">
        <v>1762</v>
      </c>
      <c r="B9" s="4143"/>
      <c r="C9" s="4143"/>
      <c r="D9" s="4143"/>
      <c r="E9" s="4143"/>
      <c r="F9" s="4143"/>
      <c r="G9" s="4143"/>
      <c r="H9" s="4143"/>
      <c r="I9" s="4143"/>
      <c r="J9" s="4143"/>
      <c r="K9" s="4143"/>
      <c r="L9" s="4143"/>
      <c r="M9" s="4143"/>
    </row>
    <row r="10" spans="1:26" ht="6.75" customHeight="1">
      <c r="A10" s="4143"/>
      <c r="B10" s="4143"/>
      <c r="C10" s="4143"/>
      <c r="D10" s="4143"/>
      <c r="E10" s="4143"/>
      <c r="F10" s="4143"/>
      <c r="G10" s="4143"/>
      <c r="H10" s="4143"/>
      <c r="I10" s="4143"/>
      <c r="J10" s="4143"/>
      <c r="K10" s="4143"/>
      <c r="L10" s="4143"/>
      <c r="M10" s="4143"/>
    </row>
    <row r="11" spans="1:26" ht="44.25" customHeight="1">
      <c r="A11" s="4144" t="s">
        <v>5099</v>
      </c>
      <c r="B11" s="4144"/>
      <c r="C11" s="4144"/>
      <c r="D11" s="4144"/>
      <c r="E11" s="4144"/>
      <c r="F11" s="4144"/>
      <c r="G11" s="4144"/>
      <c r="H11" s="4144"/>
      <c r="I11" s="4144"/>
      <c r="J11" s="4144"/>
      <c r="K11" s="4144"/>
      <c r="L11" s="4144"/>
      <c r="M11" s="4144"/>
    </row>
    <row r="12" spans="1:26" ht="3" customHeight="1">
      <c r="A12" s="4143"/>
      <c r="B12" s="4143"/>
      <c r="C12" s="4143"/>
      <c r="D12" s="4143"/>
      <c r="E12" s="4143"/>
      <c r="F12" s="4143"/>
      <c r="G12" s="4143"/>
      <c r="H12" s="4143"/>
      <c r="I12" s="4143"/>
      <c r="J12" s="4143"/>
      <c r="K12" s="4143"/>
      <c r="L12" s="4143"/>
      <c r="M12" s="4143"/>
    </row>
    <row r="13" spans="1:26" ht="101.25" customHeight="1">
      <c r="A13" s="798" t="s">
        <v>1611</v>
      </c>
      <c r="B13" s="4145" t="s">
        <v>3105</v>
      </c>
      <c r="C13" s="4145"/>
      <c r="D13" s="4145"/>
      <c r="E13" s="4145"/>
      <c r="F13" s="4145"/>
      <c r="G13" s="4145"/>
      <c r="H13" s="4145"/>
      <c r="I13" s="4145"/>
      <c r="J13" s="4145"/>
      <c r="K13" s="4145"/>
      <c r="L13" s="4145"/>
      <c r="M13" s="4145"/>
      <c r="U13" s="792" t="s">
        <v>4164</v>
      </c>
    </row>
    <row r="14" spans="1:26" ht="47.25" customHeight="1">
      <c r="A14" s="798" t="s">
        <v>1612</v>
      </c>
      <c r="B14" s="4145" t="s">
        <v>3106</v>
      </c>
      <c r="C14" s="4145"/>
      <c r="D14" s="4145"/>
      <c r="E14" s="4145"/>
      <c r="F14" s="4145"/>
      <c r="G14" s="4145"/>
      <c r="H14" s="4145"/>
      <c r="I14" s="4145"/>
      <c r="J14" s="4145"/>
      <c r="K14" s="4145"/>
      <c r="L14" s="4145"/>
      <c r="M14" s="4145"/>
    </row>
    <row r="15" spans="1:26" ht="117" customHeight="1">
      <c r="A15" s="798" t="s">
        <v>1613</v>
      </c>
      <c r="B15" s="4145" t="s">
        <v>3107</v>
      </c>
      <c r="C15" s="4145"/>
      <c r="D15" s="4145"/>
      <c r="E15" s="4145"/>
      <c r="F15" s="4145"/>
      <c r="G15" s="4145"/>
      <c r="H15" s="4145"/>
      <c r="I15" s="4145"/>
      <c r="J15" s="4145"/>
      <c r="K15" s="4145"/>
      <c r="L15" s="4145"/>
      <c r="M15" s="4145"/>
    </row>
    <row r="16" spans="1:26" ht="147" customHeight="1">
      <c r="A16" s="798" t="s">
        <v>2176</v>
      </c>
      <c r="B16" s="4145" t="s">
        <v>2986</v>
      </c>
      <c r="C16" s="4145"/>
      <c r="D16" s="4145"/>
      <c r="E16" s="4145"/>
      <c r="F16" s="4145"/>
      <c r="G16" s="4145"/>
      <c r="H16" s="4145"/>
      <c r="I16" s="4145"/>
      <c r="J16" s="4145"/>
      <c r="K16" s="4145"/>
      <c r="L16" s="4145"/>
      <c r="M16" s="4145"/>
    </row>
    <row r="17" spans="1:13" ht="48.75" customHeight="1">
      <c r="A17" s="798" t="s">
        <v>1446</v>
      </c>
      <c r="B17" s="4145" t="s">
        <v>636</v>
      </c>
      <c r="C17" s="4145"/>
      <c r="D17" s="4145"/>
      <c r="E17" s="4145"/>
      <c r="F17" s="4145"/>
      <c r="G17" s="4145"/>
      <c r="H17" s="4145"/>
      <c r="I17" s="4145"/>
      <c r="J17" s="4145"/>
      <c r="K17" s="4145"/>
      <c r="L17" s="4145"/>
      <c r="M17" s="4145"/>
    </row>
    <row r="18" spans="1:13" ht="165" customHeight="1">
      <c r="A18" s="798" t="s">
        <v>1447</v>
      </c>
      <c r="B18" s="4145" t="s">
        <v>2985</v>
      </c>
      <c r="C18" s="4145"/>
      <c r="D18" s="4145"/>
      <c r="E18" s="4145"/>
      <c r="F18" s="4145"/>
      <c r="G18" s="4145"/>
      <c r="H18" s="4145"/>
      <c r="I18" s="4145"/>
      <c r="J18" s="4145"/>
      <c r="K18" s="4145"/>
      <c r="L18" s="4145"/>
      <c r="M18" s="4145"/>
    </row>
    <row r="19" spans="1:13" ht="48.75" customHeight="1">
      <c r="A19" s="798" t="s">
        <v>93</v>
      </c>
      <c r="B19" s="4141" t="s">
        <v>3108</v>
      </c>
      <c r="C19" s="4141"/>
      <c r="D19" s="4141"/>
      <c r="E19" s="4141"/>
      <c r="F19" s="4141"/>
      <c r="G19" s="4141"/>
      <c r="H19" s="4141"/>
      <c r="I19" s="4141"/>
      <c r="J19" s="4141"/>
      <c r="K19" s="4141"/>
      <c r="L19" s="4141"/>
      <c r="M19" s="4141"/>
    </row>
    <row r="20" spans="1:13" ht="50.25" customHeight="1">
      <c r="A20" s="798" t="s">
        <v>480</v>
      </c>
      <c r="B20" s="4145" t="s">
        <v>2987</v>
      </c>
      <c r="C20" s="4145"/>
      <c r="D20" s="4145"/>
      <c r="E20" s="4145"/>
      <c r="F20" s="4145"/>
      <c r="G20" s="4145"/>
      <c r="H20" s="4145"/>
      <c r="I20" s="4145"/>
      <c r="J20" s="4145"/>
      <c r="K20" s="4145"/>
      <c r="L20" s="4145"/>
      <c r="M20" s="4145"/>
    </row>
    <row r="21" spans="1:13" ht="31.5" customHeight="1">
      <c r="A21" s="798" t="s">
        <v>481</v>
      </c>
      <c r="B21" s="4145" t="s">
        <v>3004</v>
      </c>
      <c r="C21" s="4145"/>
      <c r="D21" s="4145"/>
      <c r="E21" s="4145"/>
      <c r="F21" s="4145"/>
      <c r="G21" s="4145"/>
      <c r="H21" s="4145"/>
      <c r="I21" s="4145"/>
      <c r="J21" s="4145"/>
      <c r="K21" s="4145"/>
      <c r="L21" s="4145"/>
      <c r="M21" s="4145"/>
    </row>
    <row r="22" spans="1:13" ht="1.5" customHeight="1">
      <c r="A22" s="4143"/>
      <c r="B22" s="4143"/>
      <c r="C22" s="4143"/>
      <c r="D22" s="4143"/>
      <c r="E22" s="4143"/>
      <c r="F22" s="4143"/>
      <c r="G22" s="4143"/>
      <c r="H22" s="4143"/>
      <c r="I22" s="4143"/>
      <c r="J22" s="4143"/>
      <c r="K22" s="4143"/>
      <c r="L22" s="4143"/>
      <c r="M22" s="4143"/>
    </row>
    <row r="23" spans="1:13" ht="3" customHeight="1">
      <c r="A23" s="4143"/>
      <c r="B23" s="4143"/>
      <c r="C23" s="4143"/>
      <c r="D23" s="4143"/>
      <c r="E23" s="4143"/>
      <c r="F23" s="4143"/>
      <c r="G23" s="4143"/>
      <c r="H23" s="4143"/>
      <c r="I23" s="4143"/>
      <c r="J23" s="4143"/>
      <c r="K23" s="4143"/>
      <c r="L23" s="4143"/>
      <c r="M23" s="4143"/>
    </row>
    <row r="24" spans="1:13" ht="13.5" customHeight="1">
      <c r="A24" s="4143" t="s">
        <v>1372</v>
      </c>
      <c r="B24" s="4143"/>
      <c r="C24" s="4143"/>
      <c r="D24" s="4143"/>
      <c r="E24" s="4143"/>
      <c r="F24" s="4143"/>
      <c r="G24" s="4143"/>
      <c r="H24" s="4143"/>
      <c r="I24" s="4143"/>
      <c r="J24" s="4143"/>
      <c r="K24" s="4143"/>
      <c r="L24" s="4143"/>
      <c r="M24" s="4143"/>
    </row>
    <row r="25" spans="1:13" ht="32.25" customHeight="1">
      <c r="A25" s="798" t="s">
        <v>1373</v>
      </c>
      <c r="B25" s="4145" t="s">
        <v>3005</v>
      </c>
      <c r="C25" s="4145"/>
      <c r="D25" s="4145"/>
      <c r="E25" s="4145"/>
      <c r="F25" s="4145"/>
      <c r="G25" s="4145"/>
      <c r="H25" s="4145"/>
      <c r="I25" s="4145"/>
      <c r="J25" s="4145"/>
      <c r="K25" s="4145"/>
      <c r="L25" s="4145"/>
      <c r="M25" s="4145"/>
    </row>
    <row r="26" spans="1:13" ht="31.5" customHeight="1">
      <c r="A26" s="798" t="s">
        <v>1373</v>
      </c>
      <c r="B26" s="4145" t="s">
        <v>3006</v>
      </c>
      <c r="C26" s="4145"/>
      <c r="D26" s="4145"/>
      <c r="E26" s="4145"/>
      <c r="F26" s="4145"/>
      <c r="G26" s="4145"/>
      <c r="H26" s="4145"/>
      <c r="I26" s="4145"/>
      <c r="J26" s="4145"/>
      <c r="K26" s="4145"/>
      <c r="L26" s="4145"/>
      <c r="M26" s="4145"/>
    </row>
    <row r="27" spans="1:13" ht="78.75" customHeight="1">
      <c r="A27" s="798" t="s">
        <v>1373</v>
      </c>
      <c r="B27" s="4145" t="s">
        <v>2475</v>
      </c>
      <c r="C27" s="4145"/>
      <c r="D27" s="4145"/>
      <c r="E27" s="4145"/>
      <c r="F27" s="4145"/>
      <c r="G27" s="4145"/>
      <c r="H27" s="4145"/>
      <c r="I27" s="4145"/>
      <c r="J27" s="4145"/>
      <c r="K27" s="4145"/>
      <c r="L27" s="4145"/>
      <c r="M27" s="4145"/>
    </row>
    <row r="28" spans="1:13" ht="7.5" customHeight="1">
      <c r="A28" s="4143"/>
      <c r="B28" s="4143"/>
      <c r="C28" s="4143"/>
      <c r="D28" s="4143"/>
      <c r="E28" s="4143"/>
      <c r="F28" s="4143"/>
      <c r="G28" s="4143"/>
      <c r="H28" s="4143"/>
      <c r="I28" s="4143"/>
      <c r="J28" s="4143"/>
      <c r="K28" s="4143"/>
      <c r="L28" s="4143"/>
      <c r="M28" s="4143"/>
    </row>
    <row r="29" spans="1:13" ht="43.5" customHeight="1">
      <c r="A29" s="4145" t="s">
        <v>886</v>
      </c>
      <c r="B29" s="4145"/>
      <c r="C29" s="4145"/>
      <c r="D29" s="4145"/>
      <c r="E29" s="4145"/>
      <c r="F29" s="4145"/>
      <c r="G29" s="4145"/>
      <c r="H29" s="4145"/>
      <c r="I29" s="4145"/>
      <c r="J29" s="4145"/>
      <c r="K29" s="4145"/>
      <c r="L29" s="4145"/>
      <c r="M29" s="4145"/>
    </row>
    <row r="30" spans="1:13" ht="3" customHeight="1">
      <c r="A30" s="4143"/>
      <c r="B30" s="4143"/>
      <c r="C30" s="4143"/>
      <c r="D30" s="4143"/>
      <c r="E30" s="4143"/>
      <c r="F30" s="4143"/>
      <c r="G30" s="4143"/>
      <c r="H30" s="4143"/>
      <c r="I30" s="4143"/>
      <c r="J30" s="4143"/>
      <c r="K30" s="4143"/>
      <c r="L30" s="4143"/>
      <c r="M30" s="4143"/>
    </row>
    <row r="31" spans="1:13" ht="32.25" customHeight="1">
      <c r="A31" s="4145" t="s">
        <v>2476</v>
      </c>
      <c r="B31" s="4145"/>
      <c r="C31" s="4145"/>
      <c r="D31" s="4145"/>
      <c r="E31" s="4145"/>
      <c r="F31" s="4145"/>
      <c r="G31" s="4145"/>
      <c r="H31" s="4145"/>
      <c r="I31" s="4145"/>
      <c r="J31" s="4145"/>
      <c r="K31" s="4145"/>
      <c r="L31" s="4145"/>
      <c r="M31" s="4145"/>
    </row>
    <row r="32" spans="1:13" ht="4.5" customHeight="1">
      <c r="A32" s="4143"/>
      <c r="B32" s="4143"/>
      <c r="C32" s="4143"/>
      <c r="D32" s="4143"/>
      <c r="E32" s="4143"/>
      <c r="F32" s="4143"/>
      <c r="G32" s="4143"/>
      <c r="H32" s="4143"/>
      <c r="I32" s="4143"/>
      <c r="J32" s="4143"/>
      <c r="K32" s="4143"/>
      <c r="L32" s="4143"/>
      <c r="M32" s="4143"/>
    </row>
    <row r="33" spans="1:13">
      <c r="A33" s="4143" t="s">
        <v>863</v>
      </c>
      <c r="B33" s="4143"/>
      <c r="C33" s="4143"/>
      <c r="D33" s="4143"/>
      <c r="E33" s="4143"/>
      <c r="F33" s="4143"/>
      <c r="G33" s="4143"/>
      <c r="H33" s="4143"/>
      <c r="I33" s="4143"/>
      <c r="J33" s="4143"/>
      <c r="K33" s="4143"/>
      <c r="L33" s="4143"/>
      <c r="M33" s="4143"/>
    </row>
    <row r="34" spans="1:13" ht="6" customHeight="1">
      <c r="A34" s="818"/>
      <c r="B34" s="818"/>
      <c r="C34" s="818"/>
      <c r="D34" s="818"/>
      <c r="E34" s="818"/>
      <c r="F34" s="818"/>
      <c r="G34" s="818"/>
      <c r="H34" s="818"/>
      <c r="I34" s="818"/>
      <c r="J34" s="818"/>
      <c r="K34" s="818"/>
      <c r="L34" s="818"/>
      <c r="M34" s="818"/>
    </row>
    <row r="35" spans="1:13">
      <c r="A35" s="4146" t="s">
        <v>5207</v>
      </c>
      <c r="B35" s="4146"/>
      <c r="C35" s="4146"/>
      <c r="D35" s="4146"/>
      <c r="E35" s="4146"/>
      <c r="F35" s="4146"/>
      <c r="G35" s="796"/>
      <c r="H35" s="4146" t="s">
        <v>5275</v>
      </c>
      <c r="I35" s="4146"/>
      <c r="J35" s="4146"/>
      <c r="K35" s="4146"/>
      <c r="L35" s="4146"/>
      <c r="M35" s="4146"/>
    </row>
    <row r="36" spans="1:13" ht="12" customHeight="1">
      <c r="A36" s="4147" t="s">
        <v>864</v>
      </c>
      <c r="B36" s="4147"/>
      <c r="C36" s="4147"/>
      <c r="D36" s="4147"/>
      <c r="E36" s="4147"/>
      <c r="F36" s="4147"/>
      <c r="G36" s="796"/>
      <c r="H36" s="4147" t="s">
        <v>1834</v>
      </c>
      <c r="I36" s="4147"/>
      <c r="J36" s="4147"/>
      <c r="K36" s="4147"/>
      <c r="L36" s="4147"/>
      <c r="M36" s="4147"/>
    </row>
    <row r="37" spans="1:13" ht="6" customHeight="1">
      <c r="A37" s="796"/>
      <c r="B37" s="796"/>
      <c r="C37" s="796"/>
      <c r="D37" s="796"/>
      <c r="E37" s="796"/>
      <c r="F37" s="796"/>
      <c r="G37" s="796"/>
      <c r="H37" s="796"/>
      <c r="I37" s="796"/>
      <c r="J37" s="796"/>
      <c r="K37" s="796"/>
      <c r="L37" s="796"/>
      <c r="M37" s="796"/>
    </row>
    <row r="38" spans="1:13">
      <c r="A38" s="4148"/>
      <c r="B38" s="4148"/>
      <c r="C38" s="4148"/>
      <c r="D38" s="4148"/>
      <c r="E38" s="4148"/>
      <c r="F38" s="4148"/>
      <c r="G38" s="796"/>
      <c r="H38" s="4149">
        <v>45919</v>
      </c>
      <c r="I38" s="4149"/>
      <c r="J38" s="4149"/>
      <c r="K38" s="4149"/>
      <c r="L38" s="4149"/>
      <c r="M38" s="4149"/>
    </row>
    <row r="39" spans="1:13" ht="12" customHeight="1">
      <c r="A39" s="4147" t="s">
        <v>865</v>
      </c>
      <c r="B39" s="4147"/>
      <c r="C39" s="4147"/>
      <c r="D39" s="4147"/>
      <c r="E39" s="4147"/>
      <c r="F39" s="4147"/>
      <c r="G39" s="796"/>
      <c r="H39" s="4147" t="s">
        <v>866</v>
      </c>
      <c r="I39" s="4147"/>
      <c r="J39" s="4147"/>
      <c r="K39" s="4147"/>
      <c r="L39" s="4147"/>
      <c r="M39" s="4147"/>
    </row>
    <row r="40" spans="1:13" ht="3" customHeight="1">
      <c r="A40" s="799"/>
      <c r="B40" s="799"/>
      <c r="C40" s="799"/>
      <c r="D40" s="799"/>
      <c r="E40" s="799"/>
      <c r="F40" s="799"/>
      <c r="G40" s="796"/>
      <c r="H40" s="799"/>
      <c r="I40" s="799"/>
      <c r="J40" s="799"/>
      <c r="K40" s="799"/>
      <c r="L40" s="799"/>
      <c r="M40" s="799"/>
    </row>
    <row r="41" spans="1:13" ht="11.65" customHeight="1">
      <c r="A41" s="796"/>
      <c r="B41" s="796"/>
      <c r="C41" s="796"/>
      <c r="D41" s="796"/>
      <c r="E41" s="796"/>
      <c r="F41" s="796"/>
      <c r="G41" s="796"/>
      <c r="H41" s="4150" t="s">
        <v>867</v>
      </c>
      <c r="I41" s="4150"/>
      <c r="J41" s="4150"/>
      <c r="K41" s="4150"/>
      <c r="L41" s="4150"/>
      <c r="M41" s="4150"/>
    </row>
    <row r="42" spans="1:13" ht="11.65" customHeight="1">
      <c r="A42" s="796"/>
      <c r="B42" s="796"/>
      <c r="C42" s="796"/>
      <c r="D42" s="796"/>
      <c r="E42" s="796"/>
      <c r="F42" s="796"/>
      <c r="G42" s="796"/>
    </row>
    <row r="43" spans="1:13" ht="11.65" customHeight="1">
      <c r="A43" s="796"/>
      <c r="B43" s="796"/>
      <c r="C43" s="796"/>
      <c r="D43" s="796"/>
      <c r="E43" s="796"/>
      <c r="F43" s="796"/>
      <c r="G43" s="796"/>
      <c r="H43" s="796"/>
      <c r="I43" s="796"/>
      <c r="J43" s="796"/>
      <c r="K43" s="796"/>
      <c r="L43" s="796"/>
      <c r="M43" s="796"/>
    </row>
    <row r="44" spans="1:13" ht="11.65" customHeight="1">
      <c r="A44" s="796"/>
      <c r="B44" s="796"/>
      <c r="C44" s="796"/>
      <c r="D44" s="796"/>
      <c r="E44" s="796"/>
      <c r="F44" s="796"/>
      <c r="G44" s="796"/>
      <c r="H44" s="796"/>
      <c r="I44" s="796"/>
      <c r="J44" s="796"/>
      <c r="K44" s="796"/>
      <c r="L44" s="796"/>
      <c r="M44" s="796"/>
    </row>
    <row r="45" spans="1:13" ht="11.65" customHeight="1"/>
    <row r="46" spans="1:13" ht="11.65" customHeight="1"/>
    <row r="47" spans="1:13" ht="11.65" customHeight="1"/>
    <row r="48" spans="1:13" ht="11.65" customHeight="1"/>
    <row r="49" ht="11.65" customHeight="1"/>
  </sheetData>
  <sheetProtection algorithmName="SHA-512" hashValue="57UuLKn+W6Q2illErgi+/LZ5nFasLSgwNyr2tUVNHRi03LIfBN8Dsxqols//SW1djeG14fHan1hKT3V4QMkI2w==" saltValue="1G7vKzpwalETmpqqhygU2g==" spinCount="100000" sheet="1" objects="1" scenario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3835</v>
      </c>
      <c r="B1" s="1302"/>
      <c r="C1" s="1302"/>
      <c r="D1" s="1302"/>
      <c r="E1" s="1302"/>
      <c r="F1" s="1302"/>
      <c r="G1" s="1302"/>
      <c r="H1" s="1302"/>
    </row>
    <row r="2" spans="1:11" ht="18.5" thickBot="1">
      <c r="A2" s="1302" t="s">
        <v>3836</v>
      </c>
      <c r="B2" s="1302"/>
      <c r="C2" s="1302"/>
      <c r="D2" s="1302"/>
      <c r="E2" s="1302"/>
      <c r="F2" s="1302"/>
      <c r="G2" s="1302"/>
      <c r="H2" s="1302"/>
    </row>
    <row r="3" spans="1:11" ht="15" customHeight="1" thickBot="1">
      <c r="A3" s="1256" t="s">
        <v>3837</v>
      </c>
      <c r="B3" s="1257"/>
      <c r="C3" s="1258"/>
      <c r="D3" s="4157" t="str">
        <f>'Part I-Project Identification'!F26</f>
        <v>Princeton Court</v>
      </c>
      <c r="E3" s="4158"/>
      <c r="F3" s="4158"/>
      <c r="G3" s="4158"/>
      <c r="H3" s="4158"/>
      <c r="I3" s="4158"/>
      <c r="J3" s="4159" t="s">
        <v>4064</v>
      </c>
      <c r="K3" s="4160"/>
    </row>
    <row r="4" spans="1:11" ht="15" customHeight="1">
      <c r="A4" s="1260" t="s">
        <v>3838</v>
      </c>
      <c r="B4" s="1261"/>
      <c r="C4" s="1262"/>
      <c r="D4" s="4161"/>
      <c r="E4" s="4162"/>
      <c r="F4" s="4162"/>
      <c r="G4" s="4162"/>
      <c r="H4" s="4162"/>
      <c r="I4" s="4162"/>
      <c r="J4" s="4163" t="s">
        <v>3879</v>
      </c>
      <c r="K4" s="4164"/>
    </row>
    <row r="5" spans="1:11" ht="15" customHeight="1" thickBot="1">
      <c r="A5" s="1263" t="s">
        <v>3839</v>
      </c>
      <c r="B5" s="1264"/>
      <c r="C5" s="1265"/>
      <c r="D5" s="4167"/>
      <c r="E5" s="4168"/>
      <c r="F5" s="4168"/>
      <c r="G5" s="4168"/>
      <c r="H5" s="4168"/>
      <c r="I5" s="4168"/>
      <c r="J5" s="4165"/>
      <c r="K5" s="4166"/>
    </row>
    <row r="6" spans="1:11" ht="9" customHeight="1" thickBot="1">
      <c r="E6" s="1255"/>
    </row>
    <row r="7" spans="1:11">
      <c r="A7" s="4151" t="s">
        <v>3841</v>
      </c>
      <c r="B7" s="4152"/>
      <c r="C7" s="4152"/>
      <c r="D7" s="4152"/>
      <c r="E7" s="4152"/>
      <c r="F7" s="4152"/>
      <c r="G7" s="4152"/>
      <c r="H7" s="4152"/>
      <c r="I7" s="4152"/>
      <c r="J7" s="4152"/>
      <c r="K7" s="4153"/>
    </row>
    <row r="8" spans="1:11" ht="14.25" customHeight="1">
      <c r="A8" s="1261"/>
      <c r="B8" s="1261"/>
      <c r="C8" s="1473">
        <v>1</v>
      </c>
      <c r="D8" s="1280" t="s">
        <v>3842</v>
      </c>
      <c r="E8" s="1280"/>
      <c r="F8" s="1280"/>
      <c r="G8" s="1280"/>
      <c r="H8" s="1280"/>
      <c r="I8" s="1280"/>
      <c r="J8" s="4171"/>
      <c r="K8" s="4172"/>
    </row>
    <row r="9" spans="1:11" ht="7.15" customHeight="1">
      <c r="A9" s="4173"/>
      <c r="B9" s="4173"/>
      <c r="C9" s="4173"/>
      <c r="D9" s="4174"/>
      <c r="E9" s="4174"/>
      <c r="F9" s="4174"/>
      <c r="G9" s="4174"/>
      <c r="H9" s="4174"/>
      <c r="I9" s="4174"/>
      <c r="J9" s="4174"/>
      <c r="K9" s="1281"/>
    </row>
    <row r="10" spans="1:11">
      <c r="A10" s="4175" t="s">
        <v>3843</v>
      </c>
      <c r="B10" s="4176"/>
      <c r="C10" s="4176"/>
      <c r="D10" s="4176"/>
      <c r="E10" s="4176"/>
      <c r="F10" s="4176"/>
      <c r="G10" s="4176"/>
      <c r="H10" s="4176"/>
      <c r="I10" s="4176"/>
      <c r="J10" s="4176"/>
      <c r="K10" s="4177"/>
    </row>
    <row r="11" spans="1:11" ht="14.25" customHeight="1">
      <c r="A11" s="1261"/>
      <c r="B11" s="1261"/>
      <c r="C11" s="1473">
        <v>2</v>
      </c>
      <c r="D11" s="1280" t="s">
        <v>3844</v>
      </c>
      <c r="E11" s="1282"/>
      <c r="F11" s="1282"/>
      <c r="G11" s="1282"/>
      <c r="H11" s="1282"/>
      <c r="I11" s="1282"/>
      <c r="J11" s="4178"/>
      <c r="K11" s="4179"/>
    </row>
    <row r="12" spans="1:11" ht="7.15" customHeight="1">
      <c r="A12" s="4173"/>
      <c r="B12" s="4173"/>
      <c r="C12" s="4173"/>
      <c r="D12" s="4174"/>
      <c r="E12" s="4174"/>
      <c r="F12" s="4174"/>
      <c r="G12" s="4174"/>
      <c r="H12" s="4174"/>
      <c r="I12" s="4174"/>
      <c r="J12" s="4174"/>
      <c r="K12" s="1283"/>
    </row>
    <row r="13" spans="1:11">
      <c r="A13" s="4175" t="s">
        <v>3845</v>
      </c>
      <c r="B13" s="4176"/>
      <c r="C13" s="4176"/>
      <c r="D13" s="4176"/>
      <c r="E13" s="4176"/>
      <c r="F13" s="4176"/>
      <c r="G13" s="4176"/>
      <c r="H13" s="4176"/>
      <c r="I13" s="4176"/>
      <c r="J13" s="4176"/>
      <c r="K13" s="4177"/>
    </row>
    <row r="14" spans="1:11" ht="14.25" customHeight="1">
      <c r="A14" s="1261"/>
      <c r="B14" s="1261"/>
      <c r="C14" s="1474">
        <v>3</v>
      </c>
      <c r="D14" s="1284" t="s">
        <v>3846</v>
      </c>
      <c r="E14" s="1284"/>
      <c r="F14" s="1284"/>
      <c r="G14" s="1284"/>
      <c r="H14" s="1284"/>
      <c r="I14" s="1284"/>
      <c r="J14" s="4180"/>
      <c r="K14" s="4181"/>
    </row>
    <row r="15" spans="1:11" ht="14.25" customHeight="1">
      <c r="A15" s="1261"/>
      <c r="B15" s="1261"/>
      <c r="C15" s="1475">
        <v>4</v>
      </c>
      <c r="D15" s="1261" t="s">
        <v>3847</v>
      </c>
      <c r="E15" s="1261"/>
      <c r="F15" s="1261"/>
      <c r="G15" s="1261"/>
      <c r="H15" s="1261"/>
      <c r="I15" s="1261"/>
      <c r="J15" s="4182">
        <f>'Part III-A-Uses of Funds'!G130+'Part III-A-Uses of Funds'!G131+'Part III-A-Uses of Funds'!G133+'Part III-A-Uses of Funds'!G120</f>
        <v>1082728</v>
      </c>
      <c r="K15" s="4183"/>
    </row>
    <row r="16" spans="1:11" ht="14.25" customHeight="1">
      <c r="A16" s="1261"/>
      <c r="B16" s="1261"/>
      <c r="C16" s="1475">
        <v>5</v>
      </c>
      <c r="D16" s="1261" t="s">
        <v>3848</v>
      </c>
      <c r="E16" s="1261"/>
      <c r="F16" s="1261"/>
      <c r="G16" s="1261"/>
      <c r="H16" s="1261"/>
      <c r="I16" s="1261"/>
      <c r="J16" s="4184"/>
      <c r="K16" s="4185"/>
    </row>
    <row r="17" spans="1:13" ht="14.25" customHeight="1">
      <c r="A17" s="1261"/>
      <c r="B17" s="1261"/>
      <c r="C17" s="1476">
        <v>6</v>
      </c>
      <c r="D17" s="1264" t="s">
        <v>3849</v>
      </c>
      <c r="E17" s="1264"/>
      <c r="F17" s="1264"/>
      <c r="G17" s="1264"/>
      <c r="H17" s="1264"/>
      <c r="I17" s="1264"/>
      <c r="J17" s="4186"/>
      <c r="K17" s="4187"/>
    </row>
    <row r="18" spans="1:13" ht="7.15" customHeight="1">
      <c r="A18" s="4173"/>
      <c r="B18" s="4173"/>
      <c r="C18" s="4173"/>
      <c r="D18" s="4174"/>
      <c r="E18" s="4174"/>
      <c r="F18" s="4174"/>
      <c r="G18" s="4174"/>
      <c r="H18" s="4174"/>
      <c r="I18" s="4174"/>
      <c r="J18" s="4174"/>
      <c r="K18" s="1283"/>
    </row>
    <row r="19" spans="1:13" ht="14.25" customHeight="1">
      <c r="A19" s="1261"/>
      <c r="B19" s="1261"/>
      <c r="C19" s="1474">
        <v>7</v>
      </c>
      <c r="D19" s="1284" t="s">
        <v>3850</v>
      </c>
      <c r="E19" s="1284"/>
      <c r="F19" s="1284"/>
      <c r="G19" s="1284"/>
      <c r="H19" s="1284"/>
      <c r="I19" s="1284"/>
      <c r="J19" s="4169" t="str">
        <f>IF(J17="No",J14-J15,IF(J17="Yes",J14-J15-J16,"Error"))</f>
        <v>Error</v>
      </c>
      <c r="K19" s="4170"/>
    </row>
    <row r="20" spans="1:13" ht="14.25" customHeight="1">
      <c r="A20" s="1261"/>
      <c r="B20" s="1261"/>
      <c r="C20" s="1476">
        <v>8</v>
      </c>
      <c r="D20" s="1264" t="s">
        <v>3851</v>
      </c>
      <c r="E20" s="1264"/>
      <c r="F20" s="1264"/>
      <c r="G20" s="1264"/>
      <c r="H20" s="1264"/>
      <c r="I20" s="1264"/>
      <c r="J20" s="4188" t="e">
        <f>ROUNDDOWN(J19/J8,2)</f>
        <v>#VALUE!</v>
      </c>
      <c r="K20" s="4189"/>
    </row>
    <row r="21" spans="1:13" ht="7.15" customHeight="1">
      <c r="A21" s="4173"/>
      <c r="B21" s="4173"/>
      <c r="C21" s="4173"/>
      <c r="D21" s="4174"/>
      <c r="E21" s="4174"/>
      <c r="F21" s="4174"/>
      <c r="G21" s="4174"/>
      <c r="H21" s="4174"/>
      <c r="I21" s="4174"/>
      <c r="J21" s="4174"/>
      <c r="K21" s="1283"/>
    </row>
    <row r="22" spans="1:13" ht="14.25" customHeight="1" thickBot="1">
      <c r="A22" s="1261"/>
      <c r="B22" s="1261"/>
      <c r="C22" s="1473">
        <v>9</v>
      </c>
      <c r="D22" s="1285" t="s">
        <v>3852</v>
      </c>
      <c r="E22" s="1285"/>
      <c r="F22" s="1285"/>
      <c r="G22" s="1285"/>
      <c r="H22" s="1285"/>
      <c r="I22" s="1285"/>
      <c r="J22" s="4190" t="e">
        <f>J11/J19</f>
        <v>#VALUE!</v>
      </c>
      <c r="K22" s="4191"/>
    </row>
    <row r="23" spans="1:13" ht="9" customHeight="1">
      <c r="A23" s="1270"/>
      <c r="C23" s="1271"/>
      <c r="D23" s="1271"/>
      <c r="E23" s="1271"/>
      <c r="F23" s="1271"/>
      <c r="G23" s="1271"/>
      <c r="H23" s="1271"/>
      <c r="I23" s="1271"/>
      <c r="J23" s="1271"/>
      <c r="K23" s="1272"/>
    </row>
    <row r="24" spans="1:13" ht="18">
      <c r="A24" s="1273" t="s">
        <v>3853</v>
      </c>
      <c r="C24" s="1271"/>
      <c r="D24" s="1271"/>
      <c r="E24" s="1271"/>
      <c r="F24" s="1271"/>
      <c r="G24" s="1271"/>
      <c r="H24" s="1271"/>
      <c r="I24" s="1271"/>
      <c r="J24" s="1271"/>
      <c r="K24" s="1272"/>
    </row>
    <row r="25" spans="1:13" ht="14.25" customHeight="1">
      <c r="A25" s="1325" t="s">
        <v>3884</v>
      </c>
      <c r="C25" s="1271"/>
      <c r="D25" s="1271"/>
      <c r="E25" s="1271"/>
      <c r="F25" s="1271"/>
      <c r="G25" s="1271"/>
      <c r="H25" s="1271"/>
      <c r="I25" s="1271"/>
      <c r="J25" s="1271"/>
      <c r="K25" s="1272"/>
    </row>
    <row r="26" spans="1:13" ht="14.25" customHeight="1">
      <c r="A26" s="1325" t="s">
        <v>3885</v>
      </c>
      <c r="C26" s="1271"/>
      <c r="D26" s="1271"/>
      <c r="E26" s="1271"/>
      <c r="F26" s="1271"/>
      <c r="G26" s="1271"/>
      <c r="H26" s="1271"/>
      <c r="I26" s="1271"/>
      <c r="J26" s="1271"/>
      <c r="K26" s="1272"/>
    </row>
    <row r="27" spans="1:13" ht="14.25" customHeight="1">
      <c r="A27" s="1325" t="s">
        <v>3886</v>
      </c>
      <c r="C27" s="1271"/>
      <c r="D27" s="1271"/>
      <c r="E27" s="1271"/>
      <c r="F27" s="1271"/>
      <c r="G27" s="1271"/>
      <c r="H27" s="1271"/>
      <c r="I27" s="1271"/>
      <c r="J27" s="1271"/>
      <c r="K27" s="1272"/>
    </row>
    <row r="28" spans="1:13" ht="14.25" customHeight="1">
      <c r="A28" s="1325" t="s">
        <v>3887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92" t="s">
        <v>3883</v>
      </c>
      <c r="B30" s="4193"/>
      <c r="C30" s="4193"/>
      <c r="D30" s="4193"/>
      <c r="E30" s="4193"/>
      <c r="F30" s="4193"/>
      <c r="G30" s="4193"/>
      <c r="H30" s="4193"/>
      <c r="I30" s="4193"/>
      <c r="J30" s="4193"/>
      <c r="K30" s="4194"/>
    </row>
    <row r="31" spans="1:13">
      <c r="B31" s="4195" t="s">
        <v>4064</v>
      </c>
      <c r="C31" s="4195"/>
      <c r="D31" s="4195"/>
      <c r="E31" s="4195"/>
      <c r="F31" s="4195"/>
      <c r="G31" s="4196" t="s">
        <v>3854</v>
      </c>
      <c r="H31" s="4197"/>
      <c r="I31" s="4197"/>
      <c r="J31" s="4197"/>
      <c r="K31" s="4198"/>
    </row>
    <row r="32" spans="1:13" ht="56.25" customHeight="1">
      <c r="A32" s="1279"/>
      <c r="B32" s="1297" t="s">
        <v>3882</v>
      </c>
      <c r="C32" s="1298" t="s">
        <v>3878</v>
      </c>
      <c r="D32" s="1298" t="s">
        <v>3877</v>
      </c>
      <c r="E32" s="4199" t="s">
        <v>3996</v>
      </c>
      <c r="F32" s="4200"/>
      <c r="G32" s="1299" t="s">
        <v>3855</v>
      </c>
      <c r="H32" s="1299" t="s">
        <v>3856</v>
      </c>
      <c r="J32" s="1299" t="s">
        <v>3857</v>
      </c>
      <c r="K32" s="1299" t="s">
        <v>3858</v>
      </c>
      <c r="L32" s="4201" t="s">
        <v>3859</v>
      </c>
      <c r="M32" s="4201"/>
    </row>
    <row r="33" spans="2:14" ht="12.75" customHeight="1">
      <c r="B33" s="1464"/>
      <c r="C33" s="1465"/>
      <c r="D33" s="1466"/>
      <c r="E33" s="4202"/>
      <c r="F33" s="4203"/>
      <c r="G33" s="1315" t="e">
        <f t="shared" ref="G33:G51" si="0">$J$22*B33</f>
        <v>#VALUE!</v>
      </c>
      <c r="H33" s="1316" t="e">
        <f>ROUNDUP(G33,0)</f>
        <v>#VALUE!</v>
      </c>
      <c r="I33" s="1317"/>
      <c r="J33" s="1318" t="e">
        <f t="shared" ref="J33:J51" si="1">$J$20*E33</f>
        <v>#VALUE!</v>
      </c>
      <c r="K33" s="1318" t="e">
        <f t="shared" ref="K33:K51" si="2">ROUNDDOWN(J33*H33,0)</f>
        <v>#VALUE!</v>
      </c>
      <c r="L33" s="4201"/>
      <c r="M33" s="4201"/>
    </row>
    <row r="34" spans="2:14" ht="12.75" customHeight="1">
      <c r="B34" s="1467"/>
      <c r="C34" s="1468"/>
      <c r="D34" s="1469"/>
      <c r="E34" s="4204"/>
      <c r="F34" s="4205"/>
      <c r="G34" s="1319" t="e">
        <f t="shared" si="0"/>
        <v>#VALUE!</v>
      </c>
      <c r="H34" s="1320" t="e">
        <f t="shared" ref="H34:H51" si="3">ROUNDUP(G34,0)</f>
        <v>#VALUE!</v>
      </c>
      <c r="I34" s="1317"/>
      <c r="J34" s="1321" t="e">
        <f t="shared" si="1"/>
        <v>#VALUE!</v>
      </c>
      <c r="K34" s="1321" t="e">
        <f t="shared" si="2"/>
        <v>#VALUE!</v>
      </c>
      <c r="L34" s="4201"/>
      <c r="M34" s="4201"/>
    </row>
    <row r="35" spans="2:14" ht="12.75" customHeight="1">
      <c r="B35" s="1467"/>
      <c r="C35" s="1468"/>
      <c r="D35" s="1469"/>
      <c r="E35" s="4204"/>
      <c r="F35" s="4205"/>
      <c r="G35" s="1319" t="e">
        <f t="shared" si="0"/>
        <v>#VALUE!</v>
      </c>
      <c r="H35" s="1320" t="e">
        <f t="shared" si="3"/>
        <v>#VALUE!</v>
      </c>
      <c r="I35" s="1317"/>
      <c r="J35" s="1321" t="e">
        <f t="shared" si="1"/>
        <v>#VALUE!</v>
      </c>
      <c r="K35" s="1321" t="e">
        <f t="shared" si="2"/>
        <v>#VALUE!</v>
      </c>
      <c r="L35" s="4201"/>
      <c r="M35" s="4201"/>
    </row>
    <row r="36" spans="2:14" ht="12.75" customHeight="1">
      <c r="B36" s="1467"/>
      <c r="C36" s="1468"/>
      <c r="D36" s="1469"/>
      <c r="E36" s="4204"/>
      <c r="F36" s="4205"/>
      <c r="G36" s="1319" t="e">
        <f t="shared" si="0"/>
        <v>#VALUE!</v>
      </c>
      <c r="H36" s="1320" t="e">
        <f t="shared" si="3"/>
        <v>#VALUE!</v>
      </c>
      <c r="I36" s="1317"/>
      <c r="J36" s="1321" t="e">
        <f t="shared" si="1"/>
        <v>#VALUE!</v>
      </c>
      <c r="K36" s="1321" t="e">
        <f t="shared" si="2"/>
        <v>#VALUE!</v>
      </c>
      <c r="L36" s="4201"/>
      <c r="M36" s="4201"/>
      <c r="N36" s="1274"/>
    </row>
    <row r="37" spans="2:14" ht="12.75" customHeight="1">
      <c r="B37" s="1467"/>
      <c r="C37" s="1468"/>
      <c r="D37" s="1469"/>
      <c r="E37" s="4204"/>
      <c r="F37" s="4205"/>
      <c r="G37" s="1319" t="e">
        <f t="shared" si="0"/>
        <v>#VALUE!</v>
      </c>
      <c r="H37" s="1320" t="e">
        <f t="shared" si="3"/>
        <v>#VALUE!</v>
      </c>
      <c r="I37" s="1317"/>
      <c r="J37" s="1321" t="e">
        <f t="shared" si="1"/>
        <v>#VALUE!</v>
      </c>
      <c r="K37" s="1321" t="e">
        <f t="shared" si="2"/>
        <v>#VALUE!</v>
      </c>
      <c r="L37" s="4201"/>
      <c r="M37" s="4201"/>
    </row>
    <row r="38" spans="2:14" ht="12.75" customHeight="1">
      <c r="B38" s="1467"/>
      <c r="C38" s="1468"/>
      <c r="D38" s="1469"/>
      <c r="E38" s="4204"/>
      <c r="F38" s="4205"/>
      <c r="G38" s="1319" t="e">
        <f t="shared" si="0"/>
        <v>#VALUE!</v>
      </c>
      <c r="H38" s="1320" t="e">
        <f t="shared" si="3"/>
        <v>#VALUE!</v>
      </c>
      <c r="I38" s="1317"/>
      <c r="J38" s="1321" t="e">
        <f t="shared" si="1"/>
        <v>#VALUE!</v>
      </c>
      <c r="K38" s="1321" t="e">
        <f t="shared" si="2"/>
        <v>#VALUE!</v>
      </c>
      <c r="L38" s="4201"/>
      <c r="M38" s="4201"/>
    </row>
    <row r="39" spans="2:14" ht="12.75" customHeight="1">
      <c r="B39" s="1467"/>
      <c r="C39" s="1468"/>
      <c r="D39" s="1469"/>
      <c r="E39" s="4204"/>
      <c r="F39" s="4205"/>
      <c r="G39" s="1319" t="e">
        <f t="shared" si="0"/>
        <v>#VALUE!</v>
      </c>
      <c r="H39" s="1320" t="e">
        <f t="shared" si="3"/>
        <v>#VALUE!</v>
      </c>
      <c r="I39" s="1317"/>
      <c r="J39" s="1321" t="e">
        <f t="shared" si="1"/>
        <v>#VALUE!</v>
      </c>
      <c r="K39" s="1321" t="e">
        <f t="shared" si="2"/>
        <v>#VALUE!</v>
      </c>
      <c r="L39" s="4201"/>
      <c r="M39" s="4201"/>
    </row>
    <row r="40" spans="2:14" ht="12.75" customHeight="1">
      <c r="B40" s="1467"/>
      <c r="C40" s="1468"/>
      <c r="D40" s="1469"/>
      <c r="E40" s="4204"/>
      <c r="F40" s="4205"/>
      <c r="G40" s="1319" t="e">
        <f t="shared" si="0"/>
        <v>#VALUE!</v>
      </c>
      <c r="H40" s="1320" t="e">
        <f t="shared" si="3"/>
        <v>#VALUE!</v>
      </c>
      <c r="I40" s="1317"/>
      <c r="J40" s="1321" t="e">
        <f t="shared" si="1"/>
        <v>#VALUE!</v>
      </c>
      <c r="K40" s="1321" t="e">
        <f t="shared" si="2"/>
        <v>#VALUE!</v>
      </c>
      <c r="L40" s="4201"/>
      <c r="M40" s="4201"/>
    </row>
    <row r="41" spans="2:14" ht="12.75" customHeight="1">
      <c r="B41" s="1467"/>
      <c r="C41" s="1468"/>
      <c r="D41" s="1469"/>
      <c r="E41" s="4204"/>
      <c r="F41" s="4205"/>
      <c r="G41" s="1319" t="e">
        <f t="shared" si="0"/>
        <v>#VALUE!</v>
      </c>
      <c r="H41" s="1320" t="e">
        <f t="shared" si="3"/>
        <v>#VALUE!</v>
      </c>
      <c r="I41" s="1317"/>
      <c r="J41" s="1321" t="e">
        <f t="shared" si="1"/>
        <v>#VALUE!</v>
      </c>
      <c r="K41" s="1321" t="e">
        <f t="shared" si="2"/>
        <v>#VALUE!</v>
      </c>
      <c r="L41" s="4201"/>
      <c r="M41" s="4201"/>
    </row>
    <row r="42" spans="2:14" ht="12.75" customHeight="1">
      <c r="B42" s="1467"/>
      <c r="C42" s="1468"/>
      <c r="D42" s="1469"/>
      <c r="E42" s="4204"/>
      <c r="F42" s="4205"/>
      <c r="G42" s="1319" t="e">
        <f t="shared" si="0"/>
        <v>#VALUE!</v>
      </c>
      <c r="H42" s="1320" t="e">
        <f t="shared" si="3"/>
        <v>#VALUE!</v>
      </c>
      <c r="I42" s="1317"/>
      <c r="J42" s="1321" t="e">
        <f t="shared" si="1"/>
        <v>#VALUE!</v>
      </c>
      <c r="K42" s="1321" t="e">
        <f t="shared" si="2"/>
        <v>#VALUE!</v>
      </c>
      <c r="L42" s="4201"/>
      <c r="M42" s="4201"/>
    </row>
    <row r="43" spans="2:14" ht="12.75" customHeight="1">
      <c r="B43" s="1467"/>
      <c r="C43" s="1468"/>
      <c r="D43" s="1469"/>
      <c r="E43" s="4204"/>
      <c r="F43" s="4205"/>
      <c r="G43" s="1319" t="e">
        <f t="shared" si="0"/>
        <v>#VALUE!</v>
      </c>
      <c r="H43" s="1320" t="e">
        <f t="shared" si="3"/>
        <v>#VALUE!</v>
      </c>
      <c r="I43" s="1317"/>
      <c r="J43" s="1321" t="e">
        <f t="shared" si="1"/>
        <v>#VALUE!</v>
      </c>
      <c r="K43" s="1321" t="e">
        <f t="shared" si="2"/>
        <v>#VALUE!</v>
      </c>
      <c r="L43" s="4201"/>
      <c r="M43" s="4201"/>
    </row>
    <row r="44" spans="2:14" ht="12.75" customHeight="1">
      <c r="B44" s="1467"/>
      <c r="C44" s="1468"/>
      <c r="D44" s="1469"/>
      <c r="E44" s="4204"/>
      <c r="F44" s="4205"/>
      <c r="G44" s="1319" t="e">
        <f t="shared" si="0"/>
        <v>#VALUE!</v>
      </c>
      <c r="H44" s="1320" t="e">
        <f t="shared" si="3"/>
        <v>#VALUE!</v>
      </c>
      <c r="I44" s="1317"/>
      <c r="J44" s="1321" t="e">
        <f t="shared" si="1"/>
        <v>#VALUE!</v>
      </c>
      <c r="K44" s="1321" t="e">
        <f t="shared" si="2"/>
        <v>#VALUE!</v>
      </c>
      <c r="L44" s="4201"/>
      <c r="M44" s="4201"/>
    </row>
    <row r="45" spans="2:14" ht="12.75" customHeight="1">
      <c r="B45" s="1467"/>
      <c r="C45" s="1468"/>
      <c r="D45" s="1469"/>
      <c r="E45" s="4204"/>
      <c r="F45" s="4205"/>
      <c r="G45" s="1319" t="e">
        <f t="shared" si="0"/>
        <v>#VALUE!</v>
      </c>
      <c r="H45" s="1320" t="e">
        <f t="shared" si="3"/>
        <v>#VALUE!</v>
      </c>
      <c r="I45" s="1317"/>
      <c r="J45" s="1321" t="e">
        <f t="shared" si="1"/>
        <v>#VALUE!</v>
      </c>
      <c r="K45" s="1321" t="e">
        <f t="shared" si="2"/>
        <v>#VALUE!</v>
      </c>
      <c r="L45" s="4201"/>
      <c r="M45" s="4201"/>
    </row>
    <row r="46" spans="2:14" ht="12.75" customHeight="1">
      <c r="B46" s="1467"/>
      <c r="C46" s="1468"/>
      <c r="D46" s="1469"/>
      <c r="E46" s="4204"/>
      <c r="F46" s="4205"/>
      <c r="G46" s="1319" t="e">
        <f t="shared" si="0"/>
        <v>#VALUE!</v>
      </c>
      <c r="H46" s="1320" t="e">
        <f t="shared" si="3"/>
        <v>#VALUE!</v>
      </c>
      <c r="I46" s="1317"/>
      <c r="J46" s="1321" t="e">
        <f t="shared" si="1"/>
        <v>#VALUE!</v>
      </c>
      <c r="K46" s="1321" t="e">
        <f t="shared" si="2"/>
        <v>#VALUE!</v>
      </c>
      <c r="L46" s="4201"/>
      <c r="M46" s="4201"/>
    </row>
    <row r="47" spans="2:14" ht="12.75" customHeight="1">
      <c r="B47" s="1467"/>
      <c r="C47" s="1468"/>
      <c r="D47" s="1469"/>
      <c r="E47" s="4204"/>
      <c r="F47" s="4205"/>
      <c r="G47" s="1319" t="e">
        <f t="shared" si="0"/>
        <v>#VALUE!</v>
      </c>
      <c r="H47" s="1320" t="e">
        <f t="shared" si="3"/>
        <v>#VALUE!</v>
      </c>
      <c r="I47" s="1317"/>
      <c r="J47" s="1321" t="e">
        <f t="shared" si="1"/>
        <v>#VALUE!</v>
      </c>
      <c r="K47" s="1321" t="e">
        <f t="shared" si="2"/>
        <v>#VALUE!</v>
      </c>
      <c r="L47" s="4201"/>
      <c r="M47" s="4201"/>
    </row>
    <row r="48" spans="2:14" ht="12.75" customHeight="1">
      <c r="B48" s="1467"/>
      <c r="C48" s="1468"/>
      <c r="D48" s="1469"/>
      <c r="E48" s="4204"/>
      <c r="F48" s="4205"/>
      <c r="G48" s="1319" t="e">
        <f t="shared" si="0"/>
        <v>#VALUE!</v>
      </c>
      <c r="H48" s="1320" t="e">
        <f t="shared" si="3"/>
        <v>#VALUE!</v>
      </c>
      <c r="I48" s="1317"/>
      <c r="J48" s="1321" t="e">
        <f t="shared" si="1"/>
        <v>#VALUE!</v>
      </c>
      <c r="K48" s="1321" t="e">
        <f t="shared" si="2"/>
        <v>#VALUE!</v>
      </c>
      <c r="L48" s="4201"/>
      <c r="M48" s="4201"/>
    </row>
    <row r="49" spans="1:13" ht="12.75" customHeight="1">
      <c r="B49" s="1467"/>
      <c r="C49" s="1468"/>
      <c r="D49" s="1469"/>
      <c r="E49" s="4204"/>
      <c r="F49" s="4205"/>
      <c r="G49" s="1319" t="e">
        <f t="shared" si="0"/>
        <v>#VALUE!</v>
      </c>
      <c r="H49" s="1320" t="e">
        <f t="shared" si="3"/>
        <v>#VALUE!</v>
      </c>
      <c r="I49" s="1317"/>
      <c r="J49" s="1321" t="e">
        <f t="shared" si="1"/>
        <v>#VALUE!</v>
      </c>
      <c r="K49" s="1321" t="e">
        <f t="shared" si="2"/>
        <v>#VALUE!</v>
      </c>
      <c r="L49" s="4201"/>
      <c r="M49" s="4201"/>
    </row>
    <row r="50" spans="1:13" ht="12.75" customHeight="1">
      <c r="B50" s="1467"/>
      <c r="C50" s="1468"/>
      <c r="D50" s="1469"/>
      <c r="E50" s="4204"/>
      <c r="F50" s="4205"/>
      <c r="G50" s="1319" t="e">
        <f t="shared" si="0"/>
        <v>#VALUE!</v>
      </c>
      <c r="H50" s="1320" t="e">
        <f t="shared" si="3"/>
        <v>#VALUE!</v>
      </c>
      <c r="I50" s="1317"/>
      <c r="J50" s="1321" t="e">
        <f t="shared" si="1"/>
        <v>#VALUE!</v>
      </c>
      <c r="K50" s="1321" t="e">
        <f t="shared" si="2"/>
        <v>#VALUE!</v>
      </c>
      <c r="L50" s="4201"/>
      <c r="M50" s="4201"/>
    </row>
    <row r="51" spans="1:13" ht="12.75" customHeight="1" thickBot="1">
      <c r="B51" s="1470"/>
      <c r="C51" s="1471"/>
      <c r="D51" s="1472"/>
      <c r="E51" s="4208"/>
      <c r="F51" s="4209"/>
      <c r="G51" s="1322" t="e">
        <f t="shared" si="0"/>
        <v>#VALUE!</v>
      </c>
      <c r="H51" s="1323" t="e">
        <f t="shared" si="3"/>
        <v>#VALUE!</v>
      </c>
      <c r="I51" s="1317"/>
      <c r="J51" s="1324" t="e">
        <f t="shared" si="1"/>
        <v>#VALUE!</v>
      </c>
      <c r="K51" s="1324" t="e">
        <f t="shared" si="2"/>
        <v>#VALUE!</v>
      </c>
      <c r="L51" s="4201"/>
      <c r="M51" s="4201"/>
    </row>
    <row r="52" spans="1:13" ht="15" customHeight="1" thickBot="1">
      <c r="B52" s="1290"/>
      <c r="D52" s="1284"/>
      <c r="E52" s="1284"/>
      <c r="F52" s="1284"/>
      <c r="G52" s="1301" t="s">
        <v>3860</v>
      </c>
      <c r="H52" s="1300" t="e">
        <f>SUM(H33:H51)</f>
        <v>#VALUE!</v>
      </c>
      <c r="I52" s="1284"/>
      <c r="J52" s="1290" t="s">
        <v>3861</v>
      </c>
      <c r="K52" s="1286" t="e">
        <f>SUM(K33:K51)</f>
        <v>#VALUE!</v>
      </c>
      <c r="L52" s="4201"/>
      <c r="M52" s="4201"/>
    </row>
    <row r="53" spans="1:13" ht="15" customHeight="1">
      <c r="B53" s="1291"/>
      <c r="C53" s="4206" t="s">
        <v>3862</v>
      </c>
      <c r="D53" s="4206"/>
      <c r="E53" s="4206"/>
      <c r="F53" s="4206"/>
      <c r="G53" s="4206"/>
      <c r="H53" s="4206"/>
      <c r="I53" s="4206"/>
      <c r="J53" s="4207"/>
      <c r="K53" s="1292" t="str">
        <f>IF(J17="no",0,IF(J17="yes",J16,"Error"))</f>
        <v>Error</v>
      </c>
      <c r="L53" s="4201"/>
      <c r="M53" s="4201"/>
    </row>
    <row r="54" spans="1:13" ht="15" customHeight="1" thickBot="1">
      <c r="B54" s="1291"/>
      <c r="C54" s="4210" t="s">
        <v>3863</v>
      </c>
      <c r="D54" s="4210"/>
      <c r="E54" s="4210"/>
      <c r="F54" s="4210"/>
      <c r="G54" s="4210"/>
      <c r="H54" s="4210"/>
      <c r="I54" s="4210"/>
      <c r="J54" s="4211"/>
      <c r="K54" s="1303" t="e">
        <f>K52+K53</f>
        <v>#VALUE!</v>
      </c>
    </row>
    <row r="55" spans="1:13" ht="7.9" customHeight="1">
      <c r="A55" s="4212"/>
      <c r="B55" s="4213"/>
      <c r="C55" s="4213"/>
      <c r="D55" s="4213"/>
      <c r="E55" s="4213"/>
      <c r="F55" s="4213"/>
      <c r="G55" s="4213"/>
      <c r="H55" s="4213"/>
      <c r="I55" s="4213"/>
      <c r="J55" s="4213"/>
      <c r="K55" s="1314"/>
    </row>
    <row r="56" spans="1:13" ht="15" customHeight="1">
      <c r="A56" s="4214" t="s">
        <v>3864</v>
      </c>
      <c r="B56" s="4215"/>
      <c r="C56" s="4215"/>
      <c r="D56" s="4215"/>
      <c r="E56" s="4215"/>
      <c r="F56" s="4215"/>
      <c r="G56" s="4215"/>
      <c r="H56" s="4215"/>
      <c r="I56" s="4215"/>
      <c r="J56" s="4215"/>
      <c r="K56" s="4216"/>
    </row>
    <row r="57" spans="1:13" ht="48" customHeight="1">
      <c r="A57" s="1276"/>
      <c r="B57" s="1267"/>
      <c r="C57" s="1278" t="s">
        <v>3865</v>
      </c>
      <c r="D57" s="1389" t="s">
        <v>3963</v>
      </c>
      <c r="E57" s="4217" t="s">
        <v>3881</v>
      </c>
      <c r="F57" s="4218"/>
      <c r="G57" s="4219" t="s">
        <v>3866</v>
      </c>
      <c r="H57" s="4220"/>
      <c r="I57" s="4217" t="s">
        <v>3880</v>
      </c>
      <c r="J57" s="4218"/>
      <c r="K57" s="4221"/>
      <c r="L57" s="4154" t="s">
        <v>4977</v>
      </c>
      <c r="M57" s="4155"/>
    </row>
    <row r="58" spans="1:13" ht="15" customHeight="1">
      <c r="A58" s="1379"/>
      <c r="B58" s="1309"/>
      <c r="C58" s="1287">
        <f>SUMIF(C33:C51, "0", H33:H51)</f>
        <v>0</v>
      </c>
      <c r="D58" s="1390">
        <f t="shared" ref="D58:D63" si="4">ROUNDUP(C58*1.1,0)</f>
        <v>0</v>
      </c>
      <c r="E58" s="4223" t="s">
        <v>3867</v>
      </c>
      <c r="F58" s="4224"/>
      <c r="G58" s="4225">
        <f>'DCA Underwriting Assumptions'!H156</f>
        <v>181488</v>
      </c>
      <c r="H58" s="4226"/>
      <c r="I58" s="4227">
        <f t="shared" ref="I58:I63" si="5">D58*G58</f>
        <v>0</v>
      </c>
      <c r="J58" s="4227"/>
      <c r="K58" s="4222"/>
      <c r="L58" s="4156"/>
      <c r="M58" s="4155"/>
    </row>
    <row r="59" spans="1:13">
      <c r="A59" s="1379"/>
      <c r="B59" s="1309"/>
      <c r="C59" s="1288">
        <f>SUMIF(C33:C51, "1", H33:H51)</f>
        <v>0</v>
      </c>
      <c r="D59" s="1391">
        <f t="shared" si="4"/>
        <v>0</v>
      </c>
      <c r="E59" s="4228" t="s">
        <v>2456</v>
      </c>
      <c r="F59" s="4229"/>
      <c r="G59" s="4225">
        <f>'DCA Underwriting Assumptions'!H157</f>
        <v>208048.8</v>
      </c>
      <c r="H59" s="4226"/>
      <c r="I59" s="4230">
        <f t="shared" si="5"/>
        <v>0</v>
      </c>
      <c r="J59" s="4230"/>
      <c r="K59" s="4222"/>
      <c r="L59" s="4156"/>
      <c r="M59" s="4155"/>
    </row>
    <row r="60" spans="1:13" ht="15" customHeight="1">
      <c r="A60" s="1379"/>
      <c r="B60" s="1309"/>
      <c r="C60" s="1288">
        <f>SUMIF(C33:C51, "2", H33:H51)</f>
        <v>0</v>
      </c>
      <c r="D60" s="1391">
        <f t="shared" si="4"/>
        <v>0</v>
      </c>
      <c r="E60" s="4228" t="s">
        <v>2457</v>
      </c>
      <c r="F60" s="4229"/>
      <c r="G60" s="4225">
        <f>'DCA Underwriting Assumptions'!H158</f>
        <v>252993.59999999998</v>
      </c>
      <c r="H60" s="4226"/>
      <c r="I60" s="4230">
        <f t="shared" si="5"/>
        <v>0</v>
      </c>
      <c r="J60" s="4230"/>
      <c r="K60" s="4222"/>
      <c r="L60" s="4156"/>
      <c r="M60" s="4155"/>
    </row>
    <row r="61" spans="1:13">
      <c r="A61" s="1379"/>
      <c r="B61" s="1309"/>
      <c r="C61" s="1288">
        <f>SUMIF(C33:C51, "3", H33:H51)</f>
        <v>0</v>
      </c>
      <c r="D61" s="1391">
        <f t="shared" si="4"/>
        <v>0</v>
      </c>
      <c r="E61" s="4228" t="s">
        <v>2460</v>
      </c>
      <c r="F61" s="4229"/>
      <c r="G61" s="4225">
        <f>'DCA Underwriting Assumptions'!H159</f>
        <v>327292.79999999999</v>
      </c>
      <c r="H61" s="4226"/>
      <c r="I61" s="4230">
        <f t="shared" si="5"/>
        <v>0</v>
      </c>
      <c r="J61" s="4230"/>
      <c r="K61" s="4222"/>
      <c r="L61" s="4156"/>
      <c r="M61" s="4155"/>
    </row>
    <row r="62" spans="1:13">
      <c r="A62" s="1379"/>
      <c r="B62" s="1309"/>
      <c r="C62" s="1288">
        <f>SUMIF(C33:C51, "4", H33:H51)</f>
        <v>0</v>
      </c>
      <c r="D62" s="1391">
        <f t="shared" si="4"/>
        <v>0</v>
      </c>
      <c r="E62" s="4228" t="s">
        <v>3868</v>
      </c>
      <c r="F62" s="4229"/>
      <c r="G62" s="4225">
        <f>'DCA Underwriting Assumptions'!H160</f>
        <v>359263.2</v>
      </c>
      <c r="H62" s="4226"/>
      <c r="I62" s="4230">
        <f t="shared" si="5"/>
        <v>0</v>
      </c>
      <c r="J62" s="4230"/>
      <c r="K62" s="4222"/>
      <c r="L62" s="4156"/>
      <c r="M62" s="4155"/>
    </row>
    <row r="63" spans="1:13">
      <c r="A63" s="1388"/>
      <c r="B63" s="1310"/>
      <c r="C63" s="1289">
        <f>SUMIF(C33:C51, "5", H33:H51)</f>
        <v>0</v>
      </c>
      <c r="D63" s="1392">
        <f t="shared" si="4"/>
        <v>0</v>
      </c>
      <c r="E63" s="4232" t="s">
        <v>3869</v>
      </c>
      <c r="F63" s="4233"/>
      <c r="G63" s="4225">
        <f>'DCA Underwriting Assumptions'!H160</f>
        <v>359263.2</v>
      </c>
      <c r="H63" s="4226"/>
      <c r="I63" s="4234">
        <f t="shared" si="5"/>
        <v>0</v>
      </c>
      <c r="J63" s="4234"/>
      <c r="K63" s="1312"/>
      <c r="L63" s="4156"/>
      <c r="M63" s="4155"/>
    </row>
    <row r="64" spans="1:13" ht="14.5" thickBot="1">
      <c r="A64" s="1387" t="s">
        <v>3870</v>
      </c>
      <c r="B64" s="1305">
        <f>SUM(C58:C63)</f>
        <v>0</v>
      </c>
      <c r="C64" s="1393"/>
      <c r="D64" s="1393">
        <f>SUM(D58:D63)</f>
        <v>0</v>
      </c>
      <c r="E64" s="1386"/>
      <c r="F64" s="1386"/>
      <c r="G64" s="1386"/>
      <c r="H64" s="1386"/>
      <c r="I64" s="1386"/>
      <c r="J64" s="1380" t="s">
        <v>3871</v>
      </c>
      <c r="K64" s="1304">
        <f>SUM(I58:I62)</f>
        <v>0</v>
      </c>
    </row>
    <row r="65" spans="1:11">
      <c r="A65" s="4213"/>
      <c r="B65" s="4213"/>
      <c r="C65" s="4213"/>
      <c r="D65" s="4213"/>
      <c r="E65" s="4213"/>
      <c r="F65" s="4213"/>
      <c r="G65" s="4213"/>
      <c r="H65" s="4213"/>
      <c r="I65" s="4213"/>
      <c r="J65" s="4213"/>
    </row>
    <row r="66" spans="1:11">
      <c r="A66" s="4214" t="s">
        <v>3872</v>
      </c>
      <c r="B66" s="4215"/>
      <c r="C66" s="4215"/>
      <c r="D66" s="4215"/>
      <c r="E66" s="4215"/>
      <c r="F66" s="4215"/>
      <c r="G66" s="4215"/>
      <c r="H66" s="4215"/>
      <c r="I66" s="4215"/>
      <c r="J66" s="4215"/>
      <c r="K66" s="4216"/>
    </row>
    <row r="67" spans="1:11" ht="15" customHeight="1">
      <c r="A67" s="1306"/>
      <c r="B67" s="1266"/>
      <c r="C67" s="1266"/>
      <c r="D67" s="1266"/>
      <c r="E67" s="1266" t="s">
        <v>3873</v>
      </c>
      <c r="F67" s="1266"/>
      <c r="G67" s="1266"/>
      <c r="H67" s="1266"/>
      <c r="I67" s="1266"/>
      <c r="J67" s="1267"/>
      <c r="K67" s="1275">
        <f>J11</f>
        <v>0</v>
      </c>
    </row>
    <row r="68" spans="1:11">
      <c r="A68" s="1307"/>
      <c r="E68" s="1255" t="s">
        <v>3874</v>
      </c>
      <c r="J68" s="1309"/>
      <c r="K68" s="1275" t="e">
        <f>K54</f>
        <v>#VALUE!</v>
      </c>
    </row>
    <row r="69" spans="1:11" ht="14.5" thickBot="1">
      <c r="A69" s="1308"/>
      <c r="B69" s="1268"/>
      <c r="C69" s="1268"/>
      <c r="D69" s="1268"/>
      <c r="E69" s="1268" t="s">
        <v>3875</v>
      </c>
      <c r="F69" s="1268"/>
      <c r="G69" s="1268"/>
      <c r="H69" s="1268"/>
      <c r="I69" s="1268"/>
      <c r="J69" s="1310"/>
      <c r="K69" s="1313">
        <f>K64</f>
        <v>0</v>
      </c>
    </row>
    <row r="70" spans="1:11" ht="14.5" thickBot="1">
      <c r="A70" s="1277"/>
      <c r="B70" s="1269"/>
      <c r="C70" s="4231" t="s">
        <v>3876</v>
      </c>
      <c r="D70" s="4231"/>
      <c r="E70" s="4231"/>
      <c r="F70" s="4231"/>
      <c r="G70" s="4231"/>
      <c r="H70" s="4231"/>
      <c r="I70" s="4231"/>
      <c r="J70" s="4231"/>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vBTsTvCJe3hlKi/gptE92XeUA5nhdXKZZQw47Mm/V/Ash7wh4GoH3TezcG80ZzZJ/NQLhuhOBgMjo64WU6G9xA==" saltValue="uPyjKhNhn7PU/tjPuUBzTA==" spinCount="100000" sheet="1" objects="1" scenarios="1" formatRows="0"/>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30" t="e">
        <f>CONCATENATE("PART SEVEN - THRESHOLD CRITERIA","  -  ",#REF!," ",#REF!,", ",#REF!,", ",#REF!," County")</f>
        <v>#REF!</v>
      </c>
      <c r="B1" s="3331"/>
      <c r="C1" s="3331"/>
      <c r="D1" s="3331"/>
      <c r="E1" s="3331"/>
      <c r="F1" s="3331"/>
      <c r="G1" s="3331"/>
      <c r="H1" s="3331"/>
      <c r="I1" s="3331"/>
      <c r="J1" s="3331"/>
      <c r="K1" s="3331"/>
      <c r="L1" s="3331"/>
      <c r="M1" s="3331"/>
      <c r="N1" s="3331"/>
      <c r="O1" s="3331"/>
      <c r="P1" s="3331"/>
      <c r="Q1" s="3331"/>
      <c r="R1" s="1696"/>
      <c r="S1" s="1696"/>
    </row>
    <row r="2" spans="1:19" customFormat="1" ht="3" customHeight="1">
      <c r="R2" s="1696"/>
      <c r="S2" s="1696"/>
    </row>
    <row r="3" spans="1:19" ht="13.5" customHeight="1">
      <c r="A3" s="43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7"/>
      <c r="C3" s="4317"/>
      <c r="D3" s="4317"/>
      <c r="E3" s="4317"/>
      <c r="F3" s="4317"/>
      <c r="G3" s="4317"/>
      <c r="H3" s="43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7"/>
      <c r="J3" s="4317"/>
      <c r="K3" s="4317"/>
      <c r="L3" s="4317"/>
      <c r="M3" s="4317"/>
      <c r="N3" s="4317"/>
      <c r="P3" s="4327" t="s">
        <v>875</v>
      </c>
      <c r="Q3" s="4237" t="s">
        <v>4421</v>
      </c>
      <c r="R3" s="1696"/>
      <c r="S3" s="1696"/>
    </row>
    <row r="4" spans="1:19" ht="3" customHeight="1">
      <c r="A4" s="671"/>
      <c r="B4" s="4318"/>
      <c r="C4" s="4318"/>
      <c r="D4" s="4318"/>
      <c r="E4" s="671"/>
      <c r="F4" s="671"/>
      <c r="G4" s="671"/>
      <c r="H4" s="671"/>
      <c r="J4" s="488"/>
      <c r="K4" s="671"/>
      <c r="L4" s="671"/>
      <c r="M4" s="671"/>
      <c r="N4" s="671"/>
      <c r="P4" s="4328"/>
      <c r="Q4" s="4238"/>
      <c r="R4" s="1696"/>
      <c r="S4" s="1696"/>
    </row>
    <row r="5" spans="1:19" ht="13">
      <c r="E5" s="4326" t="e">
        <f>#REF!</f>
        <v>#REF!</v>
      </c>
      <c r="F5" s="4326"/>
      <c r="G5" s="4326"/>
      <c r="H5" s="4326"/>
      <c r="I5" s="4326"/>
      <c r="J5" s="488"/>
      <c r="K5" s="1697"/>
      <c r="L5" s="1698" t="s">
        <v>4420</v>
      </c>
      <c r="M5" s="1699" t="e">
        <f>#REF!</f>
        <v>#REF!</v>
      </c>
      <c r="N5" s="1700"/>
      <c r="O5" s="1701"/>
      <c r="P5" s="4329"/>
      <c r="Q5" s="4239"/>
      <c r="R5" s="1507"/>
      <c r="S5" s="1507"/>
    </row>
    <row r="6" spans="1:19" ht="17.25" customHeight="1">
      <c r="A6" s="96" t="s">
        <v>4419</v>
      </c>
      <c r="I6" s="488"/>
      <c r="J6" s="488"/>
      <c r="K6" s="4324" t="s">
        <v>3197</v>
      </c>
      <c r="L6" s="4324"/>
      <c r="M6" s="4324"/>
      <c r="N6" s="4324"/>
      <c r="O6" s="4325"/>
      <c r="P6" s="4319"/>
      <c r="Q6" s="4320"/>
      <c r="R6" s="1507"/>
      <c r="S6" s="1507"/>
    </row>
    <row r="7" spans="1:19" ht="12.65" customHeight="1">
      <c r="A7" s="97" t="s">
        <v>2983</v>
      </c>
      <c r="H7" s="980"/>
      <c r="I7" s="1695"/>
      <c r="J7" s="1695"/>
      <c r="K7" s="980"/>
      <c r="L7" s="980"/>
      <c r="M7" s="671"/>
      <c r="N7" s="671"/>
    </row>
    <row r="8" spans="1:19" ht="23.25" customHeight="1">
      <c r="A8" s="4321" t="s">
        <v>1327</v>
      </c>
      <c r="B8" s="4322"/>
      <c r="C8" s="4322"/>
      <c r="D8" s="4322"/>
      <c r="E8" s="4322"/>
      <c r="F8" s="4322"/>
      <c r="G8" s="4322"/>
      <c r="H8" s="4322"/>
      <c r="I8" s="4322"/>
      <c r="J8" s="4322"/>
      <c r="K8" s="4322"/>
      <c r="L8" s="4322"/>
      <c r="M8" s="4322"/>
      <c r="N8" s="4322"/>
      <c r="O8" s="4322"/>
      <c r="P8" s="4322"/>
      <c r="Q8" s="4323"/>
      <c r="R8" s="3067" t="s">
        <v>1878</v>
      </c>
      <c r="S8" s="3028"/>
    </row>
    <row r="9" spans="1:19" ht="23.25" customHeight="1">
      <c r="A9" s="4300" t="s">
        <v>218</v>
      </c>
      <c r="B9" s="4301"/>
      <c r="C9" s="4301"/>
      <c r="D9" s="4301"/>
      <c r="E9" s="4301"/>
      <c r="F9" s="4301"/>
      <c r="G9" s="4301"/>
      <c r="H9" s="4301"/>
      <c r="I9" s="4301"/>
      <c r="J9" s="4301"/>
      <c r="K9" s="4301"/>
      <c r="L9" s="4301"/>
      <c r="M9" s="4301"/>
      <c r="N9" s="4301"/>
      <c r="O9" s="4301"/>
      <c r="P9" s="4301"/>
      <c r="Q9" s="4302"/>
      <c r="R9" s="3067"/>
      <c r="S9" s="3028"/>
    </row>
    <row r="10" spans="1:19" ht="23.25" customHeight="1">
      <c r="A10" s="4300" t="s">
        <v>1323</v>
      </c>
      <c r="B10" s="4301"/>
      <c r="C10" s="4301"/>
      <c r="D10" s="4301"/>
      <c r="E10" s="4301"/>
      <c r="F10" s="4301"/>
      <c r="G10" s="4301"/>
      <c r="H10" s="4301"/>
      <c r="I10" s="4301"/>
      <c r="J10" s="4301"/>
      <c r="K10" s="4301"/>
      <c r="L10" s="4301"/>
      <c r="M10" s="4301"/>
      <c r="N10" s="4301"/>
      <c r="O10" s="4301"/>
      <c r="P10" s="4301"/>
      <c r="Q10" s="4302"/>
      <c r="R10" s="3067"/>
      <c r="S10" s="3028"/>
    </row>
    <row r="11" spans="1:19" ht="23.25" customHeight="1">
      <c r="A11" s="4300" t="s">
        <v>1324</v>
      </c>
      <c r="B11" s="4301"/>
      <c r="C11" s="4301"/>
      <c r="D11" s="4301"/>
      <c r="E11" s="4301"/>
      <c r="F11" s="4301"/>
      <c r="G11" s="4301"/>
      <c r="H11" s="4301"/>
      <c r="I11" s="4301"/>
      <c r="J11" s="4301"/>
      <c r="K11" s="4301"/>
      <c r="L11" s="4301"/>
      <c r="M11" s="4301"/>
      <c r="N11" s="4301"/>
      <c r="O11" s="4301"/>
      <c r="P11" s="4301"/>
      <c r="Q11" s="4302"/>
      <c r="R11" s="3067"/>
      <c r="S11" s="3028"/>
    </row>
    <row r="12" spans="1:19" ht="23.25" customHeight="1">
      <c r="A12" s="4300" t="s">
        <v>1325</v>
      </c>
      <c r="B12" s="4301"/>
      <c r="C12" s="4301"/>
      <c r="D12" s="4301"/>
      <c r="E12" s="4301"/>
      <c r="F12" s="4301"/>
      <c r="G12" s="4301"/>
      <c r="H12" s="4301"/>
      <c r="I12" s="4301"/>
      <c r="J12" s="4301"/>
      <c r="K12" s="4301"/>
      <c r="L12" s="4301"/>
      <c r="M12" s="4301"/>
      <c r="N12" s="4301"/>
      <c r="O12" s="4301"/>
      <c r="P12" s="4301"/>
      <c r="Q12" s="4302"/>
      <c r="R12" s="869"/>
      <c r="S12" s="869"/>
    </row>
    <row r="13" spans="1:19" ht="23.25" customHeight="1">
      <c r="A13" s="4300" t="s">
        <v>1326</v>
      </c>
      <c r="B13" s="4301"/>
      <c r="C13" s="4301"/>
      <c r="D13" s="4301"/>
      <c r="E13" s="4301"/>
      <c r="F13" s="4301"/>
      <c r="G13" s="4301"/>
      <c r="H13" s="4301"/>
      <c r="I13" s="4301"/>
      <c r="J13" s="4301"/>
      <c r="K13" s="4301"/>
      <c r="L13" s="4301"/>
      <c r="M13" s="4301"/>
      <c r="N13" s="4301"/>
      <c r="O13" s="4301"/>
      <c r="P13" s="4301"/>
      <c r="Q13" s="4302"/>
      <c r="R13" s="869"/>
      <c r="S13" s="869"/>
    </row>
    <row r="14" spans="1:19" ht="23.25" customHeight="1">
      <c r="A14" s="4300" t="s">
        <v>1328</v>
      </c>
      <c r="B14" s="4301"/>
      <c r="C14" s="4301"/>
      <c r="D14" s="4301"/>
      <c r="E14" s="4301"/>
      <c r="F14" s="4301"/>
      <c r="G14" s="4301"/>
      <c r="H14" s="4301"/>
      <c r="I14" s="4301"/>
      <c r="J14" s="4301"/>
      <c r="K14" s="4301"/>
      <c r="L14" s="4301"/>
      <c r="M14" s="4301"/>
      <c r="N14" s="4301"/>
      <c r="O14" s="4301"/>
      <c r="P14" s="4301"/>
      <c r="Q14" s="4302"/>
    </row>
    <row r="15" spans="1:19" ht="11.25" customHeight="1">
      <c r="A15" s="4300" t="s">
        <v>1867</v>
      </c>
      <c r="B15" s="4301"/>
      <c r="C15" s="4301"/>
      <c r="D15" s="4301"/>
      <c r="E15" s="4301"/>
      <c r="F15" s="4301"/>
      <c r="G15" s="4301"/>
      <c r="H15" s="4301"/>
      <c r="I15" s="4301"/>
      <c r="J15" s="4301"/>
      <c r="K15" s="4301"/>
      <c r="L15" s="4301"/>
      <c r="M15" s="4301"/>
      <c r="N15" s="4301"/>
      <c r="O15" s="4301"/>
      <c r="P15" s="4301"/>
      <c r="Q15" s="4302"/>
      <c r="R15" s="3067"/>
      <c r="S15" s="3028"/>
    </row>
    <row r="16" spans="1:19" ht="11.25" customHeight="1">
      <c r="A16" s="4300" t="s">
        <v>1868</v>
      </c>
      <c r="B16" s="4301"/>
      <c r="C16" s="4301"/>
      <c r="D16" s="4301"/>
      <c r="E16" s="4301"/>
      <c r="F16" s="4301"/>
      <c r="G16" s="4301"/>
      <c r="H16" s="4301"/>
      <c r="I16" s="4301"/>
      <c r="J16" s="4301"/>
      <c r="K16" s="4301"/>
      <c r="L16" s="4301"/>
      <c r="M16" s="4301"/>
      <c r="N16" s="4301"/>
      <c r="O16" s="4301"/>
      <c r="P16" s="4301"/>
      <c r="Q16" s="4302"/>
      <c r="R16" s="3067"/>
      <c r="S16" s="3028"/>
    </row>
    <row r="17" spans="1:31" ht="11.25" customHeight="1">
      <c r="A17" s="4300" t="s">
        <v>1869</v>
      </c>
      <c r="B17" s="4301"/>
      <c r="C17" s="4301"/>
      <c r="D17" s="4301"/>
      <c r="E17" s="4301"/>
      <c r="F17" s="4301"/>
      <c r="G17" s="4301"/>
      <c r="H17" s="4301"/>
      <c r="I17" s="4301"/>
      <c r="J17" s="4301"/>
      <c r="K17" s="4301"/>
      <c r="L17" s="4301"/>
      <c r="M17" s="4301"/>
      <c r="N17" s="4301"/>
      <c r="O17" s="4301"/>
      <c r="P17" s="4301"/>
      <c r="Q17" s="4302"/>
      <c r="R17" s="3067"/>
      <c r="S17" s="3028"/>
    </row>
    <row r="18" spans="1:31" ht="11.25" customHeight="1">
      <c r="A18" s="4300" t="s">
        <v>1870</v>
      </c>
      <c r="B18" s="4301"/>
      <c r="C18" s="4301"/>
      <c r="D18" s="4301"/>
      <c r="E18" s="4301"/>
      <c r="F18" s="4301"/>
      <c r="G18" s="4301"/>
      <c r="H18" s="4301"/>
      <c r="I18" s="4301"/>
      <c r="J18" s="4301"/>
      <c r="K18" s="4301"/>
      <c r="L18" s="4301"/>
      <c r="M18" s="4301"/>
      <c r="N18" s="4301"/>
      <c r="O18" s="4301"/>
      <c r="P18" s="4301"/>
      <c r="Q18" s="4302"/>
      <c r="R18" s="3067"/>
      <c r="S18" s="3028"/>
    </row>
    <row r="19" spans="1:31" ht="11.25" customHeight="1">
      <c r="A19" s="4300" t="s">
        <v>1871</v>
      </c>
      <c r="B19" s="4301"/>
      <c r="C19" s="4301"/>
      <c r="D19" s="4301"/>
      <c r="E19" s="4301"/>
      <c r="F19" s="4301"/>
      <c r="G19" s="4301"/>
      <c r="H19" s="4301"/>
      <c r="I19" s="4301"/>
      <c r="J19" s="4301"/>
      <c r="K19" s="4301"/>
      <c r="L19" s="4301"/>
      <c r="M19" s="4301"/>
      <c r="N19" s="4301"/>
      <c r="O19" s="4301"/>
      <c r="P19" s="4301"/>
      <c r="Q19" s="4302"/>
      <c r="R19" s="3067"/>
      <c r="S19" s="3028"/>
    </row>
    <row r="20" spans="1:31" ht="11.25" customHeight="1">
      <c r="A20" s="4300" t="s">
        <v>1872</v>
      </c>
      <c r="B20" s="4301"/>
      <c r="C20" s="4301"/>
      <c r="D20" s="4301"/>
      <c r="E20" s="4301"/>
      <c r="F20" s="4301"/>
      <c r="G20" s="4301"/>
      <c r="H20" s="4301"/>
      <c r="I20" s="4301"/>
      <c r="J20" s="4301"/>
      <c r="K20" s="4301"/>
      <c r="L20" s="4301"/>
      <c r="M20" s="4301"/>
      <c r="N20" s="4301"/>
      <c r="O20" s="4301"/>
      <c r="P20" s="4301"/>
      <c r="Q20" s="4302"/>
      <c r="R20" s="3067"/>
      <c r="S20" s="3028"/>
    </row>
    <row r="21" spans="1:31" ht="11.25" customHeight="1">
      <c r="A21" s="4300" t="s">
        <v>1873</v>
      </c>
      <c r="B21" s="4301"/>
      <c r="C21" s="4301"/>
      <c r="D21" s="4301"/>
      <c r="E21" s="4301"/>
      <c r="F21" s="4301"/>
      <c r="G21" s="4301"/>
      <c r="H21" s="4301"/>
      <c r="I21" s="4301"/>
      <c r="J21" s="4301"/>
      <c r="K21" s="4301"/>
      <c r="L21" s="4301"/>
      <c r="M21" s="4301"/>
      <c r="N21" s="4301"/>
      <c r="O21" s="4301"/>
      <c r="P21" s="4301"/>
      <c r="Q21" s="4302"/>
    </row>
    <row r="22" spans="1:31" ht="11.25" customHeight="1">
      <c r="A22" s="4300" t="s">
        <v>1874</v>
      </c>
      <c r="B22" s="4301"/>
      <c r="C22" s="4301"/>
      <c r="D22" s="4301"/>
      <c r="E22" s="4301"/>
      <c r="F22" s="4301"/>
      <c r="G22" s="4301"/>
      <c r="H22" s="4301"/>
      <c r="I22" s="4301"/>
      <c r="J22" s="4301"/>
      <c r="K22" s="4301"/>
      <c r="L22" s="4301"/>
      <c r="M22" s="4301"/>
      <c r="N22" s="4301"/>
      <c r="O22" s="4301"/>
      <c r="P22" s="4301"/>
      <c r="Q22" s="4302"/>
      <c r="R22" s="3067"/>
      <c r="S22" s="3028"/>
    </row>
    <row r="23" spans="1:31" ht="11.25" customHeight="1">
      <c r="A23" s="4300" t="s">
        <v>1875</v>
      </c>
      <c r="B23" s="4301"/>
      <c r="C23" s="4301"/>
      <c r="D23" s="4301"/>
      <c r="E23" s="4301"/>
      <c r="F23" s="4301"/>
      <c r="G23" s="4301"/>
      <c r="H23" s="4301"/>
      <c r="I23" s="4301"/>
      <c r="J23" s="4301"/>
      <c r="K23" s="4301"/>
      <c r="L23" s="4301"/>
      <c r="M23" s="4301"/>
      <c r="N23" s="4301"/>
      <c r="O23" s="4301"/>
      <c r="P23" s="4301"/>
      <c r="Q23" s="4302"/>
      <c r="R23" s="3067"/>
      <c r="S23" s="3028"/>
    </row>
    <row r="24" spans="1:31" ht="11.25" customHeight="1">
      <c r="A24" s="4300" t="s">
        <v>1876</v>
      </c>
      <c r="B24" s="4301"/>
      <c r="C24" s="4301"/>
      <c r="D24" s="4301"/>
      <c r="E24" s="4301"/>
      <c r="F24" s="4301"/>
      <c r="G24" s="4301"/>
      <c r="H24" s="4301"/>
      <c r="I24" s="4301"/>
      <c r="J24" s="4301"/>
      <c r="K24" s="4301"/>
      <c r="L24" s="4301"/>
      <c r="M24" s="4301"/>
      <c r="N24" s="4301"/>
      <c r="O24" s="4301"/>
      <c r="P24" s="4301"/>
      <c r="Q24" s="4302"/>
      <c r="R24" s="3067"/>
      <c r="S24" s="3028"/>
    </row>
    <row r="25" spans="1:31" ht="11.25" customHeight="1">
      <c r="A25" s="4330" t="s">
        <v>1877</v>
      </c>
      <c r="B25" s="4331"/>
      <c r="C25" s="4331"/>
      <c r="D25" s="4331"/>
      <c r="E25" s="4331"/>
      <c r="F25" s="4331"/>
      <c r="G25" s="4331"/>
      <c r="H25" s="4331"/>
      <c r="I25" s="4331"/>
      <c r="J25" s="4331"/>
      <c r="K25" s="4331"/>
      <c r="L25" s="4331"/>
      <c r="M25" s="4331"/>
      <c r="N25" s="4331"/>
      <c r="O25" s="4331"/>
      <c r="P25" s="4331"/>
      <c r="Q25" s="4332"/>
      <c r="R25" s="3067"/>
      <c r="S25" s="3028"/>
    </row>
    <row r="26" spans="1:31" ht="6" customHeight="1"/>
    <row r="27" spans="1:31" ht="14.15" customHeight="1">
      <c r="A27" s="98" t="s">
        <v>688</v>
      </c>
      <c r="B27" s="99" t="s">
        <v>4523</v>
      </c>
      <c r="C27" s="100"/>
      <c r="D27" s="66"/>
      <c r="E27" s="66"/>
      <c r="F27" s="66"/>
      <c r="G27" s="66"/>
      <c r="I27" s="874"/>
      <c r="J27" s="874"/>
      <c r="K27" s="874"/>
      <c r="L27" s="671"/>
      <c r="M27" s="671"/>
      <c r="O27" s="101" t="s">
        <v>1726</v>
      </c>
      <c r="P27" s="4261"/>
      <c r="Q27" s="4250"/>
    </row>
    <row r="28" spans="1:31" ht="3" customHeight="1"/>
    <row r="29" spans="1:31" ht="11.25" customHeight="1">
      <c r="B29" s="42" t="s">
        <v>3157</v>
      </c>
      <c r="C29" s="42"/>
      <c r="D29" s="42"/>
      <c r="E29" s="42"/>
      <c r="F29" s="42"/>
      <c r="G29" s="874"/>
      <c r="H29" s="874"/>
      <c r="I29" s="874"/>
      <c r="J29" s="874"/>
      <c r="K29" s="671"/>
      <c r="L29" s="671"/>
      <c r="M29" s="671"/>
      <c r="N29" s="671"/>
      <c r="O29" s="671"/>
      <c r="P29" s="671"/>
      <c r="S29" s="125"/>
      <c r="T29" s="125"/>
    </row>
    <row r="30" spans="1:31" ht="108.75" customHeight="1">
      <c r="A30" s="4240"/>
      <c r="B30" s="4241"/>
      <c r="C30" s="4241"/>
      <c r="D30" s="4241"/>
      <c r="E30" s="4241"/>
      <c r="F30" s="4241"/>
      <c r="G30" s="4241"/>
      <c r="H30" s="4241"/>
      <c r="I30" s="4241"/>
      <c r="J30" s="4241"/>
      <c r="K30" s="4241"/>
      <c r="L30" s="4241"/>
      <c r="M30" s="4241"/>
      <c r="N30" s="4241"/>
      <c r="O30" s="4241"/>
      <c r="P30" s="4241"/>
      <c r="Q30" s="4242"/>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4341"/>
      <c r="B32" s="4341"/>
      <c r="C32" s="4341"/>
      <c r="D32" s="4341"/>
      <c r="E32" s="4341"/>
      <c r="F32" s="4341"/>
      <c r="G32" s="4341"/>
      <c r="H32" s="4341"/>
      <c r="I32" s="4341"/>
      <c r="J32" s="4341"/>
      <c r="K32" s="4341"/>
      <c r="L32" s="4341"/>
      <c r="M32" s="4341"/>
      <c r="N32" s="4341"/>
      <c r="O32" s="4341"/>
      <c r="P32" s="4341"/>
      <c r="Q32" s="4341"/>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4261"/>
      <c r="Q34" s="4250"/>
    </row>
    <row r="35" spans="1:31" ht="12.75" customHeight="1">
      <c r="A35" s="2"/>
      <c r="B35" s="108" t="s">
        <v>4531</v>
      </c>
      <c r="C35" s="4"/>
      <c r="D35" s="4"/>
      <c r="E35" s="870"/>
      <c r="F35" s="870"/>
      <c r="H35" s="870"/>
      <c r="J35" s="3048" t="s">
        <v>4358</v>
      </c>
      <c r="K35" s="3049"/>
      <c r="L35" s="3050"/>
      <c r="M35" s="147" t="s">
        <v>1642</v>
      </c>
      <c r="N35" s="4415"/>
      <c r="O35" s="4416"/>
      <c r="P35" s="4416"/>
      <c r="Q35" s="4417"/>
    </row>
    <row r="36" spans="1:31" ht="12.75" customHeight="1">
      <c r="A36" s="2"/>
      <c r="B36" s="108" t="s">
        <v>4530</v>
      </c>
      <c r="C36" s="4"/>
      <c r="D36" s="4"/>
      <c r="E36" s="870"/>
      <c r="F36" s="870"/>
      <c r="G36" s="1566"/>
      <c r="H36" s="870"/>
      <c r="J36" s="3048" t="s">
        <v>4359</v>
      </c>
      <c r="K36" s="3049"/>
      <c r="L36" s="3050"/>
      <c r="M36" s="147" t="s">
        <v>1642</v>
      </c>
      <c r="N36" s="4415"/>
      <c r="O36" s="4416"/>
      <c r="P36" s="4416"/>
      <c r="Q36" s="4417"/>
    </row>
    <row r="37" spans="1:31" ht="12.75" customHeight="1">
      <c r="B37" s="73" t="s">
        <v>3157</v>
      </c>
      <c r="D37" s="73"/>
      <c r="E37" s="73"/>
      <c r="F37" s="73"/>
      <c r="G37" s="73"/>
      <c r="H37" s="33"/>
      <c r="I37" s="874"/>
      <c r="J37" s="874"/>
      <c r="K37" s="1662" t="s">
        <v>1725</v>
      </c>
      <c r="L37" s="671"/>
      <c r="M37" s="671"/>
      <c r="N37" s="671"/>
      <c r="O37" s="671"/>
      <c r="P37" s="671"/>
      <c r="Q37" s="671"/>
    </row>
    <row r="38" spans="1:31" ht="10.5" customHeight="1">
      <c r="A38" s="4240"/>
      <c r="B38" s="4241"/>
      <c r="C38" s="4241"/>
      <c r="D38" s="4241"/>
      <c r="E38" s="4241"/>
      <c r="F38" s="4241"/>
      <c r="G38" s="4241"/>
      <c r="H38" s="4241"/>
      <c r="I38" s="4241"/>
      <c r="J38" s="4242"/>
      <c r="K38" s="4244"/>
      <c r="L38" s="4245"/>
      <c r="M38" s="4245"/>
      <c r="N38" s="4245"/>
      <c r="O38" s="4245"/>
      <c r="P38" s="4245"/>
      <c r="Q38" s="4246"/>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3665</v>
      </c>
      <c r="M40" s="1247" t="s">
        <v>3666</v>
      </c>
      <c r="O40" s="101" t="s">
        <v>1726</v>
      </c>
      <c r="P40" s="4261"/>
      <c r="Q40" s="4250"/>
    </row>
    <row r="41" spans="1:31" ht="1.5" customHeight="1"/>
    <row r="42" spans="1:31" ht="12" customHeight="1">
      <c r="A42" s="110" t="s">
        <v>1836</v>
      </c>
      <c r="B42" s="4243" t="s">
        <v>3660</v>
      </c>
      <c r="C42" s="4243"/>
      <c r="D42" s="4243"/>
      <c r="E42" s="4243"/>
      <c r="F42" s="4243"/>
      <c r="G42" s="4243"/>
      <c r="H42" s="4243"/>
      <c r="I42" s="4243"/>
      <c r="J42" s="4243"/>
      <c r="K42" s="115"/>
      <c r="L42" s="346" t="s">
        <v>2574</v>
      </c>
      <c r="M42" s="1139">
        <v>2</v>
      </c>
      <c r="N42" s="108" t="s">
        <v>3890</v>
      </c>
      <c r="P42" s="4284"/>
      <c r="Q42" s="4296"/>
    </row>
    <row r="43" spans="1:31" ht="12" customHeight="1">
      <c r="A43" s="110"/>
      <c r="B43" s="4243"/>
      <c r="C43" s="4243"/>
      <c r="D43" s="4243"/>
      <c r="E43" s="4243"/>
      <c r="F43" s="4243"/>
      <c r="G43" s="4243"/>
      <c r="H43" s="4243"/>
      <c r="I43" s="4243"/>
      <c r="J43" s="4243"/>
      <c r="K43" s="115"/>
      <c r="L43" s="346" t="s">
        <v>3664</v>
      </c>
      <c r="M43" s="1140">
        <v>4</v>
      </c>
      <c r="O43" s="111"/>
      <c r="P43" s="4285"/>
      <c r="Q43" s="4297"/>
    </row>
    <row r="44" spans="1:31" ht="12" customHeight="1">
      <c r="A44" s="110"/>
      <c r="D44" s="870"/>
      <c r="E44" s="870"/>
      <c r="F44" s="870"/>
      <c r="G44" s="870"/>
      <c r="H44" s="870"/>
      <c r="I44" s="870"/>
      <c r="J44" s="870"/>
      <c r="K44" s="115"/>
      <c r="L44" s="371" t="s">
        <v>4054</v>
      </c>
      <c r="M44" s="1140"/>
      <c r="O44" s="111"/>
      <c r="P44" s="1459"/>
      <c r="Q44" s="1460"/>
    </row>
    <row r="45" spans="1:31" ht="12" customHeight="1">
      <c r="A45" s="40" t="s">
        <v>1838</v>
      </c>
      <c r="B45" s="108" t="s">
        <v>3667</v>
      </c>
      <c r="C45" s="108"/>
      <c r="D45" s="108"/>
      <c r="E45" s="108"/>
      <c r="F45" s="108"/>
      <c r="G45" s="108"/>
      <c r="H45" s="108"/>
      <c r="I45" s="108"/>
      <c r="J45" s="108"/>
      <c r="K45" s="456"/>
      <c r="L45" s="108"/>
      <c r="M45" s="115"/>
      <c r="N45" s="701"/>
      <c r="O45" s="701"/>
      <c r="P45" s="701"/>
    </row>
    <row r="46" spans="1:31" ht="12.75" customHeight="1">
      <c r="A46" s="395"/>
      <c r="B46" s="1155" t="s">
        <v>1611</v>
      </c>
      <c r="C46" s="108" t="s">
        <v>3671</v>
      </c>
      <c r="D46" s="1111"/>
      <c r="E46" s="1111"/>
      <c r="F46" s="1111"/>
      <c r="G46" s="1111"/>
      <c r="H46" s="1111"/>
      <c r="I46" s="1111"/>
      <c r="J46" s="1111"/>
      <c r="K46" s="1110"/>
      <c r="L46" s="700"/>
      <c r="N46" s="108" t="s">
        <v>3891</v>
      </c>
      <c r="O46" s="701"/>
      <c r="P46" s="175"/>
      <c r="Q46" s="418"/>
    </row>
    <row r="47" spans="1:31" ht="12.75" customHeight="1">
      <c r="A47" s="395"/>
      <c r="B47" s="1155" t="s">
        <v>1612</v>
      </c>
      <c r="C47" s="108" t="s">
        <v>3668</v>
      </c>
      <c r="D47" s="1111"/>
      <c r="E47" s="1111"/>
      <c r="F47" s="1111"/>
      <c r="G47" s="1111"/>
      <c r="H47" s="1111"/>
      <c r="I47" s="1111"/>
      <c r="J47" s="1111"/>
      <c r="K47" s="1110"/>
      <c r="L47" s="700"/>
      <c r="N47" s="108" t="s">
        <v>3892</v>
      </c>
      <c r="O47" s="701"/>
      <c r="P47" s="299"/>
      <c r="Q47" s="419"/>
    </row>
    <row r="48" spans="1:31" ht="12.75" customHeight="1">
      <c r="A48" s="1109"/>
      <c r="B48" s="371" t="s">
        <v>1613</v>
      </c>
      <c r="C48" s="108" t="s">
        <v>3669</v>
      </c>
      <c r="E48" s="1111"/>
      <c r="F48" s="1111"/>
      <c r="G48" s="1111"/>
      <c r="H48" s="1111"/>
      <c r="I48" s="1111"/>
      <c r="J48" s="1111"/>
      <c r="K48" s="1110"/>
      <c r="L48" s="700"/>
      <c r="M48" s="701"/>
      <c r="N48" s="108" t="s">
        <v>3893</v>
      </c>
      <c r="O48" s="701"/>
      <c r="P48" s="299"/>
      <c r="Q48" s="419"/>
    </row>
    <row r="49" spans="1:31" ht="12.75" customHeight="1">
      <c r="A49" s="112"/>
      <c r="B49" s="371" t="s">
        <v>2176</v>
      </c>
      <c r="C49" s="371" t="s">
        <v>3672</v>
      </c>
      <c r="D49" s="103"/>
      <c r="E49" s="103"/>
      <c r="F49" s="103"/>
      <c r="G49" s="103"/>
      <c r="H49" s="103"/>
      <c r="I49" s="35"/>
      <c r="J49" s="35"/>
      <c r="N49" s="108" t="s">
        <v>3894</v>
      </c>
      <c r="O49" s="701"/>
      <c r="P49" s="176"/>
      <c r="Q49" s="420"/>
    </row>
    <row r="50" spans="1:31" ht="12.75" customHeight="1">
      <c r="A50" s="112"/>
      <c r="B50" s="371"/>
      <c r="C50" s="108" t="s">
        <v>3673</v>
      </c>
      <c r="D50" s="103"/>
      <c r="E50" s="103"/>
      <c r="F50" s="103"/>
      <c r="G50" s="103"/>
      <c r="H50" s="103"/>
      <c r="I50" s="35"/>
      <c r="J50" s="35"/>
      <c r="L50" s="4307"/>
      <c r="M50" s="4308"/>
      <c r="N50" s="4308"/>
      <c r="O50" s="4308"/>
      <c r="P50" s="4308"/>
      <c r="Q50" s="4309"/>
    </row>
    <row r="51" spans="1:31" ht="12.75" customHeight="1">
      <c r="A51" s="112"/>
      <c r="B51" s="371" t="s">
        <v>1446</v>
      </c>
      <c r="C51" s="4243" t="s">
        <v>3670</v>
      </c>
      <c r="D51" s="4243"/>
      <c r="E51" s="4243"/>
      <c r="F51" s="4243"/>
      <c r="G51" s="4243"/>
      <c r="H51" s="4243"/>
      <c r="I51" s="4243"/>
      <c r="J51" s="4243"/>
      <c r="K51" s="4243"/>
      <c r="L51" s="4243"/>
      <c r="M51" s="412"/>
      <c r="N51" s="108" t="s">
        <v>3895</v>
      </c>
      <c r="O51" s="701"/>
      <c r="P51" s="372"/>
      <c r="Q51" s="417"/>
    </row>
    <row r="52" spans="1:31" ht="12.75" customHeight="1">
      <c r="A52" s="40"/>
      <c r="C52" s="4243"/>
      <c r="D52" s="4243"/>
      <c r="E52" s="4243"/>
      <c r="F52" s="4243"/>
      <c r="G52" s="4243"/>
      <c r="H52" s="4243"/>
      <c r="I52" s="4243"/>
      <c r="J52" s="4243"/>
      <c r="K52" s="4243"/>
      <c r="L52" s="4243"/>
      <c r="M52" s="412"/>
    </row>
    <row r="53" spans="1:31" ht="10.5" customHeight="1">
      <c r="B53" s="73" t="s">
        <v>3157</v>
      </c>
      <c r="D53" s="73"/>
      <c r="E53" s="73"/>
      <c r="F53" s="73"/>
      <c r="G53" s="73"/>
      <c r="H53" s="33"/>
      <c r="I53" s="874"/>
      <c r="J53" s="874"/>
      <c r="K53" s="105" t="s">
        <v>1725</v>
      </c>
      <c r="L53" s="671"/>
      <c r="M53" s="671"/>
      <c r="N53" s="671"/>
      <c r="O53" s="671"/>
      <c r="P53" s="671"/>
      <c r="Q53" s="671"/>
    </row>
    <row r="54" spans="1:31" ht="10.5" customHeight="1">
      <c r="A54" s="4240"/>
      <c r="B54" s="4241"/>
      <c r="C54" s="4241"/>
      <c r="D54" s="4241"/>
      <c r="E54" s="4241"/>
      <c r="F54" s="4241"/>
      <c r="G54" s="4241"/>
      <c r="H54" s="4241"/>
      <c r="I54" s="4241"/>
      <c r="J54" s="4242"/>
      <c r="K54" s="4244"/>
      <c r="L54" s="4245"/>
      <c r="M54" s="4245"/>
      <c r="N54" s="4245"/>
      <c r="O54" s="4245"/>
      <c r="P54" s="4245"/>
      <c r="Q54" s="4246"/>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5" customHeight="1">
      <c r="A56" s="2" t="s">
        <v>1663</v>
      </c>
      <c r="B56" s="2" t="s">
        <v>3888</v>
      </c>
      <c r="C56" s="2"/>
      <c r="D56" s="870"/>
      <c r="E56" s="870"/>
      <c r="F56" s="870"/>
      <c r="G56" s="870"/>
      <c r="H56" s="1254" t="e">
        <f>#REF!</f>
        <v>#REF!</v>
      </c>
      <c r="J56" s="1702" t="s">
        <v>4524</v>
      </c>
      <c r="K56" s="429" t="str">
        <f>'Part VIII Scoring Criteria OLD'!$M$60</f>
        <v>&lt;&lt; Select Pool &gt;&gt;</v>
      </c>
      <c r="L56" s="1702" t="s">
        <v>3697</v>
      </c>
      <c r="M56" s="850" t="str">
        <f>J35</f>
        <v>&lt;&lt; Select PROPOSED Tenancy &gt;&gt;</v>
      </c>
      <c r="O56" s="101" t="s">
        <v>1726</v>
      </c>
      <c r="P56" s="4261"/>
      <c r="Q56" s="4250"/>
    </row>
    <row r="57" spans="1:31" ht="3" customHeight="1"/>
    <row r="58" spans="1:31" ht="12.75" customHeight="1">
      <c r="A58" s="40" t="s">
        <v>1836</v>
      </c>
      <c r="B58" s="32" t="s">
        <v>2258</v>
      </c>
      <c r="D58" s="103"/>
      <c r="E58" s="103"/>
      <c r="F58" s="103"/>
      <c r="G58" s="103"/>
      <c r="H58" s="103"/>
      <c r="I58" s="35"/>
      <c r="J58" s="35"/>
      <c r="K58" s="35"/>
      <c r="L58" s="48" t="s">
        <v>1836</v>
      </c>
      <c r="M58" s="4338"/>
      <c r="N58" s="4339"/>
      <c r="O58" s="4339"/>
      <c r="P58" s="4340"/>
      <c r="Q58" s="418"/>
    </row>
    <row r="59" spans="1:31" ht="12.75" customHeight="1">
      <c r="A59" s="40" t="s">
        <v>1838</v>
      </c>
      <c r="B59" s="29" t="s">
        <v>3819</v>
      </c>
      <c r="D59" s="103"/>
      <c r="E59" s="103"/>
      <c r="F59" s="103"/>
      <c r="L59" s="48" t="s">
        <v>1838</v>
      </c>
      <c r="M59" s="4280"/>
      <c r="N59" s="4281"/>
      <c r="O59" s="4281"/>
      <c r="P59" s="4282"/>
      <c r="Q59" s="419"/>
    </row>
    <row r="60" spans="1:31" ht="12.75" customHeight="1">
      <c r="A60" s="40" t="s">
        <v>697</v>
      </c>
      <c r="B60" s="29" t="s">
        <v>2551</v>
      </c>
      <c r="D60" s="103"/>
      <c r="E60" s="103"/>
      <c r="F60" s="103"/>
      <c r="L60" s="48" t="s">
        <v>697</v>
      </c>
      <c r="M60" s="4276"/>
      <c r="N60" s="4277"/>
      <c r="O60" s="4277"/>
      <c r="P60" s="4278"/>
      <c r="Q60" s="419"/>
    </row>
    <row r="61" spans="1:31" ht="12.75" customHeight="1">
      <c r="A61" s="40" t="s">
        <v>1957</v>
      </c>
      <c r="B61" s="29" t="s">
        <v>3220</v>
      </c>
      <c r="D61" s="103"/>
      <c r="E61" s="103"/>
      <c r="F61" s="103"/>
      <c r="J61" s="48" t="s">
        <v>3221</v>
      </c>
      <c r="K61" s="1437"/>
      <c r="L61" s="1434"/>
      <c r="M61" s="1436"/>
      <c r="N61" s="1435"/>
      <c r="O61" s="860" t="s">
        <v>3302</v>
      </c>
      <c r="P61" s="861"/>
      <c r="Q61" s="1433"/>
    </row>
    <row r="62" spans="1:31" ht="12.75" customHeight="1">
      <c r="A62" s="40" t="s">
        <v>1609</v>
      </c>
      <c r="B62" s="29" t="s">
        <v>3820</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4283"/>
      <c r="F64" s="4283"/>
      <c r="G64" s="4283"/>
      <c r="H64" s="48" t="s">
        <v>2176</v>
      </c>
      <c r="I64" s="383"/>
      <c r="J64" s="4283"/>
      <c r="K64" s="4283"/>
      <c r="L64" s="4283"/>
      <c r="M64" s="48" t="s">
        <v>93</v>
      </c>
      <c r="N64" s="383"/>
      <c r="O64" s="4283"/>
      <c r="P64" s="4283"/>
      <c r="Q64" s="4283"/>
    </row>
    <row r="65" spans="1:31" ht="12.75" customHeight="1">
      <c r="C65" s="49" t="s">
        <v>1612</v>
      </c>
      <c r="D65" s="1664"/>
      <c r="E65" s="4393"/>
      <c r="F65" s="4393"/>
      <c r="G65" s="4393"/>
      <c r="H65" s="48" t="s">
        <v>1446</v>
      </c>
      <c r="I65" s="1664"/>
      <c r="J65" s="4393"/>
      <c r="K65" s="4393"/>
      <c r="L65" s="4393"/>
      <c r="M65" s="48" t="s">
        <v>480</v>
      </c>
      <c r="N65" s="1664"/>
      <c r="O65" s="4393"/>
      <c r="P65" s="4393"/>
      <c r="Q65" s="4393"/>
    </row>
    <row r="66" spans="1:31" ht="12.75" customHeight="1">
      <c r="C66" s="49" t="s">
        <v>1613</v>
      </c>
      <c r="D66" s="384"/>
      <c r="E66" s="4333"/>
      <c r="F66" s="4333"/>
      <c r="G66" s="4333"/>
      <c r="H66" s="48" t="s">
        <v>1447</v>
      </c>
      <c r="I66" s="384"/>
      <c r="J66" s="4333"/>
      <c r="K66" s="4333"/>
      <c r="L66" s="4333"/>
      <c r="M66" s="48" t="s">
        <v>481</v>
      </c>
      <c r="N66" s="384"/>
      <c r="O66" s="4333"/>
      <c r="P66" s="4333"/>
      <c r="Q66" s="4333"/>
    </row>
    <row r="67" spans="1:31" ht="12.75" customHeight="1">
      <c r="A67" s="40" t="s">
        <v>1610</v>
      </c>
      <c r="B67" s="29" t="s">
        <v>4002</v>
      </c>
      <c r="D67" s="103"/>
      <c r="E67" s="103"/>
      <c r="F67" s="103"/>
      <c r="G67" s="103"/>
      <c r="H67" s="103"/>
      <c r="I67" s="35"/>
      <c r="J67" s="35"/>
      <c r="K67" s="103"/>
      <c r="L67" s="872"/>
      <c r="M67" s="872"/>
      <c r="O67" s="48" t="s">
        <v>1610</v>
      </c>
      <c r="P67" s="1215"/>
      <c r="Q67" s="1216"/>
    </row>
    <row r="68" spans="1:31" ht="12.75" customHeight="1">
      <c r="A68" s="40" t="s">
        <v>1803</v>
      </c>
      <c r="B68" s="29" t="s">
        <v>4003</v>
      </c>
      <c r="D68" s="103"/>
      <c r="E68" s="103"/>
      <c r="F68" s="103"/>
      <c r="G68" s="103"/>
      <c r="H68" s="103"/>
      <c r="I68" s="35"/>
      <c r="J68" s="35"/>
      <c r="K68" s="103"/>
      <c r="L68" s="872"/>
      <c r="M68" s="872"/>
      <c r="O68" s="48" t="s">
        <v>1803</v>
      </c>
      <c r="P68" s="299"/>
      <c r="Q68" s="419"/>
    </row>
    <row r="69" spans="1:31" ht="10.5" customHeight="1">
      <c r="A69" s="40" t="s">
        <v>2933</v>
      </c>
      <c r="B69" s="29" t="s">
        <v>4004</v>
      </c>
      <c r="D69" s="103"/>
      <c r="E69" s="103"/>
      <c r="F69" s="103"/>
      <c r="G69" s="103"/>
      <c r="H69" s="103"/>
      <c r="I69" s="35"/>
      <c r="J69" s="35"/>
      <c r="K69" s="103"/>
      <c r="L69" s="872"/>
      <c r="M69" s="872"/>
      <c r="O69" s="48" t="s">
        <v>2933</v>
      </c>
      <c r="P69" s="861"/>
      <c r="Q69" s="1433"/>
    </row>
    <row r="70" spans="1:31" ht="9.75" customHeight="1">
      <c r="B70" s="109" t="s">
        <v>3157</v>
      </c>
      <c r="D70" s="109"/>
      <c r="E70" s="109"/>
      <c r="F70" s="109"/>
      <c r="G70" s="109"/>
      <c r="H70" s="33"/>
      <c r="I70" s="874"/>
      <c r="J70" s="874"/>
      <c r="K70" s="874"/>
      <c r="L70" s="671"/>
      <c r="M70" s="671"/>
      <c r="N70" s="671"/>
      <c r="O70" s="671"/>
      <c r="P70" s="671"/>
      <c r="Q70" s="671"/>
    </row>
    <row r="71" spans="1:31" ht="33" customHeight="1">
      <c r="A71" s="4240"/>
      <c r="B71" s="4241"/>
      <c r="C71" s="4241"/>
      <c r="D71" s="4241"/>
      <c r="E71" s="4241"/>
      <c r="F71" s="4241"/>
      <c r="G71" s="4241"/>
      <c r="H71" s="4241"/>
      <c r="I71" s="4241"/>
      <c r="J71" s="4241"/>
      <c r="K71" s="4241"/>
      <c r="L71" s="4241"/>
      <c r="M71" s="4241"/>
      <c r="N71" s="4241"/>
      <c r="O71" s="4241"/>
      <c r="P71" s="4241"/>
      <c r="Q71" s="4242"/>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4244"/>
      <c r="B73" s="4245"/>
      <c r="C73" s="4245"/>
      <c r="D73" s="4245"/>
      <c r="E73" s="4245"/>
      <c r="F73" s="4245"/>
      <c r="G73" s="4245"/>
      <c r="H73" s="4245"/>
      <c r="I73" s="4245"/>
      <c r="J73" s="4245"/>
      <c r="K73" s="4245"/>
      <c r="L73" s="4245"/>
      <c r="M73" s="4245"/>
      <c r="N73" s="4245"/>
      <c r="O73" s="4245"/>
      <c r="P73" s="4245"/>
      <c r="Q73" s="4246"/>
    </row>
    <row r="74" spans="1:31" ht="14.15" customHeight="1">
      <c r="A74" s="2" t="s">
        <v>495</v>
      </c>
      <c r="B74" s="2" t="s">
        <v>2416</v>
      </c>
      <c r="C74" s="2"/>
      <c r="D74" s="870"/>
      <c r="E74" s="870"/>
      <c r="F74" s="870"/>
      <c r="G74" s="870"/>
      <c r="H74" s="870"/>
      <c r="I74" s="870"/>
      <c r="J74" s="870"/>
      <c r="K74" s="870"/>
      <c r="L74" s="870"/>
      <c r="M74" s="870"/>
      <c r="O74" s="101" t="s">
        <v>1726</v>
      </c>
      <c r="P74" s="4261"/>
      <c r="Q74" s="4250"/>
    </row>
    <row r="75" spans="1:31" ht="3" customHeight="1"/>
    <row r="76" spans="1:31" ht="12.75" customHeight="1">
      <c r="A76" s="40" t="s">
        <v>1836</v>
      </c>
      <c r="B76" s="29" t="s">
        <v>3896</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4307"/>
      <c r="N77" s="4308"/>
      <c r="O77" s="4308"/>
      <c r="P77" s="4402"/>
      <c r="Q77" s="419"/>
    </row>
    <row r="78" spans="1:31" s="35" customFormat="1" ht="12.75" customHeight="1">
      <c r="B78" s="113" t="s">
        <v>1612</v>
      </c>
      <c r="C78" s="29" t="s">
        <v>3712</v>
      </c>
      <c r="O78" s="49" t="s">
        <v>1612</v>
      </c>
      <c r="P78" s="1215"/>
      <c r="Q78" s="1216"/>
    </row>
    <row r="79" spans="1:31" s="35" customFormat="1" ht="12.75" customHeight="1">
      <c r="B79" s="1155" t="s">
        <v>1613</v>
      </c>
      <c r="C79" s="29" t="s">
        <v>3922</v>
      </c>
      <c r="O79" s="117" t="s">
        <v>1613</v>
      </c>
      <c r="P79" s="1330"/>
      <c r="Q79" s="1331"/>
    </row>
    <row r="80" spans="1:31" ht="12.75" customHeight="1">
      <c r="A80" s="874"/>
      <c r="B80" s="371" t="s">
        <v>2176</v>
      </c>
      <c r="C80" s="33" t="s">
        <v>3674</v>
      </c>
      <c r="D80" s="783"/>
      <c r="E80" s="783"/>
      <c r="F80" s="783"/>
      <c r="G80" s="783"/>
      <c r="H80" s="783"/>
      <c r="I80" s="783"/>
      <c r="J80" s="783"/>
      <c r="K80" s="783"/>
      <c r="L80" s="783"/>
      <c r="M80" s="783"/>
      <c r="O80" s="128" t="s">
        <v>2176</v>
      </c>
      <c r="P80" s="777"/>
      <c r="Q80" s="419"/>
    </row>
    <row r="81" spans="1:31" ht="12.75" customHeight="1">
      <c r="A81" s="874"/>
      <c r="B81" s="371" t="s">
        <v>1446</v>
      </c>
      <c r="C81" s="33" t="s">
        <v>2995</v>
      </c>
      <c r="D81" s="783"/>
      <c r="E81" s="783"/>
      <c r="F81" s="783"/>
      <c r="G81" s="783"/>
      <c r="H81" s="783"/>
      <c r="I81" s="783"/>
      <c r="J81" s="783"/>
      <c r="K81" s="783"/>
      <c r="L81" s="783"/>
      <c r="M81" s="783"/>
      <c r="O81" s="128" t="s">
        <v>1446</v>
      </c>
      <c r="P81" s="299"/>
      <c r="Q81" s="419"/>
    </row>
    <row r="82" spans="1:31" ht="12.75" customHeight="1">
      <c r="A82" s="874"/>
      <c r="B82" s="371" t="s">
        <v>1447</v>
      </c>
      <c r="C82" s="33" t="s">
        <v>2996</v>
      </c>
      <c r="D82" s="783"/>
      <c r="E82" s="783"/>
      <c r="F82" s="783"/>
      <c r="G82" s="783"/>
      <c r="H82" s="783"/>
      <c r="I82" s="783"/>
      <c r="J82" s="783"/>
      <c r="K82" s="783"/>
      <c r="L82" s="783"/>
      <c r="M82" s="783"/>
      <c r="O82" s="128" t="s">
        <v>1447</v>
      </c>
      <c r="P82" s="299"/>
      <c r="Q82" s="419"/>
    </row>
    <row r="83" spans="1:31" ht="12.75" customHeight="1">
      <c r="A83" s="874"/>
      <c r="B83" s="371" t="s">
        <v>93</v>
      </c>
      <c r="C83" s="33" t="s">
        <v>2552</v>
      </c>
      <c r="D83" s="33"/>
      <c r="E83" s="33"/>
      <c r="F83" s="33"/>
      <c r="G83" s="33"/>
      <c r="H83" s="33"/>
      <c r="I83" s="33"/>
      <c r="J83" s="33"/>
      <c r="K83" s="33"/>
      <c r="L83" s="33"/>
      <c r="M83" s="901"/>
      <c r="O83" s="128" t="s">
        <v>93</v>
      </c>
      <c r="P83" s="299"/>
      <c r="Q83" s="419"/>
    </row>
    <row r="84" spans="1:31" s="102" customFormat="1" ht="23.25" customHeight="1">
      <c r="A84" s="346"/>
      <c r="B84" s="371" t="s">
        <v>480</v>
      </c>
      <c r="C84" s="4243" t="s">
        <v>3822</v>
      </c>
      <c r="D84" s="4243"/>
      <c r="E84" s="4243"/>
      <c r="F84" s="4243"/>
      <c r="G84" s="4243"/>
      <c r="H84" s="4243"/>
      <c r="I84" s="4243"/>
      <c r="J84" s="4243"/>
      <c r="K84" s="4243"/>
      <c r="L84" s="4243"/>
      <c r="M84" s="4243"/>
      <c r="N84" s="4243"/>
      <c r="O84" s="128" t="s">
        <v>480</v>
      </c>
      <c r="P84" s="879"/>
      <c r="Q84" s="878"/>
    </row>
    <row r="85" spans="1:31" ht="12.75" customHeight="1">
      <c r="A85" s="40" t="s">
        <v>1838</v>
      </c>
      <c r="B85" s="29" t="s">
        <v>3821</v>
      </c>
      <c r="C85" s="29"/>
      <c r="E85" s="29"/>
      <c r="F85" s="29"/>
      <c r="G85" s="29"/>
      <c r="H85" s="29"/>
      <c r="I85" s="29"/>
      <c r="J85" s="29"/>
      <c r="K85" s="29"/>
      <c r="L85" s="29"/>
      <c r="M85" s="29"/>
      <c r="O85" s="48" t="s">
        <v>1838</v>
      </c>
      <c r="P85" s="1215"/>
      <c r="Q85" s="1216"/>
    </row>
    <row r="86" spans="1:31" ht="12.75" customHeight="1">
      <c r="B86" s="1155" t="s">
        <v>1611</v>
      </c>
      <c r="C86" s="29" t="s">
        <v>3940</v>
      </c>
      <c r="D86" s="29"/>
      <c r="E86" s="29"/>
      <c r="F86" s="29"/>
      <c r="G86" s="29"/>
      <c r="H86" s="29"/>
      <c r="I86" s="29"/>
      <c r="J86" s="29"/>
      <c r="K86" s="29"/>
      <c r="L86" s="29"/>
      <c r="M86" s="29"/>
      <c r="O86" s="117" t="s">
        <v>1611</v>
      </c>
      <c r="P86" s="1215"/>
      <c r="Q86" s="1216"/>
    </row>
    <row r="87" spans="1:31" ht="12.75" customHeight="1">
      <c r="A87" s="40"/>
      <c r="B87" s="113" t="s">
        <v>1612</v>
      </c>
      <c r="C87" s="29" t="s">
        <v>3939</v>
      </c>
      <c r="D87" s="29"/>
      <c r="E87" s="29"/>
      <c r="F87" s="29"/>
      <c r="G87" s="29"/>
      <c r="H87" s="29"/>
      <c r="I87" s="29"/>
      <c r="J87" s="29"/>
      <c r="K87" s="29"/>
      <c r="L87" s="29"/>
      <c r="M87" s="29"/>
      <c r="O87" s="49" t="s">
        <v>1612</v>
      </c>
      <c r="P87" s="1328"/>
      <c r="Q87" s="1327"/>
    </row>
    <row r="88" spans="1:31" ht="10.5" customHeight="1">
      <c r="B88" s="109" t="s">
        <v>3157</v>
      </c>
      <c r="D88" s="109"/>
      <c r="E88" s="109"/>
      <c r="F88" s="109"/>
      <c r="G88" s="109"/>
      <c r="H88" s="33"/>
      <c r="I88" s="874"/>
      <c r="J88" s="874"/>
      <c r="K88" s="874"/>
      <c r="L88" s="671"/>
      <c r="M88" s="671"/>
      <c r="N88" s="671"/>
      <c r="O88" s="671"/>
      <c r="P88" s="671"/>
      <c r="Q88" s="671"/>
    </row>
    <row r="89" spans="1:31" ht="22.5" customHeight="1">
      <c r="A89" s="4240"/>
      <c r="B89" s="4241"/>
      <c r="C89" s="4241"/>
      <c r="D89" s="4241"/>
      <c r="E89" s="4241"/>
      <c r="F89" s="4241"/>
      <c r="G89" s="4241"/>
      <c r="H89" s="4241"/>
      <c r="I89" s="4241"/>
      <c r="J89" s="4241"/>
      <c r="K89" s="4241"/>
      <c r="L89" s="4241"/>
      <c r="M89" s="4241"/>
      <c r="N89" s="4241"/>
      <c r="O89" s="4241"/>
      <c r="P89" s="4241"/>
      <c r="Q89" s="4242"/>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4244"/>
      <c r="B91" s="4245"/>
      <c r="C91" s="4245"/>
      <c r="D91" s="4245"/>
      <c r="E91" s="4245"/>
      <c r="F91" s="4245"/>
      <c r="G91" s="4245"/>
      <c r="H91" s="4245"/>
      <c r="I91" s="4245"/>
      <c r="J91" s="4245"/>
      <c r="K91" s="4245"/>
      <c r="L91" s="4245"/>
      <c r="M91" s="4245"/>
      <c r="N91" s="4245"/>
      <c r="O91" s="4245"/>
      <c r="P91" s="4245"/>
      <c r="Q91" s="4246"/>
    </row>
    <row r="92" spans="1:31" ht="14.15" customHeight="1">
      <c r="A92" s="2" t="s">
        <v>719</v>
      </c>
      <c r="B92" s="2" t="s">
        <v>2417</v>
      </c>
      <c r="C92" s="33"/>
      <c r="D92" s="870"/>
      <c r="E92" s="870"/>
      <c r="F92" s="870"/>
      <c r="G92" s="870"/>
      <c r="H92" s="870"/>
      <c r="I92" s="870"/>
      <c r="J92" s="870"/>
      <c r="K92" s="870"/>
      <c r="L92" s="870"/>
      <c r="M92" s="870"/>
      <c r="N92" s="841" t="s">
        <v>4422</v>
      </c>
      <c r="O92" s="101" t="s">
        <v>1726</v>
      </c>
      <c r="P92" s="4261"/>
      <c r="Q92" s="4250"/>
      <c r="R92" s="843" t="s">
        <v>4409</v>
      </c>
    </row>
    <row r="93" spans="1:31" ht="6.65" customHeight="1"/>
    <row r="94" spans="1:31">
      <c r="A94" s="40" t="s">
        <v>1836</v>
      </c>
      <c r="B94" s="29" t="s">
        <v>4079</v>
      </c>
      <c r="D94" s="103"/>
      <c r="E94" s="103"/>
      <c r="F94" s="103"/>
      <c r="G94" s="103"/>
      <c r="H94" s="103"/>
      <c r="I94" s="35"/>
      <c r="J94" s="35"/>
      <c r="K94" s="48" t="s">
        <v>1836</v>
      </c>
      <c r="L94" s="4394"/>
      <c r="M94" s="4394"/>
      <c r="N94" s="4394"/>
      <c r="O94" s="4394"/>
      <c r="P94" s="4395"/>
      <c r="Q94" s="1682"/>
    </row>
    <row r="95" spans="1:31" ht="12" customHeight="1">
      <c r="B95" s="44" t="s">
        <v>4516</v>
      </c>
      <c r="O95" s="49" t="s">
        <v>1612</v>
      </c>
      <c r="P95" s="299"/>
      <c r="Q95" s="419"/>
    </row>
    <row r="96" spans="1:31" ht="12" customHeight="1">
      <c r="B96" s="44" t="s">
        <v>4410</v>
      </c>
      <c r="I96" s="44" t="s">
        <v>4412</v>
      </c>
      <c r="K96" s="1690"/>
      <c r="L96" s="1691"/>
      <c r="N96" s="44" t="s">
        <v>4411</v>
      </c>
      <c r="P96" s="1688"/>
      <c r="Q96" s="1689"/>
    </row>
    <row r="97" spans="1:17" ht="12" customHeight="1">
      <c r="A97" s="40" t="s">
        <v>1838</v>
      </c>
      <c r="B97" s="29" t="s">
        <v>4521</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4298"/>
      <c r="M99" s="4298"/>
      <c r="N99" s="4298"/>
      <c r="O99" s="4298"/>
      <c r="P99" s="4299"/>
      <c r="Q99" s="419"/>
    </row>
    <row r="100" spans="1:17" ht="12" customHeight="1">
      <c r="A100" s="107"/>
      <c r="B100" s="113" t="s">
        <v>1612</v>
      </c>
      <c r="C100" s="29" t="s">
        <v>2997</v>
      </c>
      <c r="E100" s="35"/>
      <c r="F100" s="35"/>
      <c r="G100" s="35"/>
      <c r="H100" s="29"/>
      <c r="I100" s="35"/>
      <c r="J100" s="35"/>
      <c r="K100" s="103"/>
      <c r="L100" s="1442"/>
      <c r="M100" s="1442"/>
      <c r="N100" s="1439"/>
      <c r="O100" s="1687" t="s">
        <v>1612</v>
      </c>
      <c r="P100" s="777"/>
      <c r="Q100" s="704"/>
    </row>
    <row r="101" spans="1:17" ht="12" customHeight="1">
      <c r="A101" s="107"/>
      <c r="B101" s="33" t="s">
        <v>1613</v>
      </c>
      <c r="C101" s="29" t="s">
        <v>3661</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4509</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4510</v>
      </c>
      <c r="E104" s="103"/>
      <c r="F104" s="103"/>
      <c r="G104" s="103"/>
      <c r="H104" s="72"/>
      <c r="I104" s="72"/>
      <c r="J104" s="72"/>
      <c r="K104" s="103"/>
      <c r="L104" s="872"/>
      <c r="M104" s="872"/>
      <c r="O104" s="48" t="s">
        <v>1612</v>
      </c>
      <c r="P104" s="299"/>
      <c r="Q104" s="419"/>
    </row>
    <row r="105" spans="1:17" s="115" customFormat="1" ht="12" customHeight="1">
      <c r="A105" s="40"/>
      <c r="B105" s="33"/>
      <c r="C105" s="29" t="s">
        <v>4511</v>
      </c>
      <c r="E105" s="48" t="s">
        <v>2234</v>
      </c>
      <c r="F105" s="29" t="s">
        <v>4512</v>
      </c>
      <c r="G105" s="72"/>
      <c r="H105" s="29"/>
      <c r="I105" s="72"/>
      <c r="J105" s="72"/>
      <c r="K105" s="103"/>
      <c r="L105" s="872"/>
      <c r="M105" s="872"/>
      <c r="O105" s="48" t="s">
        <v>2234</v>
      </c>
      <c r="P105" s="1756"/>
      <c r="Q105" s="1757"/>
    </row>
    <row r="106" spans="1:17" s="115" customFormat="1" ht="12" customHeight="1">
      <c r="A106" s="40"/>
      <c r="B106" s="33"/>
      <c r="E106" s="48" t="s">
        <v>2235</v>
      </c>
      <c r="F106" s="29" t="s">
        <v>4513</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4511</v>
      </c>
      <c r="E108" s="48" t="s">
        <v>2234</v>
      </c>
      <c r="F108" s="29" t="s">
        <v>4514</v>
      </c>
      <c r="G108" s="72"/>
      <c r="H108" s="29"/>
      <c r="I108" s="72"/>
      <c r="J108" s="72"/>
      <c r="K108" s="103"/>
      <c r="L108" s="872"/>
      <c r="O108" s="48" t="s">
        <v>2234</v>
      </c>
      <c r="P108" s="1756"/>
      <c r="Q108" s="1757"/>
    </row>
    <row r="109" spans="1:17" s="115" customFormat="1" ht="12" customHeight="1">
      <c r="A109" s="40"/>
      <c r="B109" s="48"/>
      <c r="E109" s="48" t="s">
        <v>2235</v>
      </c>
      <c r="F109" s="29" t="s">
        <v>4515</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3734</v>
      </c>
      <c r="I111" s="29" t="s">
        <v>2494</v>
      </c>
      <c r="J111" s="1215"/>
      <c r="K111" s="1216"/>
      <c r="L111" s="48" t="s">
        <v>3738</v>
      </c>
      <c r="M111" s="108" t="s">
        <v>4084</v>
      </c>
      <c r="P111" s="1215"/>
      <c r="Q111" s="1216"/>
    </row>
    <row r="112" spans="1:17" ht="12.75" customHeight="1">
      <c r="B112" s="113" t="s">
        <v>1612</v>
      </c>
      <c r="C112" s="29" t="s">
        <v>4080</v>
      </c>
      <c r="E112" s="103"/>
      <c r="F112" s="299"/>
      <c r="G112" s="419"/>
      <c r="H112" s="48" t="s">
        <v>3735</v>
      </c>
      <c r="I112" s="29" t="s">
        <v>4005</v>
      </c>
      <c r="J112" s="299"/>
      <c r="K112" s="419"/>
      <c r="L112" s="48" t="s">
        <v>3739</v>
      </c>
      <c r="M112" s="44" t="s">
        <v>3198</v>
      </c>
      <c r="O112" s="872"/>
      <c r="P112" s="299"/>
      <c r="Q112" s="419"/>
    </row>
    <row r="113" spans="1:31" ht="12" customHeight="1">
      <c r="A113" s="29"/>
      <c r="B113" s="113" t="s">
        <v>1613</v>
      </c>
      <c r="C113" s="29" t="s">
        <v>4081</v>
      </c>
      <c r="E113" s="103"/>
      <c r="F113" s="299"/>
      <c r="G113" s="419"/>
      <c r="H113" s="48" t="s">
        <v>3736</v>
      </c>
      <c r="I113" s="29" t="s">
        <v>4006</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4082</v>
      </c>
      <c r="J114" s="176"/>
      <c r="K114" s="420"/>
      <c r="L114" s="48" t="s">
        <v>4083</v>
      </c>
      <c r="M114" s="44" t="s">
        <v>4007</v>
      </c>
      <c r="P114" s="176"/>
      <c r="Q114" s="420"/>
    </row>
    <row r="115" spans="1:31" ht="12" customHeight="1">
      <c r="A115" s="29"/>
      <c r="B115" s="48" t="s">
        <v>4413</v>
      </c>
      <c r="C115" s="29" t="s">
        <v>2495</v>
      </c>
      <c r="E115" s="103"/>
      <c r="F115" s="103"/>
      <c r="G115" s="103"/>
      <c r="H115" s="103"/>
      <c r="I115" s="103"/>
      <c r="J115" s="103"/>
      <c r="K115" s="103"/>
      <c r="L115" s="103"/>
      <c r="M115" s="29"/>
      <c r="O115" s="49"/>
      <c r="P115" s="49"/>
    </row>
    <row r="116" spans="1:31" ht="12" customHeight="1">
      <c r="A116" s="29"/>
      <c r="C116" s="4279"/>
      <c r="D116" s="4279"/>
      <c r="E116" s="4279"/>
      <c r="F116" s="4279"/>
      <c r="G116" s="4279"/>
      <c r="H116" s="4279"/>
      <c r="I116" s="4279"/>
      <c r="J116" s="4279"/>
      <c r="K116" s="4279"/>
      <c r="L116" s="4279"/>
      <c r="M116" s="4279"/>
      <c r="N116" s="4279"/>
      <c r="O116" s="4279"/>
      <c r="P116" s="4279"/>
      <c r="Q116" s="4279"/>
    </row>
    <row r="117" spans="1:31" ht="12" customHeight="1">
      <c r="A117" s="110" t="s">
        <v>1610</v>
      </c>
      <c r="B117" s="29" t="s">
        <v>3055</v>
      </c>
      <c r="D117" s="103"/>
      <c r="E117" s="103"/>
      <c r="F117" s="103"/>
      <c r="G117" s="103"/>
      <c r="H117" s="103"/>
      <c r="I117" s="35"/>
      <c r="J117" s="35"/>
      <c r="K117" s="103"/>
      <c r="L117" s="103"/>
      <c r="M117" s="872"/>
    </row>
    <row r="118" spans="1:31" ht="12.75" customHeight="1">
      <c r="A118" s="35"/>
      <c r="B118" s="113" t="s">
        <v>1611</v>
      </c>
      <c r="C118" s="29" t="s">
        <v>2496</v>
      </c>
      <c r="E118" s="103"/>
      <c r="F118" s="103"/>
      <c r="G118" s="103"/>
      <c r="H118" s="103"/>
      <c r="O118" s="48" t="s">
        <v>4517</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3722</v>
      </c>
      <c r="E121" s="29"/>
      <c r="F121" s="29"/>
      <c r="G121" s="29"/>
      <c r="H121" s="29"/>
      <c r="I121" s="35"/>
      <c r="J121" s="35"/>
      <c r="K121" s="29"/>
      <c r="L121" s="29"/>
      <c r="M121" s="29"/>
      <c r="O121" s="48" t="s">
        <v>2176</v>
      </c>
      <c r="P121" s="176"/>
      <c r="Q121" s="420"/>
    </row>
    <row r="122" spans="1:31" ht="12" customHeight="1">
      <c r="A122" s="67" t="s">
        <v>3823</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4243" t="s">
        <v>141</v>
      </c>
      <c r="C123" s="4243"/>
      <c r="D123" s="4243"/>
      <c r="E123" s="4243"/>
      <c r="F123" s="4243"/>
      <c r="G123" s="4243"/>
      <c r="H123" s="4243"/>
      <c r="I123" s="4243"/>
      <c r="J123" s="4243"/>
      <c r="K123" s="4243"/>
      <c r="L123" s="4243"/>
      <c r="M123" s="128" t="s">
        <v>1803</v>
      </c>
      <c r="N123" s="4257" t="s">
        <v>1641</v>
      </c>
      <c r="O123" s="4258"/>
      <c r="P123" s="4259" t="s">
        <v>1641</v>
      </c>
      <c r="Q123" s="4260"/>
    </row>
    <row r="124" spans="1:31" ht="11.25" customHeight="1">
      <c r="B124" s="109" t="s">
        <v>3157</v>
      </c>
      <c r="D124" s="109"/>
      <c r="E124" s="109"/>
      <c r="F124" s="109"/>
      <c r="G124" s="109"/>
      <c r="H124" s="33"/>
      <c r="I124" s="874"/>
      <c r="J124" s="874"/>
      <c r="K124" s="874"/>
      <c r="L124" s="671"/>
      <c r="M124" s="671"/>
      <c r="N124" s="671"/>
      <c r="O124" s="671"/>
      <c r="P124" s="671"/>
      <c r="Q124" s="671"/>
    </row>
    <row r="125" spans="1:31" ht="45" customHeight="1">
      <c r="A125" s="4240"/>
      <c r="B125" s="4241"/>
      <c r="C125" s="4241"/>
      <c r="D125" s="4241"/>
      <c r="E125" s="4241"/>
      <c r="F125" s="4241"/>
      <c r="G125" s="4241"/>
      <c r="H125" s="4241"/>
      <c r="I125" s="4241"/>
      <c r="J125" s="4241"/>
      <c r="K125" s="4241"/>
      <c r="L125" s="4241"/>
      <c r="M125" s="4241"/>
      <c r="N125" s="4241"/>
      <c r="O125" s="4241"/>
      <c r="P125" s="4241"/>
      <c r="Q125" s="4242"/>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4244"/>
      <c r="B128" s="4245"/>
      <c r="C128" s="4245"/>
      <c r="D128" s="4245"/>
      <c r="E128" s="4245"/>
      <c r="F128" s="4245"/>
      <c r="G128" s="4245"/>
      <c r="H128" s="4245"/>
      <c r="I128" s="4245"/>
      <c r="J128" s="4245"/>
      <c r="K128" s="4245"/>
      <c r="L128" s="4245"/>
      <c r="M128" s="4245"/>
      <c r="N128" s="4245"/>
      <c r="O128" s="4245"/>
      <c r="P128" s="4245"/>
      <c r="Q128" s="4246"/>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5" customHeight="1">
      <c r="A130" s="2" t="s">
        <v>280</v>
      </c>
      <c r="B130" s="2" t="s">
        <v>2418</v>
      </c>
      <c r="C130" s="2"/>
      <c r="D130" s="870"/>
      <c r="E130" s="870"/>
      <c r="F130" s="870"/>
      <c r="G130" s="870"/>
      <c r="H130" s="870"/>
      <c r="I130" s="870"/>
      <c r="J130" s="870"/>
      <c r="K130" s="870"/>
      <c r="N130" s="841" t="s">
        <v>4422</v>
      </c>
      <c r="O130" s="101" t="s">
        <v>1726</v>
      </c>
      <c r="P130" s="4261"/>
      <c r="Q130" s="4250"/>
      <c r="R130" s="843" t="s">
        <v>4409</v>
      </c>
    </row>
    <row r="131" spans="1:31" ht="12" customHeight="1">
      <c r="A131" s="40" t="s">
        <v>1836</v>
      </c>
      <c r="B131" s="113" t="s">
        <v>1611</v>
      </c>
      <c r="C131" s="29" t="s">
        <v>4424</v>
      </c>
      <c r="D131" s="29"/>
      <c r="E131" s="29"/>
      <c r="F131" s="29"/>
      <c r="G131" s="29"/>
      <c r="K131" s="29" t="s">
        <v>2454</v>
      </c>
      <c r="M131" s="4286"/>
      <c r="N131" s="4287"/>
      <c r="O131" s="49" t="s">
        <v>1611</v>
      </c>
      <c r="P131" s="74"/>
      <c r="Q131" s="416"/>
    </row>
    <row r="132" spans="1:31" ht="12" customHeight="1">
      <c r="A132" s="40"/>
      <c r="B132" s="113" t="s">
        <v>1612</v>
      </c>
      <c r="C132" s="29" t="s">
        <v>3923</v>
      </c>
      <c r="D132" s="29"/>
      <c r="E132" s="29"/>
      <c r="F132" s="29"/>
      <c r="G132" s="29"/>
      <c r="K132" s="29" t="s">
        <v>2454</v>
      </c>
      <c r="M132" s="4286"/>
      <c r="N132" s="4287"/>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4334" t="s">
        <v>4677</v>
      </c>
      <c r="N133" s="4335"/>
      <c r="P133" s="4336" t="s">
        <v>1641</v>
      </c>
      <c r="Q133" s="4337"/>
    </row>
    <row r="134" spans="1:31" ht="12" customHeight="1">
      <c r="A134" s="40" t="s">
        <v>697</v>
      </c>
      <c r="B134" s="108" t="s">
        <v>635</v>
      </c>
      <c r="D134" s="108"/>
      <c r="E134" s="108"/>
      <c r="F134" s="108"/>
      <c r="G134" s="108"/>
      <c r="H134" s="108"/>
      <c r="J134" s="48" t="s">
        <v>697</v>
      </c>
      <c r="K134" s="4307"/>
      <c r="L134" s="4308"/>
      <c r="M134" s="4308"/>
      <c r="N134" s="4308"/>
      <c r="O134" s="4308"/>
      <c r="P134" s="4309"/>
      <c r="Q134" s="416"/>
    </row>
    <row r="135" spans="1:31" ht="21.75" customHeight="1">
      <c r="A135" s="110" t="s">
        <v>1957</v>
      </c>
      <c r="B135" s="4243" t="s">
        <v>4085</v>
      </c>
      <c r="C135" s="4243"/>
      <c r="D135" s="4243"/>
      <c r="E135" s="4243"/>
      <c r="F135" s="4243"/>
      <c r="G135" s="4243"/>
      <c r="H135" s="4243"/>
      <c r="I135" s="4243"/>
      <c r="J135" s="4243"/>
      <c r="K135" s="4243"/>
      <c r="L135" s="4243"/>
      <c r="M135" s="4243"/>
      <c r="N135" s="4243"/>
      <c r="O135" s="128" t="s">
        <v>1957</v>
      </c>
      <c r="P135" s="879"/>
      <c r="Q135" s="878"/>
    </row>
    <row r="136" spans="1:31" ht="12" customHeight="1">
      <c r="B136" s="109" t="s">
        <v>3157</v>
      </c>
      <c r="D136" s="109"/>
      <c r="E136" s="109"/>
      <c r="F136" s="109"/>
      <c r="G136" s="109"/>
      <c r="H136" s="33"/>
      <c r="I136" s="874"/>
      <c r="J136" s="874"/>
      <c r="K136" s="874"/>
      <c r="L136" s="671"/>
      <c r="M136" s="671"/>
      <c r="N136" s="671"/>
      <c r="O136" s="671"/>
      <c r="P136" s="671"/>
      <c r="Q136" s="671"/>
    </row>
    <row r="137" spans="1:31" ht="11.65" customHeight="1">
      <c r="A137" s="4240"/>
      <c r="B137" s="4241"/>
      <c r="C137" s="4241"/>
      <c r="D137" s="4241"/>
      <c r="E137" s="4241"/>
      <c r="F137" s="4241"/>
      <c r="G137" s="4241"/>
      <c r="H137" s="4241"/>
      <c r="I137" s="4241"/>
      <c r="J137" s="4241"/>
      <c r="K137" s="4241"/>
      <c r="L137" s="4241"/>
      <c r="M137" s="4241"/>
      <c r="N137" s="4241"/>
      <c r="O137" s="4241"/>
      <c r="P137" s="4241"/>
      <c r="Q137" s="4242"/>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65" customHeight="1">
      <c r="A139" s="4244"/>
      <c r="B139" s="4245"/>
      <c r="C139" s="4245"/>
      <c r="D139" s="4245"/>
      <c r="E139" s="4245"/>
      <c r="F139" s="4245"/>
      <c r="G139" s="4245"/>
      <c r="H139" s="4245"/>
      <c r="I139" s="4245"/>
      <c r="J139" s="4245"/>
      <c r="K139" s="4245"/>
      <c r="L139" s="4245"/>
      <c r="M139" s="4245"/>
      <c r="N139" s="4245"/>
      <c r="O139" s="4245"/>
      <c r="P139" s="4245"/>
      <c r="Q139" s="4246"/>
    </row>
    <row r="140" spans="1:31" ht="3" customHeight="1">
      <c r="A140" s="671"/>
      <c r="B140" s="874"/>
      <c r="C140" s="870"/>
      <c r="D140" s="870"/>
      <c r="E140" s="870"/>
      <c r="F140" s="870"/>
      <c r="G140" s="870"/>
      <c r="H140" s="870"/>
      <c r="I140" s="870"/>
      <c r="J140" s="870"/>
      <c r="K140" s="870"/>
      <c r="L140" s="870"/>
      <c r="M140" s="870"/>
      <c r="Q140" s="671"/>
    </row>
    <row r="141" spans="1:31" ht="14.15" customHeight="1">
      <c r="A141" s="2" t="s">
        <v>400</v>
      </c>
      <c r="B141" s="2" t="s">
        <v>2419</v>
      </c>
      <c r="C141" s="2"/>
      <c r="D141" s="870"/>
      <c r="E141" s="870"/>
      <c r="F141" s="870"/>
      <c r="G141" s="870"/>
      <c r="H141" s="870"/>
      <c r="I141" s="870"/>
      <c r="J141" s="870"/>
      <c r="K141" s="870"/>
      <c r="L141" s="870"/>
      <c r="M141" s="870"/>
      <c r="O141" s="101" t="s">
        <v>1726</v>
      </c>
      <c r="P141" s="4261"/>
      <c r="Q141" s="4250"/>
    </row>
    <row r="142" spans="1:31" ht="21.75" customHeight="1">
      <c r="A142" s="110" t="s">
        <v>1836</v>
      </c>
      <c r="B142" s="4243" t="s">
        <v>3150</v>
      </c>
      <c r="C142" s="4243"/>
      <c r="D142" s="4243"/>
      <c r="E142" s="4243"/>
      <c r="F142" s="4243"/>
      <c r="G142" s="4243"/>
      <c r="H142" s="4243"/>
      <c r="I142" s="4243"/>
      <c r="J142" s="4243"/>
      <c r="K142" s="4243"/>
      <c r="L142" s="4243"/>
      <c r="M142" s="4243"/>
      <c r="N142" s="4243"/>
      <c r="O142" s="128" t="s">
        <v>1836</v>
      </c>
      <c r="P142" s="877"/>
      <c r="Q142" s="876"/>
    </row>
    <row r="143" spans="1:31" ht="22.4" customHeight="1">
      <c r="A143" s="110" t="s">
        <v>1838</v>
      </c>
      <c r="B143" s="4243" t="s">
        <v>3675</v>
      </c>
      <c r="C143" s="4243"/>
      <c r="D143" s="4243"/>
      <c r="E143" s="4243"/>
      <c r="F143" s="4243"/>
      <c r="G143" s="4243"/>
      <c r="H143" s="4243"/>
      <c r="I143" s="4243"/>
      <c r="J143" s="4243"/>
      <c r="K143" s="4243"/>
      <c r="L143" s="4243"/>
      <c r="M143" s="4243"/>
      <c r="N143" s="4243"/>
      <c r="O143" s="128" t="s">
        <v>1838</v>
      </c>
      <c r="P143" s="430"/>
      <c r="Q143" s="421"/>
    </row>
    <row r="144" spans="1:31" ht="22.4" customHeight="1">
      <c r="A144" s="110" t="s">
        <v>697</v>
      </c>
      <c r="B144" s="4243" t="s">
        <v>3151</v>
      </c>
      <c r="C144" s="4243"/>
      <c r="D144" s="4243"/>
      <c r="E144" s="4243"/>
      <c r="F144" s="4243"/>
      <c r="G144" s="4243"/>
      <c r="H144" s="4243"/>
      <c r="I144" s="4243"/>
      <c r="J144" s="4243"/>
      <c r="K144" s="4243"/>
      <c r="L144" s="4243"/>
      <c r="M144" s="4243"/>
      <c r="N144" s="4243"/>
      <c r="O144" s="128" t="s">
        <v>697</v>
      </c>
      <c r="P144" s="430"/>
      <c r="Q144" s="421"/>
    </row>
    <row r="145" spans="1:44" ht="21.75" customHeight="1">
      <c r="A145" s="110" t="s">
        <v>1957</v>
      </c>
      <c r="B145" s="4243" t="s">
        <v>3708</v>
      </c>
      <c r="C145" s="4243"/>
      <c r="D145" s="4243"/>
      <c r="E145" s="4243"/>
      <c r="F145" s="4243"/>
      <c r="G145" s="4243"/>
      <c r="H145" s="4243"/>
      <c r="I145" s="4243"/>
      <c r="J145" s="4243"/>
      <c r="K145" s="4243"/>
      <c r="L145" s="4243"/>
      <c r="M145" s="4243"/>
      <c r="N145" s="4243"/>
      <c r="O145" s="128" t="s">
        <v>1957</v>
      </c>
      <c r="P145" s="879"/>
      <c r="Q145" s="878"/>
    </row>
    <row r="146" spans="1:44" ht="12" customHeight="1">
      <c r="B146" s="109" t="s">
        <v>3157</v>
      </c>
      <c r="D146" s="109"/>
      <c r="E146" s="109"/>
      <c r="F146" s="109"/>
      <c r="G146" s="109"/>
      <c r="H146" s="33"/>
      <c r="I146" s="874"/>
      <c r="J146" s="874"/>
      <c r="K146" s="874"/>
      <c r="L146" s="671"/>
      <c r="M146" s="671"/>
      <c r="N146" s="671"/>
      <c r="O146" s="671"/>
      <c r="P146" s="671"/>
      <c r="Q146" s="671"/>
    </row>
    <row r="147" spans="1:44" ht="11.65" customHeight="1">
      <c r="A147" s="4240"/>
      <c r="B147" s="4241"/>
      <c r="C147" s="4241"/>
      <c r="D147" s="4241"/>
      <c r="E147" s="4241"/>
      <c r="F147" s="4241"/>
      <c r="G147" s="4241"/>
      <c r="H147" s="4241"/>
      <c r="I147" s="4241"/>
      <c r="J147" s="4241"/>
      <c r="K147" s="4241"/>
      <c r="L147" s="4241"/>
      <c r="M147" s="4241"/>
      <c r="N147" s="4241"/>
      <c r="O147" s="4241"/>
      <c r="P147" s="4241"/>
      <c r="Q147" s="4242"/>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65" customHeight="1">
      <c r="A149" s="4244"/>
      <c r="B149" s="4245"/>
      <c r="C149" s="4245"/>
      <c r="D149" s="4245"/>
      <c r="E149" s="4245"/>
      <c r="F149" s="4245"/>
      <c r="G149" s="4245"/>
      <c r="H149" s="4245"/>
      <c r="I149" s="4245"/>
      <c r="J149" s="4245"/>
      <c r="K149" s="4245"/>
      <c r="L149" s="4245"/>
      <c r="M149" s="4245"/>
      <c r="N149" s="4245"/>
      <c r="O149" s="4245"/>
      <c r="P149" s="4245"/>
      <c r="Q149" s="4246"/>
    </row>
    <row r="150" spans="1:44" ht="3" customHeight="1">
      <c r="B150" s="874"/>
      <c r="C150" s="870"/>
      <c r="D150" s="870"/>
      <c r="E150" s="870"/>
      <c r="F150" s="870"/>
      <c r="G150" s="870"/>
      <c r="H150" s="870"/>
      <c r="I150" s="870"/>
      <c r="J150" s="870"/>
      <c r="K150" s="870"/>
      <c r="L150" s="870"/>
      <c r="M150" s="870"/>
      <c r="N150" s="870"/>
      <c r="O150" s="870"/>
      <c r="P150" s="870"/>
      <c r="Q150" s="671"/>
    </row>
    <row r="151" spans="1:44" ht="14.15" customHeight="1">
      <c r="A151" s="23" t="s">
        <v>342</v>
      </c>
      <c r="B151" s="3236" t="s">
        <v>2420</v>
      </c>
      <c r="C151" s="3236"/>
      <c r="D151" s="3236"/>
      <c r="E151" s="236"/>
      <c r="N151" s="841" t="s">
        <v>4422</v>
      </c>
      <c r="O151" s="101" t="s">
        <v>1726</v>
      </c>
      <c r="P151" s="4261"/>
      <c r="Q151" s="4250"/>
      <c r="R151" s="843" t="s">
        <v>4409</v>
      </c>
    </row>
    <row r="152" spans="1:44" customFormat="1" ht="11.65" customHeight="1">
      <c r="B152" s="44" t="s">
        <v>4540</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4008</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243" t="s">
        <v>3152</v>
      </c>
      <c r="D158" s="4243"/>
      <c r="E158" s="4243"/>
      <c r="F158" s="4243"/>
      <c r="G158" s="4243"/>
      <c r="H158" s="4243"/>
      <c r="I158" s="4243"/>
      <c r="J158" s="4243"/>
      <c r="K158" s="4243"/>
      <c r="L158" s="4243"/>
      <c r="M158" s="4243"/>
      <c r="N158" s="424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243" t="s">
        <v>2413</v>
      </c>
      <c r="D160" s="4243"/>
      <c r="E160" s="4243"/>
      <c r="F160" s="4243"/>
      <c r="G160" s="4243"/>
      <c r="H160" s="4243"/>
      <c r="I160" s="4243"/>
      <c r="J160" s="4243"/>
      <c r="K160" s="4243"/>
      <c r="L160" s="4243"/>
      <c r="M160" s="4243"/>
      <c r="N160" s="4243"/>
      <c r="O160" s="128" t="s">
        <v>1446</v>
      </c>
      <c r="P160" s="430"/>
      <c r="Q160" s="421"/>
    </row>
    <row r="161" spans="1:44" s="102" customFormat="1" ht="21.75" customHeight="1">
      <c r="A161" s="110"/>
      <c r="B161" s="371" t="s">
        <v>1447</v>
      </c>
      <c r="C161" s="4243" t="s">
        <v>3222</v>
      </c>
      <c r="D161" s="4243"/>
      <c r="E161" s="4243"/>
      <c r="F161" s="4243"/>
      <c r="G161" s="4243"/>
      <c r="H161" s="4243"/>
      <c r="I161" s="4243"/>
      <c r="J161" s="4243"/>
      <c r="K161" s="4243"/>
      <c r="L161" s="4243"/>
      <c r="M161" s="4243"/>
      <c r="N161" s="4243"/>
      <c r="O161" s="128" t="s">
        <v>1447</v>
      </c>
      <c r="P161" s="430"/>
      <c r="Q161" s="421"/>
    </row>
    <row r="162" spans="1:44" ht="21.75" customHeight="1">
      <c r="A162" s="110" t="s">
        <v>1957</v>
      </c>
      <c r="B162" s="4243" t="s">
        <v>2414</v>
      </c>
      <c r="C162" s="4243"/>
      <c r="D162" s="4243"/>
      <c r="E162" s="4243"/>
      <c r="F162" s="4243"/>
      <c r="G162" s="4243"/>
      <c r="H162" s="4243"/>
      <c r="I162" s="4243"/>
      <c r="J162" s="4243"/>
      <c r="K162" s="4243"/>
      <c r="L162" s="4243"/>
      <c r="M162" s="4243"/>
      <c r="N162" s="424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3157</v>
      </c>
      <c r="D164" s="109"/>
      <c r="E164" s="109"/>
      <c r="F164" s="109"/>
      <c r="G164" s="109"/>
      <c r="H164" s="33"/>
      <c r="I164" s="874"/>
      <c r="J164" s="874"/>
      <c r="K164" s="874"/>
      <c r="L164" s="671"/>
      <c r="M164" s="671"/>
      <c r="N164" s="671"/>
      <c r="O164" s="671"/>
      <c r="P164" s="671"/>
      <c r="Q164" s="671"/>
    </row>
    <row r="165" spans="1:44" ht="11.65" customHeight="1">
      <c r="A165" s="4240"/>
      <c r="B165" s="4241"/>
      <c r="C165" s="4241"/>
      <c r="D165" s="4241"/>
      <c r="E165" s="4241"/>
      <c r="F165" s="4241"/>
      <c r="G165" s="4241"/>
      <c r="H165" s="4241"/>
      <c r="I165" s="4241"/>
      <c r="J165" s="4241"/>
      <c r="K165" s="4241"/>
      <c r="L165" s="4241"/>
      <c r="M165" s="4241"/>
      <c r="N165" s="4241"/>
      <c r="O165" s="4241"/>
      <c r="P165" s="4241"/>
      <c r="Q165" s="4242"/>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65" customHeight="1">
      <c r="A167" s="4244"/>
      <c r="B167" s="4245"/>
      <c r="C167" s="4245"/>
      <c r="D167" s="4245"/>
      <c r="E167" s="4245"/>
      <c r="F167" s="4245"/>
      <c r="G167" s="4245"/>
      <c r="H167" s="4245"/>
      <c r="I167" s="4245"/>
      <c r="J167" s="4245"/>
      <c r="K167" s="4245"/>
      <c r="L167" s="4245"/>
      <c r="M167" s="4245"/>
      <c r="N167" s="4245"/>
      <c r="O167" s="4245"/>
      <c r="P167" s="4245"/>
      <c r="Q167" s="4246"/>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5" customHeight="1">
      <c r="A169" s="2" t="s">
        <v>343</v>
      </c>
      <c r="B169" s="2" t="s">
        <v>2421</v>
      </c>
      <c r="C169" s="2"/>
      <c r="D169" s="870"/>
      <c r="E169" s="114"/>
      <c r="F169" s="236"/>
      <c r="G169" s="870"/>
      <c r="J169" s="456"/>
      <c r="K169" s="456"/>
      <c r="L169" s="456"/>
      <c r="M169" s="456"/>
      <c r="N169" s="841" t="s">
        <v>4422</v>
      </c>
      <c r="O169" s="101" t="s">
        <v>1726</v>
      </c>
      <c r="P169" s="4261"/>
      <c r="Q169" s="4250"/>
      <c r="R169" s="843" t="s">
        <v>4409</v>
      </c>
    </row>
    <row r="170" spans="1:44" customFormat="1" ht="12.75" customHeight="1">
      <c r="B170" s="44" t="s">
        <v>4540</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338" t="s">
        <v>1705</v>
      </c>
      <c r="K171" s="4339"/>
      <c r="L171" s="4339"/>
      <c r="M171" s="4339"/>
      <c r="N171" s="4346"/>
      <c r="O171" s="49" t="s">
        <v>1611</v>
      </c>
      <c r="P171" s="175"/>
      <c r="Q171" s="418"/>
    </row>
    <row r="172" spans="1:44" ht="12.75" customHeight="1">
      <c r="A172" s="107"/>
      <c r="B172" s="109" t="s">
        <v>3157</v>
      </c>
      <c r="C172" s="82"/>
      <c r="D172" s="82"/>
      <c r="E172" s="82"/>
      <c r="F172" s="82"/>
      <c r="H172" s="49" t="s">
        <v>1612</v>
      </c>
      <c r="I172" s="29" t="s">
        <v>1489</v>
      </c>
      <c r="J172" s="4251" t="s">
        <v>1705</v>
      </c>
      <c r="K172" s="4252"/>
      <c r="L172" s="4252"/>
      <c r="M172" s="4252"/>
      <c r="N172" s="4253"/>
      <c r="O172" s="49" t="s">
        <v>1612</v>
      </c>
      <c r="P172" s="176"/>
      <c r="Q172" s="420"/>
    </row>
    <row r="173" spans="1:44" ht="12.75" customHeight="1">
      <c r="A173" s="4240"/>
      <c r="B173" s="4241"/>
      <c r="C173" s="4241"/>
      <c r="D173" s="4241"/>
      <c r="E173" s="4241"/>
      <c r="F173" s="4241"/>
      <c r="G173" s="4241"/>
      <c r="H173" s="4241"/>
      <c r="I173" s="4241"/>
      <c r="J173" s="4241"/>
      <c r="K173" s="4241"/>
      <c r="L173" s="4241"/>
      <c r="M173" s="4241"/>
      <c r="N173" s="4241"/>
      <c r="O173" s="4241"/>
      <c r="P173" s="4241"/>
      <c r="Q173" s="4242"/>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4244"/>
      <c r="B175" s="4245"/>
      <c r="C175" s="4245"/>
      <c r="D175" s="4245"/>
      <c r="E175" s="4245"/>
      <c r="F175" s="4245"/>
      <c r="G175" s="4245"/>
      <c r="H175" s="4245"/>
      <c r="I175" s="4245"/>
      <c r="J175" s="4245"/>
      <c r="K175" s="4245"/>
      <c r="L175" s="4245"/>
      <c r="M175" s="4245"/>
      <c r="N175" s="4245"/>
      <c r="O175" s="4245"/>
      <c r="P175" s="4245"/>
      <c r="Q175" s="4246"/>
    </row>
    <row r="176" spans="1:44" ht="4.4000000000000004" customHeight="1">
      <c r="B176" s="874"/>
      <c r="C176" s="870"/>
      <c r="D176" s="870"/>
      <c r="E176" s="870"/>
      <c r="F176" s="870"/>
      <c r="G176" s="870"/>
      <c r="H176" s="870"/>
      <c r="I176" s="870"/>
      <c r="J176" s="870"/>
      <c r="K176" s="870"/>
      <c r="L176" s="870"/>
      <c r="M176" s="870"/>
      <c r="Q176" s="671"/>
    </row>
    <row r="177" spans="1:44" ht="14.15" customHeight="1">
      <c r="A177" s="2" t="s">
        <v>344</v>
      </c>
      <c r="B177" s="4" t="s">
        <v>2422</v>
      </c>
      <c r="C177" s="4"/>
      <c r="D177" s="66"/>
      <c r="E177" s="66"/>
      <c r="F177" s="66"/>
      <c r="G177" s="870"/>
      <c r="H177" s="870"/>
      <c r="I177" s="1450"/>
      <c r="J177" s="870"/>
      <c r="K177" s="870"/>
      <c r="L177" s="870"/>
      <c r="M177" s="870"/>
      <c r="N177" s="841" t="s">
        <v>4422</v>
      </c>
      <c r="O177" s="101" t="s">
        <v>1726</v>
      </c>
      <c r="P177" s="4261"/>
      <c r="Q177" s="4250"/>
      <c r="R177" s="843" t="s">
        <v>4409</v>
      </c>
    </row>
    <row r="178" spans="1:44" customFormat="1" ht="12.75" customHeight="1">
      <c r="B178" s="44" t="s">
        <v>4540</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4243" t="s">
        <v>1708</v>
      </c>
      <c r="C179" s="4243"/>
      <c r="D179" s="4243"/>
      <c r="E179" s="4243"/>
      <c r="F179" s="4243"/>
      <c r="G179" s="4243"/>
      <c r="H179" s="49" t="s">
        <v>1611</v>
      </c>
      <c r="I179" s="29" t="s">
        <v>591</v>
      </c>
      <c r="J179" s="4338" t="s">
        <v>1705</v>
      </c>
      <c r="K179" s="4339"/>
      <c r="L179" s="4339"/>
      <c r="M179" s="4339"/>
      <c r="N179" s="4346"/>
      <c r="O179" s="128" t="s">
        <v>1389</v>
      </c>
      <c r="P179" s="1215"/>
      <c r="Q179" s="1216"/>
    </row>
    <row r="180" spans="1:44" ht="12.75" customHeight="1">
      <c r="A180" s="118"/>
      <c r="B180" s="4243"/>
      <c r="C180" s="4243"/>
      <c r="D180" s="4243"/>
      <c r="E180" s="4243"/>
      <c r="F180" s="4243"/>
      <c r="G180" s="4243"/>
      <c r="H180" s="49" t="s">
        <v>1612</v>
      </c>
      <c r="I180" s="29" t="s">
        <v>110</v>
      </c>
      <c r="J180" s="4251" t="s">
        <v>1705</v>
      </c>
      <c r="K180" s="4252"/>
      <c r="L180" s="4252"/>
      <c r="M180" s="4252"/>
      <c r="N180" s="4253"/>
      <c r="O180" s="128" t="s">
        <v>1612</v>
      </c>
      <c r="P180" s="1651"/>
      <c r="Q180" s="672"/>
    </row>
    <row r="181" spans="1:44" ht="12.75" customHeight="1">
      <c r="A181" s="40" t="s">
        <v>1838</v>
      </c>
      <c r="B181" s="113" t="s">
        <v>1611</v>
      </c>
      <c r="C181" s="29" t="s">
        <v>4396</v>
      </c>
      <c r="E181" s="29"/>
      <c r="F181" s="29"/>
      <c r="G181" s="29"/>
      <c r="H181" s="29"/>
      <c r="I181" s="29"/>
      <c r="J181" s="29"/>
      <c r="K181" s="35"/>
      <c r="L181" s="29"/>
      <c r="M181" s="29"/>
      <c r="O181" s="128" t="s">
        <v>4397</v>
      </c>
      <c r="P181" s="1215"/>
      <c r="Q181" s="1216"/>
    </row>
    <row r="182" spans="1:44" ht="12.75" customHeight="1">
      <c r="A182" s="40"/>
      <c r="B182" s="113" t="s">
        <v>1612</v>
      </c>
      <c r="C182" s="29" t="s">
        <v>4395</v>
      </c>
      <c r="D182" s="29"/>
      <c r="E182" s="29"/>
      <c r="F182" s="29"/>
      <c r="G182" s="29"/>
      <c r="H182" s="29"/>
      <c r="I182" s="29"/>
      <c r="J182" s="29"/>
      <c r="K182" s="35"/>
      <c r="L182" s="29"/>
      <c r="M182" s="29"/>
      <c r="O182" s="128" t="s">
        <v>1612</v>
      </c>
      <c r="P182" s="176"/>
      <c r="Q182" s="420"/>
    </row>
    <row r="183" spans="1:44" ht="12.75" customHeight="1">
      <c r="A183" s="40" t="s">
        <v>697</v>
      </c>
      <c r="B183" s="29" t="s">
        <v>4416</v>
      </c>
      <c r="D183" s="29"/>
      <c r="E183" s="29"/>
      <c r="F183" s="29"/>
      <c r="G183" s="29"/>
      <c r="H183" s="29"/>
      <c r="I183" s="29"/>
      <c r="J183" s="29"/>
      <c r="K183" s="35"/>
      <c r="L183" s="29"/>
      <c r="M183" s="29"/>
      <c r="O183" s="48" t="s">
        <v>697</v>
      </c>
      <c r="P183" s="1328"/>
      <c r="Q183" s="1327"/>
    </row>
    <row r="184" spans="1:44" ht="12.75" customHeight="1">
      <c r="B184" s="109" t="s">
        <v>3157</v>
      </c>
      <c r="D184" s="109"/>
      <c r="E184" s="109"/>
      <c r="F184" s="109"/>
      <c r="G184" s="109"/>
      <c r="H184" s="33"/>
      <c r="I184" s="874"/>
      <c r="J184" s="874"/>
      <c r="K184" s="874"/>
      <c r="L184" s="671"/>
      <c r="M184" s="671"/>
      <c r="N184" s="671"/>
      <c r="O184" s="671"/>
      <c r="P184" s="671"/>
      <c r="Q184" s="671"/>
    </row>
    <row r="185" spans="1:44" ht="12.75" customHeight="1">
      <c r="A185" s="4240"/>
      <c r="B185" s="4241"/>
      <c r="C185" s="4241"/>
      <c r="D185" s="4241"/>
      <c r="E185" s="4241"/>
      <c r="F185" s="4241"/>
      <c r="G185" s="4241"/>
      <c r="H185" s="4241"/>
      <c r="I185" s="4241"/>
      <c r="J185" s="4241"/>
      <c r="K185" s="4241"/>
      <c r="L185" s="4241"/>
      <c r="M185" s="4241"/>
      <c r="N185" s="4241"/>
      <c r="O185" s="4241"/>
      <c r="P185" s="4241"/>
      <c r="Q185" s="4242"/>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4244"/>
      <c r="B187" s="4245"/>
      <c r="C187" s="4245"/>
      <c r="D187" s="4245"/>
      <c r="E187" s="4245"/>
      <c r="F187" s="4245"/>
      <c r="G187" s="4245"/>
      <c r="H187" s="4245"/>
      <c r="I187" s="4245"/>
      <c r="J187" s="4245"/>
      <c r="K187" s="4245"/>
      <c r="L187" s="4245"/>
      <c r="M187" s="4245"/>
      <c r="N187" s="4245"/>
      <c r="O187" s="4245"/>
      <c r="P187" s="4245"/>
      <c r="Q187" s="4246"/>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5" customHeight="1">
      <c r="A189" s="2" t="s">
        <v>1602</v>
      </c>
      <c r="B189" s="2" t="s">
        <v>2423</v>
      </c>
      <c r="C189" s="89"/>
      <c r="D189" s="870"/>
      <c r="E189" s="870"/>
      <c r="F189" s="870"/>
      <c r="G189" s="870"/>
      <c r="H189" s="870"/>
      <c r="I189" s="870"/>
      <c r="J189" s="870"/>
      <c r="K189" s="870"/>
      <c r="L189" s="870"/>
      <c r="M189" s="870"/>
      <c r="O189" s="101" t="s">
        <v>1726</v>
      </c>
      <c r="P189" s="4261"/>
      <c r="Q189" s="4250"/>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3897</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4338" t="s">
        <v>1641</v>
      </c>
      <c r="L192" s="4346"/>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4601</v>
      </c>
      <c r="E193" s="33"/>
      <c r="F193" s="33"/>
      <c r="G193" s="33"/>
      <c r="H193" s="33"/>
      <c r="I193" s="35"/>
      <c r="J193" s="49" t="s">
        <v>1390</v>
      </c>
      <c r="K193" s="4291" t="s">
        <v>1641</v>
      </c>
      <c r="L193" s="4292"/>
      <c r="Q193" s="4268"/>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265" t="s">
        <v>4086</v>
      </c>
      <c r="D194" s="4266"/>
      <c r="E194" s="4266"/>
      <c r="F194" s="4266"/>
      <c r="G194" s="4266"/>
      <c r="H194" s="4266"/>
      <c r="I194" s="4266"/>
      <c r="J194" s="4266"/>
      <c r="K194" s="4266"/>
      <c r="L194" s="4266"/>
      <c r="M194" s="4266"/>
      <c r="N194" s="4266"/>
      <c r="O194" s="4267"/>
      <c r="Q194" s="4269"/>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3662</v>
      </c>
      <c r="D195" s="115"/>
      <c r="E195" s="33"/>
      <c r="F195" s="33"/>
      <c r="G195" s="33"/>
      <c r="H195" s="33"/>
      <c r="I195" s="72"/>
      <c r="J195" s="48" t="s">
        <v>1391</v>
      </c>
      <c r="K195" s="4288" t="s">
        <v>1641</v>
      </c>
      <c r="L195" s="4289"/>
      <c r="M195" s="4289"/>
      <c r="N195" s="4290"/>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3898</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3729</v>
      </c>
      <c r="D197" s="29"/>
      <c r="E197" s="29"/>
      <c r="F197" s="29"/>
      <c r="G197" s="29"/>
      <c r="H197" s="29"/>
      <c r="I197" s="29"/>
      <c r="J197" s="29"/>
      <c r="K197" s="35"/>
      <c r="L197" s="35"/>
      <c r="M197" s="35"/>
      <c r="N197" s="48" t="s">
        <v>3068</v>
      </c>
      <c r="O197" s="1167" t="e">
        <f>#REF!</f>
        <v>#REF!</v>
      </c>
      <c r="P197" s="4270" t="s">
        <v>3731</v>
      </c>
      <c r="Q197" s="4271"/>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3732</v>
      </c>
      <c r="D198" s="29"/>
      <c r="E198" s="29"/>
      <c r="F198" s="29"/>
      <c r="H198" s="48" t="s">
        <v>3733</v>
      </c>
      <c r="I198" s="29" t="s">
        <v>3742</v>
      </c>
      <c r="M198" s="35"/>
      <c r="N198" s="35"/>
      <c r="O198" s="231"/>
      <c r="P198" s="859" t="s">
        <v>720</v>
      </c>
      <c r="Q198" s="1154" t="s">
        <v>3730</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4272" t="s">
        <v>949</v>
      </c>
      <c r="D199" s="4273"/>
      <c r="E199" s="4273"/>
      <c r="F199" s="4273"/>
      <c r="G199" s="4274"/>
      <c r="H199" s="48" t="s">
        <v>1958</v>
      </c>
      <c r="I199" s="4247" t="s">
        <v>3313</v>
      </c>
      <c r="J199" s="4248"/>
      <c r="K199" s="4248"/>
      <c r="L199" s="4248"/>
      <c r="M199" s="4248"/>
      <c r="N199" s="4248"/>
      <c r="O199" s="4275"/>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4262" t="s">
        <v>949</v>
      </c>
      <c r="D200" s="4263"/>
      <c r="E200" s="4263"/>
      <c r="F200" s="4263"/>
      <c r="G200" s="4264"/>
      <c r="H200" s="48" t="s">
        <v>1959</v>
      </c>
      <c r="I200" s="3125"/>
      <c r="J200" s="3126"/>
      <c r="K200" s="3126"/>
      <c r="L200" s="3126"/>
      <c r="M200" s="3126"/>
      <c r="N200" s="3126"/>
      <c r="O200" s="3128"/>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262" t="s">
        <v>949</v>
      </c>
      <c r="D201" s="4263"/>
      <c r="E201" s="4263"/>
      <c r="F201" s="4263"/>
      <c r="G201" s="4264"/>
      <c r="H201" s="48" t="s">
        <v>1608</v>
      </c>
      <c r="I201" s="3125" t="s">
        <v>3313</v>
      </c>
      <c r="J201" s="3126"/>
      <c r="K201" s="3126"/>
      <c r="L201" s="3126"/>
      <c r="M201" s="3126"/>
      <c r="N201" s="3126"/>
      <c r="O201" s="3128"/>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3741</v>
      </c>
      <c r="C202" s="4293" t="s">
        <v>949</v>
      </c>
      <c r="D202" s="4294"/>
      <c r="E202" s="4294"/>
      <c r="F202" s="4294"/>
      <c r="G202" s="4295"/>
      <c r="H202" s="48" t="s">
        <v>3741</v>
      </c>
      <c r="I202" s="3164"/>
      <c r="J202" s="3165"/>
      <c r="K202" s="3165"/>
      <c r="L202" s="3165"/>
      <c r="M202" s="3165"/>
      <c r="N202" s="3165"/>
      <c r="O202" s="3167"/>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2990</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2497</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4009</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2498</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2499</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43" t="s">
        <v>4626</v>
      </c>
      <c r="D209" s="4243"/>
      <c r="E209" s="4243"/>
      <c r="F209" s="4243"/>
      <c r="G209" s="4243"/>
      <c r="H209" s="4243"/>
      <c r="I209" s="4243"/>
      <c r="J209" s="4243"/>
      <c r="K209" s="4243"/>
      <c r="L209" s="4243"/>
      <c r="M209" s="4243"/>
      <c r="N209" s="4243"/>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3995</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3676</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3157</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40"/>
      <c r="B214" s="4241"/>
      <c r="C214" s="4241"/>
      <c r="D214" s="4241"/>
      <c r="E214" s="4241"/>
      <c r="F214" s="4241"/>
      <c r="G214" s="4241"/>
      <c r="H214" s="4241"/>
      <c r="I214" s="4241"/>
      <c r="J214" s="4241"/>
      <c r="K214" s="4241"/>
      <c r="L214" s="4241"/>
      <c r="M214" s="4241"/>
      <c r="N214" s="4241"/>
      <c r="O214" s="4241"/>
      <c r="P214" s="4241"/>
      <c r="Q214" s="4242"/>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44"/>
      <c r="B216" s="4245"/>
      <c r="C216" s="4245"/>
      <c r="D216" s="4245"/>
      <c r="E216" s="4245"/>
      <c r="F216" s="4245"/>
      <c r="G216" s="4245"/>
      <c r="H216" s="4245"/>
      <c r="I216" s="4245"/>
      <c r="J216" s="4245"/>
      <c r="K216" s="4245"/>
      <c r="L216" s="4245"/>
      <c r="M216" s="4245"/>
      <c r="N216" s="4245"/>
      <c r="O216" s="4245"/>
      <c r="P216" s="4245"/>
      <c r="Q216" s="4246"/>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5" customHeight="1">
      <c r="A217" s="2" t="s">
        <v>2489</v>
      </c>
      <c r="B217" s="2" t="s">
        <v>4010</v>
      </c>
      <c r="C217" s="33"/>
      <c r="D217" s="870"/>
      <c r="E217" s="870"/>
      <c r="F217" s="870"/>
      <c r="G217" s="870"/>
      <c r="H217" s="870"/>
      <c r="I217" s="870"/>
      <c r="J217" s="870"/>
      <c r="K217" s="395" t="s">
        <v>4622</v>
      </c>
      <c r="L217" s="1254" t="e">
        <f>#REF!</f>
        <v>#REF!</v>
      </c>
      <c r="M217" s="870"/>
      <c r="O217" s="101" t="s">
        <v>1726</v>
      </c>
      <c r="P217" s="4261"/>
      <c r="Q217" s="4250"/>
    </row>
    <row r="218" spans="1:44" ht="11.25" customHeight="1">
      <c r="A218" s="110" t="s">
        <v>1836</v>
      </c>
      <c r="B218" s="108" t="s">
        <v>4013</v>
      </c>
    </row>
    <row r="219" spans="1:44" ht="10.5" customHeight="1">
      <c r="A219" s="110"/>
      <c r="B219" s="29" t="s">
        <v>4015</v>
      </c>
      <c r="C219" s="35"/>
      <c r="D219" s="35"/>
      <c r="E219" s="35"/>
      <c r="F219" s="35"/>
      <c r="G219" s="35"/>
      <c r="H219" s="35"/>
      <c r="I219" s="35"/>
      <c r="J219" s="1422" t="s">
        <v>4014</v>
      </c>
      <c r="K219" s="29" t="s">
        <v>4015</v>
      </c>
      <c r="L219" s="35"/>
      <c r="M219" s="35"/>
      <c r="N219" s="35"/>
      <c r="O219" s="35"/>
      <c r="P219" s="35"/>
      <c r="Q219" s="1422" t="s">
        <v>4014</v>
      </c>
    </row>
    <row r="220" spans="1:44" s="102" customFormat="1" ht="11.25" customHeight="1">
      <c r="B220" s="4247"/>
      <c r="C220" s="4248"/>
      <c r="D220" s="4248"/>
      <c r="E220" s="4248"/>
      <c r="F220" s="4248"/>
      <c r="G220" s="4248"/>
      <c r="H220" s="4248"/>
      <c r="I220" s="4248"/>
      <c r="J220" s="1860"/>
      <c r="K220" s="4247"/>
      <c r="L220" s="4248"/>
      <c r="M220" s="4248"/>
      <c r="N220" s="4248"/>
      <c r="O220" s="4248"/>
      <c r="P220" s="4248"/>
      <c r="Q220" s="1860"/>
    </row>
    <row r="221" spans="1:44" s="102" customFormat="1" ht="11.25" customHeight="1">
      <c r="A221" s="110"/>
      <c r="B221" s="3125"/>
      <c r="C221" s="3126"/>
      <c r="D221" s="3126"/>
      <c r="E221" s="3126"/>
      <c r="F221" s="3126"/>
      <c r="G221" s="3126"/>
      <c r="H221" s="3126"/>
      <c r="I221" s="3126"/>
      <c r="J221" s="1861"/>
      <c r="K221" s="3125"/>
      <c r="L221" s="3126"/>
      <c r="M221" s="3126"/>
      <c r="N221" s="3126"/>
      <c r="O221" s="3126"/>
      <c r="P221" s="3126"/>
      <c r="Q221" s="1861"/>
    </row>
    <row r="222" spans="1:44" s="102" customFormat="1" ht="11.25" customHeight="1">
      <c r="A222" s="110"/>
      <c r="B222" s="3125"/>
      <c r="C222" s="3126"/>
      <c r="D222" s="3126"/>
      <c r="E222" s="3126"/>
      <c r="F222" s="3126"/>
      <c r="G222" s="3126"/>
      <c r="H222" s="3126"/>
      <c r="I222" s="3126"/>
      <c r="J222" s="1861"/>
      <c r="K222" s="3125"/>
      <c r="L222" s="3126"/>
      <c r="M222" s="3126"/>
      <c r="N222" s="3126"/>
      <c r="O222" s="3126"/>
      <c r="P222" s="3126"/>
      <c r="Q222" s="1861"/>
    </row>
    <row r="223" spans="1:44" s="102" customFormat="1" ht="11.25" customHeight="1">
      <c r="A223" s="110"/>
      <c r="B223" s="3125"/>
      <c r="C223" s="3126"/>
      <c r="D223" s="3126"/>
      <c r="E223" s="3126"/>
      <c r="F223" s="3126"/>
      <c r="G223" s="3126"/>
      <c r="H223" s="3126"/>
      <c r="I223" s="3126"/>
      <c r="J223" s="1861"/>
      <c r="K223" s="3125"/>
      <c r="L223" s="3126"/>
      <c r="M223" s="3126"/>
      <c r="N223" s="3126"/>
      <c r="O223" s="3126"/>
      <c r="P223" s="3126"/>
      <c r="Q223" s="1861"/>
    </row>
    <row r="224" spans="1:44" s="102" customFormat="1" ht="11.25" customHeight="1">
      <c r="A224" s="110"/>
      <c r="B224" s="3125"/>
      <c r="C224" s="3126"/>
      <c r="D224" s="3126"/>
      <c r="E224" s="3126"/>
      <c r="F224" s="3126"/>
      <c r="G224" s="3126"/>
      <c r="H224" s="3126"/>
      <c r="I224" s="3126"/>
      <c r="J224" s="1861"/>
      <c r="K224" s="3125"/>
      <c r="L224" s="3126"/>
      <c r="M224" s="3126"/>
      <c r="N224" s="3126"/>
      <c r="O224" s="3126"/>
      <c r="P224" s="3126"/>
      <c r="Q224" s="1861"/>
    </row>
    <row r="225" spans="1:44" s="102" customFormat="1" ht="11.25" customHeight="1">
      <c r="A225" s="110"/>
      <c r="B225" s="3125"/>
      <c r="C225" s="3126"/>
      <c r="D225" s="3126"/>
      <c r="E225" s="3126"/>
      <c r="F225" s="3126"/>
      <c r="G225" s="3126"/>
      <c r="H225" s="3126"/>
      <c r="I225" s="3126"/>
      <c r="J225" s="1861"/>
      <c r="K225" s="3125"/>
      <c r="L225" s="3126"/>
      <c r="M225" s="3126"/>
      <c r="N225" s="3126"/>
      <c r="O225" s="3126"/>
      <c r="P225" s="3126"/>
      <c r="Q225" s="1861"/>
    </row>
    <row r="226" spans="1:44" s="102" customFormat="1" ht="11.25" customHeight="1">
      <c r="A226" s="110"/>
      <c r="B226" s="3125"/>
      <c r="C226" s="3126"/>
      <c r="D226" s="3126"/>
      <c r="E226" s="3126"/>
      <c r="F226" s="3126"/>
      <c r="G226" s="3126"/>
      <c r="H226" s="3126"/>
      <c r="I226" s="3126"/>
      <c r="J226" s="1861"/>
      <c r="K226" s="3125"/>
      <c r="L226" s="3126"/>
      <c r="M226" s="3126"/>
      <c r="N226" s="3126"/>
      <c r="O226" s="3126"/>
      <c r="P226" s="3126"/>
      <c r="Q226" s="1861"/>
    </row>
    <row r="227" spans="1:44" s="102" customFormat="1" ht="11.25" customHeight="1">
      <c r="B227" s="3164"/>
      <c r="C227" s="3165"/>
      <c r="D227" s="3165"/>
      <c r="E227" s="3165"/>
      <c r="F227" s="3165"/>
      <c r="G227" s="3165"/>
      <c r="H227" s="3165"/>
      <c r="I227" s="3165"/>
      <c r="J227" s="1862"/>
      <c r="K227" s="3164"/>
      <c r="L227" s="3165"/>
      <c r="M227" s="3165"/>
      <c r="N227" s="3165"/>
      <c r="O227" s="3165"/>
      <c r="P227" s="3165"/>
      <c r="Q227" s="1862"/>
    </row>
    <row r="228" spans="1:44" ht="12" customHeight="1">
      <c r="A228" s="110" t="s">
        <v>1838</v>
      </c>
      <c r="B228" s="1438" t="s">
        <v>4016</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4243" t="s">
        <v>4012</v>
      </c>
      <c r="C229" s="4243"/>
      <c r="D229" s="4243"/>
      <c r="E229" s="4243"/>
      <c r="F229" s="4243"/>
      <c r="G229" s="4243"/>
      <c r="H229" s="4243"/>
      <c r="I229" s="4243"/>
      <c r="J229" s="4243"/>
      <c r="K229" s="4243"/>
      <c r="L229" s="4243"/>
      <c r="M229" s="4243"/>
      <c r="N229" s="4243"/>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4011</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3157</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40"/>
      <c r="B232" s="4241"/>
      <c r="C232" s="4241"/>
      <c r="D232" s="4241"/>
      <c r="E232" s="4241"/>
      <c r="F232" s="4241"/>
      <c r="G232" s="4241"/>
      <c r="H232" s="4241"/>
      <c r="I232" s="4241"/>
      <c r="J232" s="4241"/>
      <c r="K232" s="4241"/>
      <c r="L232" s="4241"/>
      <c r="M232" s="4241"/>
      <c r="N232" s="4241"/>
      <c r="O232" s="4241"/>
      <c r="P232" s="4241"/>
      <c r="Q232" s="4242"/>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44"/>
      <c r="B234" s="4245"/>
      <c r="C234" s="4245"/>
      <c r="D234" s="4245"/>
      <c r="E234" s="4245"/>
      <c r="F234" s="4245"/>
      <c r="G234" s="4245"/>
      <c r="H234" s="4245"/>
      <c r="I234" s="4245"/>
      <c r="J234" s="4245"/>
      <c r="K234" s="4245"/>
      <c r="L234" s="4245"/>
      <c r="M234" s="4245"/>
      <c r="N234" s="4245"/>
      <c r="O234" s="4245"/>
      <c r="P234" s="4245"/>
      <c r="Q234" s="4246"/>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5" customHeight="1">
      <c r="A236" s="2" t="s">
        <v>2075</v>
      </c>
      <c r="B236" s="4" t="s">
        <v>3824</v>
      </c>
      <c r="C236" s="4"/>
      <c r="D236" s="66"/>
      <c r="E236" s="66"/>
      <c r="F236" s="66"/>
      <c r="G236" s="66"/>
      <c r="H236" s="870"/>
      <c r="I236" s="870"/>
      <c r="J236" s="870"/>
      <c r="K236" s="870"/>
      <c r="L236" s="655"/>
      <c r="M236" s="1191"/>
      <c r="O236" s="101" t="s">
        <v>1726</v>
      </c>
      <c r="P236" s="4261"/>
      <c r="Q236" s="4250"/>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4087</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65" customHeight="1">
      <c r="A238" s="40" t="s">
        <v>1836</v>
      </c>
      <c r="B238" s="29" t="s">
        <v>1190</v>
      </c>
      <c r="D238" s="35"/>
      <c r="E238" s="29"/>
      <c r="F238" s="29"/>
      <c r="J238" s="48" t="s">
        <v>1836</v>
      </c>
      <c r="K238" s="4307" t="s">
        <v>1641</v>
      </c>
      <c r="L238" s="4308"/>
      <c r="M238" s="4308"/>
      <c r="N238" s="4308"/>
      <c r="O238" s="4309"/>
      <c r="P238" s="4305" t="s">
        <v>1641</v>
      </c>
      <c r="Q238" s="4306"/>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43" t="s">
        <v>4088</v>
      </c>
      <c r="C239" s="4243"/>
      <c r="D239" s="4243"/>
      <c r="E239" s="4243"/>
      <c r="F239" s="4243"/>
      <c r="G239" s="4243"/>
      <c r="H239" s="4243"/>
      <c r="I239" s="4243"/>
      <c r="J239" s="4243"/>
      <c r="K239" s="4243"/>
      <c r="L239" s="4243"/>
      <c r="M239" s="4243"/>
      <c r="N239" s="4243"/>
      <c r="O239" s="4312"/>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2500</v>
      </c>
      <c r="D240" s="29"/>
      <c r="E240" s="29"/>
      <c r="F240" s="29"/>
      <c r="J240" s="48" t="s">
        <v>1838</v>
      </c>
      <c r="K240" s="4351"/>
      <c r="L240" s="4352"/>
      <c r="M240" s="4352"/>
      <c r="N240" s="4352"/>
      <c r="O240" s="4353"/>
      <c r="P240" s="4347"/>
      <c r="Q240" s="4348"/>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4251"/>
      <c r="L241" s="4252"/>
      <c r="M241" s="4252"/>
      <c r="N241" s="4252"/>
      <c r="O241" s="4253"/>
      <c r="P241" s="4349"/>
      <c r="Q241" s="4350"/>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4089</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43" t="s">
        <v>4099</v>
      </c>
      <c r="D243" s="4243"/>
      <c r="E243" s="4243"/>
      <c r="F243" s="4243"/>
      <c r="G243" s="4243"/>
      <c r="H243" s="4243"/>
      <c r="I243" s="4243"/>
      <c r="J243" s="4243"/>
      <c r="K243" s="4243"/>
      <c r="L243" s="4243"/>
      <c r="M243" s="4243"/>
      <c r="N243" s="4243"/>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4243" t="s">
        <v>4100</v>
      </c>
      <c r="D244" s="4243"/>
      <c r="E244" s="4243"/>
      <c r="F244" s="4243"/>
      <c r="G244" s="4243"/>
      <c r="H244" s="4243"/>
      <c r="I244" s="4243"/>
      <c r="J244" s="4243"/>
      <c r="K244" s="4243"/>
      <c r="L244" s="4243"/>
      <c r="M244" s="4243"/>
      <c r="N244" s="4243"/>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3224</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404" t="s">
        <v>3162</v>
      </c>
      <c r="C246" s="4404"/>
      <c r="D246" s="4404"/>
      <c r="E246" s="44" t="s">
        <v>3294</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404"/>
      <c r="C247" s="4404"/>
      <c r="D247" s="4404"/>
      <c r="E247" s="44" t="s">
        <v>3295</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404"/>
      <c r="C248" s="4404"/>
      <c r="D248" s="4404"/>
      <c r="E248" s="44" t="s">
        <v>3296</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404"/>
      <c r="C249" s="4404"/>
      <c r="D249" s="4404"/>
      <c r="E249" s="44" t="s">
        <v>3297</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43" t="s">
        <v>4394</v>
      </c>
      <c r="F250" s="4243"/>
      <c r="G250" s="4243"/>
      <c r="H250" s="4243"/>
      <c r="I250" s="4243"/>
      <c r="J250" s="4243"/>
      <c r="K250" s="4243"/>
      <c r="L250" s="4243"/>
      <c r="M250" s="4243"/>
      <c r="N250" s="4243"/>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3157</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40"/>
      <c r="B252" s="4241"/>
      <c r="C252" s="4241"/>
      <c r="D252" s="4241"/>
      <c r="E252" s="4241"/>
      <c r="F252" s="4241"/>
      <c r="G252" s="4241"/>
      <c r="H252" s="4241"/>
      <c r="I252" s="4241"/>
      <c r="J252" s="4241"/>
      <c r="K252" s="4241"/>
      <c r="L252" s="4241"/>
      <c r="M252" s="4241"/>
      <c r="N252" s="4241"/>
      <c r="O252" s="4241"/>
      <c r="P252" s="4241"/>
      <c r="Q252" s="4242"/>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44"/>
      <c r="B254" s="4245"/>
      <c r="C254" s="4245"/>
      <c r="D254" s="4245"/>
      <c r="E254" s="4245"/>
      <c r="F254" s="4245"/>
      <c r="G254" s="4245"/>
      <c r="H254" s="4245"/>
      <c r="I254" s="4245"/>
      <c r="J254" s="4245"/>
      <c r="K254" s="4245"/>
      <c r="L254" s="4245"/>
      <c r="M254" s="4245"/>
      <c r="N254" s="4245"/>
      <c r="O254" s="4245"/>
      <c r="P254" s="4245"/>
      <c r="Q254" s="4246"/>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5" customHeight="1">
      <c r="A256" s="2" t="s">
        <v>3282</v>
      </c>
      <c r="B256" s="4" t="s">
        <v>2424</v>
      </c>
      <c r="C256" s="4"/>
      <c r="D256" s="66"/>
      <c r="E256" s="66"/>
      <c r="F256" s="66"/>
      <c r="G256" s="66"/>
      <c r="H256" s="870"/>
      <c r="I256" s="870"/>
      <c r="J256" s="870"/>
      <c r="K256" s="870"/>
      <c r="L256" s="870"/>
      <c r="M256" s="870"/>
      <c r="O256" s="101" t="s">
        <v>1726</v>
      </c>
      <c r="P256" s="4261"/>
      <c r="Q256" s="4250"/>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4243" t="s">
        <v>3899</v>
      </c>
      <c r="D257" s="4243"/>
      <c r="E257" s="4243"/>
      <c r="F257" s="4243"/>
      <c r="G257" s="4243"/>
      <c r="H257" s="4243"/>
      <c r="I257" s="4243"/>
      <c r="J257" s="4243"/>
      <c r="K257" s="4243"/>
      <c r="L257" s="4243"/>
      <c r="M257" s="4243"/>
      <c r="N257" s="4243"/>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65" customHeight="1">
      <c r="A258" s="40"/>
      <c r="B258" s="870" t="s">
        <v>1612</v>
      </c>
      <c r="C258" s="29" t="s">
        <v>3159</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65" customHeight="1">
      <c r="A259" s="40" t="s">
        <v>1838</v>
      </c>
      <c r="B259" s="29" t="s">
        <v>3160</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43" t="s">
        <v>3924</v>
      </c>
      <c r="D260" s="4243"/>
      <c r="E260" s="4243"/>
      <c r="F260" s="4243"/>
      <c r="G260" s="4243"/>
      <c r="H260" s="4243"/>
      <c r="I260" s="4243"/>
      <c r="J260" s="4243"/>
      <c r="K260" s="4243"/>
      <c r="L260" s="4243"/>
      <c r="M260" s="4243"/>
      <c r="N260" s="4243"/>
      <c r="O260" s="1332" t="s">
        <v>3925</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65" customHeight="1">
      <c r="A261" s="40"/>
      <c r="B261" s="870" t="s">
        <v>1612</v>
      </c>
      <c r="C261" s="29" t="s">
        <v>3161</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4243" t="s">
        <v>4017</v>
      </c>
      <c r="C262" s="4243"/>
      <c r="D262" s="4243"/>
      <c r="E262" s="4243"/>
      <c r="F262" s="4243"/>
      <c r="G262" s="4243"/>
      <c r="H262" s="4243"/>
      <c r="I262" s="4243"/>
      <c r="J262" s="4243"/>
      <c r="K262" s="4243"/>
      <c r="L262" s="4243"/>
      <c r="M262" s="4243"/>
      <c r="N262" s="4243"/>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3157</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4" customHeight="1">
      <c r="A264" s="4240"/>
      <c r="B264" s="4241"/>
      <c r="C264" s="4241"/>
      <c r="D264" s="4241"/>
      <c r="E264" s="4241"/>
      <c r="F264" s="4241"/>
      <c r="G264" s="4241"/>
      <c r="H264" s="4241"/>
      <c r="I264" s="4241"/>
      <c r="J264" s="4241"/>
      <c r="K264" s="4241"/>
      <c r="L264" s="4241"/>
      <c r="M264" s="4241"/>
      <c r="N264" s="4241"/>
      <c r="O264" s="4241"/>
      <c r="P264" s="4241"/>
      <c r="Q264" s="4242"/>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4" customHeight="1">
      <c r="A266" s="4244"/>
      <c r="B266" s="4245"/>
      <c r="C266" s="4245"/>
      <c r="D266" s="4245"/>
      <c r="E266" s="4245"/>
      <c r="F266" s="4245"/>
      <c r="G266" s="4245"/>
      <c r="H266" s="4245"/>
      <c r="I266" s="4245"/>
      <c r="J266" s="4245"/>
      <c r="K266" s="4245"/>
      <c r="L266" s="4245"/>
      <c r="M266" s="4245"/>
      <c r="N266" s="4245"/>
      <c r="O266" s="4245"/>
      <c r="P266" s="4245"/>
      <c r="Q266" s="4246"/>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5" customHeight="1">
      <c r="A268" s="2" t="s">
        <v>3283</v>
      </c>
      <c r="B268" s="2" t="s">
        <v>2425</v>
      </c>
      <c r="C268" s="2"/>
      <c r="D268" s="870"/>
      <c r="E268" s="870"/>
      <c r="F268" s="870"/>
      <c r="G268" s="870"/>
      <c r="H268" s="870"/>
      <c r="I268" s="870"/>
      <c r="J268" s="870"/>
      <c r="K268" s="870"/>
      <c r="L268" s="870"/>
      <c r="M268" s="870"/>
      <c r="O268" s="101" t="s">
        <v>1726</v>
      </c>
      <c r="P268" s="4261"/>
      <c r="Q268" s="4250"/>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65" customHeight="1">
      <c r="B269" s="44" t="s">
        <v>4087</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65" customHeight="1">
      <c r="A270" s="40" t="s">
        <v>1836</v>
      </c>
      <c r="B270" s="141" t="s">
        <v>4091</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43" t="s">
        <v>3723</v>
      </c>
      <c r="D271" s="4243"/>
      <c r="E271" s="4243"/>
      <c r="F271" s="4243"/>
      <c r="G271" s="4243"/>
      <c r="H271" s="4243"/>
      <c r="I271" s="4243"/>
      <c r="J271" s="4243"/>
      <c r="K271" s="4243"/>
      <c r="L271" s="4243"/>
      <c r="M271" s="4243"/>
      <c r="N271" s="4243"/>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43" t="s">
        <v>2501</v>
      </c>
      <c r="D272" s="4243"/>
      <c r="E272" s="4243"/>
      <c r="F272" s="4243"/>
      <c r="G272" s="4243"/>
      <c r="H272" s="4243"/>
      <c r="I272" s="4243"/>
      <c r="J272" s="4243"/>
      <c r="K272" s="4243"/>
      <c r="L272" s="4243"/>
      <c r="M272" s="4243"/>
      <c r="N272" s="4243"/>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4405" t="s">
        <v>3249</v>
      </c>
      <c r="M273" s="4406"/>
      <c r="N273" s="4406"/>
      <c r="O273" s="4406"/>
      <c r="P273" s="4407"/>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65" customHeight="1">
      <c r="A274" s="107" t="s">
        <v>697</v>
      </c>
      <c r="B274" s="141" t="s">
        <v>4090</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65" customHeight="1">
      <c r="A275" s="107"/>
      <c r="B275" s="29" t="s">
        <v>4092</v>
      </c>
      <c r="C275" s="115"/>
      <c r="D275" s="72"/>
      <c r="E275" s="72"/>
      <c r="F275" s="115"/>
      <c r="H275" s="115"/>
      <c r="I275" s="115"/>
      <c r="N275" s="1694" t="s">
        <v>4093</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65" customHeight="1">
      <c r="A276" s="35"/>
      <c r="B276" s="109" t="s">
        <v>3157</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40"/>
      <c r="B277" s="4241"/>
      <c r="C277" s="4241"/>
      <c r="D277" s="4241"/>
      <c r="E277" s="4241"/>
      <c r="F277" s="4241"/>
      <c r="G277" s="4241"/>
      <c r="H277" s="4241"/>
      <c r="I277" s="4241"/>
      <c r="J277" s="4241"/>
      <c r="K277" s="4241"/>
      <c r="L277" s="4241"/>
      <c r="M277" s="4241"/>
      <c r="N277" s="4241"/>
      <c r="O277" s="4241"/>
      <c r="P277" s="4241"/>
      <c r="Q277" s="4242"/>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44"/>
      <c r="B279" s="4245"/>
      <c r="C279" s="4245"/>
      <c r="D279" s="4245"/>
      <c r="E279" s="4245"/>
      <c r="F279" s="4245"/>
      <c r="G279" s="4245"/>
      <c r="H279" s="4245"/>
      <c r="I279" s="4245"/>
      <c r="J279" s="4245"/>
      <c r="K279" s="4245"/>
      <c r="L279" s="4245"/>
      <c r="M279" s="4245"/>
      <c r="N279" s="4245"/>
      <c r="O279" s="4245"/>
      <c r="P279" s="4245"/>
      <c r="Q279" s="4246"/>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5" customHeight="1">
      <c r="A281" s="2" t="s">
        <v>3281</v>
      </c>
      <c r="B281" s="2" t="s">
        <v>2426</v>
      </c>
      <c r="C281" s="116"/>
      <c r="D281" s="873"/>
      <c r="E281" s="870"/>
      <c r="F281" s="870"/>
      <c r="G281" s="870"/>
      <c r="H281" s="870"/>
      <c r="I281" s="870"/>
      <c r="J281" s="870"/>
      <c r="K281" s="870"/>
      <c r="L281" s="870"/>
      <c r="M281" s="870"/>
      <c r="O281" s="101" t="s">
        <v>1726</v>
      </c>
      <c r="P281" s="4261"/>
      <c r="Q281" s="4250"/>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65" customHeight="1">
      <c r="B282" s="44" t="s">
        <v>4087</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3298</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43" t="s">
        <v>4541</v>
      </c>
      <c r="D284" s="4243"/>
      <c r="E284" s="4243"/>
      <c r="F284" s="4243"/>
      <c r="G284" s="4243"/>
      <c r="H284" s="4243"/>
      <c r="I284" s="4243"/>
      <c r="J284" s="4243"/>
      <c r="K284" s="4243"/>
      <c r="L284" s="4243"/>
      <c r="M284" s="4243"/>
      <c r="N284" s="4243"/>
      <c r="O284" s="128" t="s">
        <v>2464</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43" t="s">
        <v>4542</v>
      </c>
      <c r="D285" s="4243"/>
      <c r="E285" s="4243"/>
      <c r="F285" s="4243"/>
      <c r="G285" s="4243"/>
      <c r="H285" s="4243"/>
      <c r="I285" s="4243"/>
      <c r="J285" s="4243"/>
      <c r="K285" s="4243"/>
      <c r="L285" s="4243"/>
      <c r="M285" s="4243"/>
      <c r="N285" s="4243"/>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43" t="s">
        <v>4094</v>
      </c>
      <c r="D286" s="4243"/>
      <c r="E286" s="4243"/>
      <c r="F286" s="4243"/>
      <c r="G286" s="4243"/>
      <c r="H286" s="4243"/>
      <c r="I286" s="4243"/>
      <c r="J286" s="4243"/>
      <c r="K286" s="4243"/>
      <c r="L286" s="4243"/>
      <c r="M286" s="4243"/>
      <c r="N286" s="4243"/>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3209</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4243" t="s">
        <v>4097</v>
      </c>
      <c r="E288" s="4243"/>
      <c r="F288" s="4243"/>
      <c r="G288" s="4243"/>
      <c r="H288" s="4243"/>
      <c r="I288" s="108"/>
      <c r="J288" s="4303" t="s">
        <v>3183</v>
      </c>
      <c r="K288" s="4270"/>
      <c r="L288" s="4270"/>
      <c r="M288" s="4316" t="s">
        <v>3164</v>
      </c>
      <c r="N288" s="4316"/>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43"/>
      <c r="E289" s="4243"/>
      <c r="F289" s="4243"/>
      <c r="G289" s="4243"/>
      <c r="H289" s="4243"/>
      <c r="I289" s="248"/>
      <c r="J289" s="4270"/>
      <c r="K289" s="4270"/>
      <c r="L289" s="4270"/>
      <c r="M289" s="29" t="s">
        <v>3165</v>
      </c>
      <c r="N289" s="874" t="s">
        <v>3182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43"/>
      <c r="E290" s="4243"/>
      <c r="F290" s="4243"/>
      <c r="G290" s="4243"/>
      <c r="H290" s="4243"/>
      <c r="I290" s="29" t="s">
        <v>3299</v>
      </c>
      <c r="K290" s="1498"/>
      <c r="L290" s="778" t="e">
        <f>IF(K290&lt;M290,"Check!!!","")</f>
        <v>#REF!</v>
      </c>
      <c r="M290" s="1500" t="e">
        <f>ROUNDUP(#REF!*'Part VII-Threshold Criteria OLD'!N290,0)</f>
        <v>#REF!</v>
      </c>
      <c r="N290" s="1141" t="e">
        <f>#REF!</f>
        <v>#REF!</v>
      </c>
      <c r="O290" s="48" t="s">
        <v>3083</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4243" t="s">
        <v>4098</v>
      </c>
      <c r="E291" s="4243"/>
      <c r="F291" s="4243"/>
      <c r="G291" s="4243"/>
      <c r="H291" s="4243"/>
      <c r="I291" s="369" t="s">
        <v>3300</v>
      </c>
      <c r="J291" s="144"/>
      <c r="K291" s="1499"/>
      <c r="L291" s="778" t="e">
        <f>IF(K291&lt;M291,"Check!!!","")</f>
        <v>#REF!</v>
      </c>
      <c r="M291" s="1501" t="e">
        <f>ROUNDUP(K290*'Part VII-Threshold Criteria OLD'!N291,0)</f>
        <v>#REF!</v>
      </c>
      <c r="N291" s="1141" t="e">
        <f>#REF!</f>
        <v>#REF!</v>
      </c>
      <c r="O291" s="48" t="s">
        <v>1959</v>
      </c>
      <c r="P291" s="4410"/>
      <c r="Q291" s="4408"/>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43"/>
      <c r="E292" s="4243"/>
      <c r="F292" s="4243"/>
      <c r="G292" s="4243"/>
      <c r="H292" s="4243"/>
      <c r="O292" s="33"/>
      <c r="P292" s="4411"/>
      <c r="Q292" s="4409"/>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43" t="s">
        <v>4623</v>
      </c>
      <c r="D293" s="4243"/>
      <c r="E293" s="4243"/>
      <c r="F293" s="4243"/>
      <c r="G293" s="4243"/>
      <c r="H293" s="4243"/>
      <c r="I293" s="29" t="s">
        <v>3301</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43"/>
      <c r="D294" s="4243"/>
      <c r="E294" s="4243"/>
      <c r="F294" s="4243"/>
      <c r="G294" s="4243"/>
      <c r="H294" s="4243"/>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43"/>
      <c r="D295" s="4243"/>
      <c r="E295" s="4243"/>
      <c r="F295" s="4243"/>
      <c r="G295" s="4243"/>
      <c r="H295" s="4243"/>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43" t="s">
        <v>4602</v>
      </c>
      <c r="C297" s="4243"/>
      <c r="D297" s="4243"/>
      <c r="E297" s="4243"/>
      <c r="F297" s="4243"/>
      <c r="G297" s="4243"/>
      <c r="H297" s="4243"/>
      <c r="I297" s="4243"/>
      <c r="J297" s="4243"/>
      <c r="K297" s="4243"/>
      <c r="L297" s="4243"/>
      <c r="M297" s="4243"/>
      <c r="N297" s="4243"/>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3084</v>
      </c>
      <c r="D298" s="108"/>
      <c r="E298" s="108"/>
      <c r="F298" s="108"/>
      <c r="G298" s="108"/>
      <c r="H298" s="108"/>
      <c r="I298" s="108" t="s">
        <v>3163</v>
      </c>
      <c r="J298" s="108"/>
      <c r="K298" s="108"/>
      <c r="L298" s="4369"/>
      <c r="M298" s="4370"/>
      <c r="N298" s="4370"/>
      <c r="O298" s="4370"/>
      <c r="P298" s="4370"/>
      <c r="Q298" s="4371"/>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43" t="s">
        <v>4543</v>
      </c>
      <c r="D299" s="4243"/>
      <c r="E299" s="4243"/>
      <c r="F299" s="4243"/>
      <c r="G299" s="4243"/>
      <c r="H299" s="4243"/>
      <c r="I299" s="4243"/>
      <c r="J299" s="4243"/>
      <c r="K299" s="4243"/>
      <c r="L299" s="4243"/>
      <c r="M299" s="4243"/>
      <c r="N299" s="4243"/>
      <c r="O299" s="128" t="s">
        <v>3087</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43" t="s">
        <v>3709</v>
      </c>
      <c r="D300" s="4243"/>
      <c r="E300" s="4243"/>
      <c r="F300" s="4243"/>
      <c r="G300" s="4243"/>
      <c r="H300" s="4243"/>
      <c r="I300" s="4243"/>
      <c r="J300" s="4243"/>
      <c r="K300" s="4243"/>
      <c r="L300" s="4243"/>
      <c r="M300" s="4243"/>
      <c r="N300" s="4243"/>
      <c r="O300" s="128" t="s">
        <v>3088</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43" t="s">
        <v>3085</v>
      </c>
      <c r="D301" s="4243"/>
      <c r="E301" s="4243"/>
      <c r="F301" s="4243"/>
      <c r="G301" s="4243"/>
      <c r="H301" s="4243"/>
      <c r="I301" s="4243"/>
      <c r="J301" s="4243"/>
      <c r="K301" s="4243"/>
      <c r="L301" s="4243"/>
      <c r="M301" s="4243"/>
      <c r="N301" s="4243"/>
      <c r="O301" s="128" t="s">
        <v>3089</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4243" t="s">
        <v>3086</v>
      </c>
      <c r="D302" s="4243"/>
      <c r="E302" s="4243"/>
      <c r="F302" s="4243"/>
      <c r="G302" s="4243"/>
      <c r="H302" s="4243"/>
      <c r="I302" s="4243"/>
      <c r="J302" s="4243"/>
      <c r="K302" s="4243"/>
      <c r="L302" s="4243"/>
      <c r="M302" s="4243"/>
      <c r="N302" s="4243"/>
      <c r="O302" s="128" t="s">
        <v>3090</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3157</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40"/>
      <c r="B304" s="4241"/>
      <c r="C304" s="4241"/>
      <c r="D304" s="4241"/>
      <c r="E304" s="4241"/>
      <c r="F304" s="4241"/>
      <c r="G304" s="4241"/>
      <c r="H304" s="4241"/>
      <c r="I304" s="4241"/>
      <c r="J304" s="4241"/>
      <c r="K304" s="4241"/>
      <c r="L304" s="4241"/>
      <c r="M304" s="4241"/>
      <c r="N304" s="4241"/>
      <c r="O304" s="4241"/>
      <c r="P304" s="4241"/>
      <c r="Q304" s="4242"/>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412"/>
      <c r="B306" s="4413"/>
      <c r="C306" s="4413"/>
      <c r="D306" s="4413"/>
      <c r="E306" s="4413"/>
      <c r="F306" s="4413"/>
      <c r="G306" s="4413"/>
      <c r="H306" s="4413"/>
      <c r="I306" s="4413"/>
      <c r="J306" s="4413"/>
      <c r="K306" s="4413"/>
      <c r="L306" s="4413"/>
      <c r="M306" s="4413"/>
      <c r="N306" s="4413"/>
      <c r="O306" s="4413"/>
      <c r="P306" s="4413"/>
      <c r="Q306" s="4414"/>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5" customHeight="1">
      <c r="A307" s="2" t="s">
        <v>3284</v>
      </c>
      <c r="B307" s="4" t="s">
        <v>2427</v>
      </c>
      <c r="C307" s="4"/>
      <c r="D307" s="4"/>
      <c r="E307" s="4"/>
      <c r="F307" s="4"/>
      <c r="G307" s="4"/>
      <c r="H307" s="870"/>
      <c r="I307" s="870"/>
      <c r="J307" s="870"/>
      <c r="K307" s="870"/>
      <c r="L307" s="870"/>
      <c r="M307" s="870"/>
      <c r="O307" s="101" t="s">
        <v>1726</v>
      </c>
      <c r="P307" s="4310"/>
      <c r="Q307" s="4311"/>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65"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65" customHeight="1">
      <c r="A310" s="40"/>
      <c r="B310" s="33" t="s">
        <v>3663</v>
      </c>
      <c r="E310" s="33"/>
      <c r="F310" s="33"/>
      <c r="G310" s="33"/>
      <c r="H310" s="33"/>
      <c r="I310" s="72"/>
      <c r="J310" s="48"/>
      <c r="K310" s="4307" t="s">
        <v>1641</v>
      </c>
      <c r="L310" s="4308"/>
      <c r="M310" s="4308"/>
      <c r="N310" s="4309"/>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65" customHeight="1">
      <c r="A311" s="110" t="s">
        <v>1836</v>
      </c>
      <c r="B311" s="89" t="s">
        <v>4552</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43" t="s">
        <v>4551</v>
      </c>
      <c r="C312" s="4243"/>
      <c r="D312" s="4243"/>
      <c r="E312" s="4243"/>
      <c r="F312" s="4243"/>
      <c r="G312" s="4243"/>
      <c r="H312" s="4243"/>
      <c r="I312" s="4243"/>
      <c r="J312" s="4243"/>
      <c r="K312" s="4243"/>
      <c r="L312" s="4243"/>
      <c r="M312" s="4243"/>
      <c r="N312" s="4243"/>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5"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359" t="s">
        <v>2141</v>
      </c>
      <c r="H314" s="4360"/>
      <c r="I314" s="4360"/>
      <c r="J314" s="4360"/>
      <c r="K314" s="4360"/>
      <c r="L314" s="4360"/>
      <c r="M314" s="4360"/>
      <c r="N314" s="4361"/>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2465</v>
      </c>
    </row>
    <row r="315" spans="1:256 1523:1523" ht="23.25" customHeight="1">
      <c r="B315" s="371" t="s">
        <v>1612</v>
      </c>
      <c r="C315" s="4243" t="s">
        <v>1065</v>
      </c>
      <c r="D315" s="4243"/>
      <c r="E315" s="4243"/>
      <c r="F315" s="4312"/>
      <c r="G315" s="3164" t="s">
        <v>1017</v>
      </c>
      <c r="H315" s="4354"/>
      <c r="I315" s="4354"/>
      <c r="J315" s="4354"/>
      <c r="K315" s="4354"/>
      <c r="L315" s="4354"/>
      <c r="M315" s="4354"/>
      <c r="N315" s="4355"/>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4018</v>
      </c>
      <c r="D317" s="1443"/>
      <c r="E317" s="1443"/>
      <c r="F317" s="1443"/>
      <c r="G317" s="4403" t="s">
        <v>4019</v>
      </c>
      <c r="H317" s="4403"/>
      <c r="I317" s="4403"/>
      <c r="J317" s="4403"/>
      <c r="K317" s="4403"/>
      <c r="L317" s="4403"/>
      <c r="M317" s="4403"/>
      <c r="N317" s="4403"/>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4366"/>
      <c r="D318" s="4367"/>
      <c r="E318" s="4367"/>
      <c r="F318" s="4367"/>
      <c r="G318" s="4367"/>
      <c r="H318" s="4367"/>
      <c r="I318" s="4367"/>
      <c r="J318" s="4367"/>
      <c r="K318" s="4367"/>
      <c r="L318" s="4367"/>
      <c r="M318" s="4367"/>
      <c r="N318" s="4368"/>
      <c r="O318" s="128" t="s">
        <v>4194</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4293"/>
      <c r="D319" s="4294"/>
      <c r="E319" s="4294"/>
      <c r="F319" s="4294"/>
      <c r="G319" s="4294"/>
      <c r="H319" s="4294"/>
      <c r="I319" s="4294"/>
      <c r="J319" s="4294"/>
      <c r="K319" s="4294"/>
      <c r="L319" s="4294"/>
      <c r="M319" s="4294"/>
      <c r="N319" s="4295"/>
      <c r="O319" s="128" t="s">
        <v>4195</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4243" t="s">
        <v>4020</v>
      </c>
      <c r="C320" s="4243"/>
      <c r="D320" s="4243"/>
      <c r="E320" s="4243"/>
      <c r="F320" s="4243"/>
      <c r="G320" s="4243"/>
      <c r="H320" s="4243"/>
      <c r="I320" s="4243"/>
      <c r="J320" s="4243"/>
      <c r="K320" s="4243"/>
      <c r="L320" s="4243"/>
      <c r="M320" s="4243"/>
      <c r="N320" s="4243"/>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3157</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65" customHeight="1">
      <c r="A323" s="4240"/>
      <c r="B323" s="4241"/>
      <c r="C323" s="4241"/>
      <c r="D323" s="4241"/>
      <c r="E323" s="4241"/>
      <c r="F323" s="4241"/>
      <c r="G323" s="4241"/>
      <c r="H323" s="4241"/>
      <c r="I323" s="4241"/>
      <c r="J323" s="4241"/>
      <c r="K323" s="4241"/>
      <c r="L323" s="4241"/>
      <c r="M323" s="4241"/>
      <c r="N323" s="4241"/>
      <c r="O323" s="4241"/>
      <c r="P323" s="4241"/>
      <c r="Q323" s="4242"/>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65" customHeight="1">
      <c r="A325" s="4244"/>
      <c r="B325" s="4245"/>
      <c r="C325" s="4245"/>
      <c r="D325" s="4245"/>
      <c r="E325" s="4245"/>
      <c r="F325" s="4245"/>
      <c r="G325" s="4245"/>
      <c r="H325" s="4245"/>
      <c r="I325" s="4245"/>
      <c r="J325" s="4245"/>
      <c r="K325" s="4245"/>
      <c r="L325" s="4245"/>
      <c r="M325" s="4245"/>
      <c r="N325" s="4245"/>
      <c r="O325" s="4245"/>
      <c r="P325" s="4245"/>
      <c r="Q325" s="4246"/>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5" customHeight="1">
      <c r="A326" s="2" t="s">
        <v>3285</v>
      </c>
      <c r="B326" s="153" t="s">
        <v>4423</v>
      </c>
      <c r="C326" s="2"/>
      <c r="D326" s="870"/>
      <c r="E326" s="870"/>
      <c r="F326" s="870"/>
      <c r="G326" s="870"/>
      <c r="H326" s="870"/>
      <c r="N326" s="841" t="s">
        <v>4422</v>
      </c>
      <c r="O326" s="101" t="s">
        <v>1726</v>
      </c>
      <c r="P326" s="4261"/>
      <c r="Q326" s="4250"/>
      <c r="R326" s="843" t="s">
        <v>4409</v>
      </c>
    </row>
    <row r="327" spans="1:256" ht="11.65" customHeight="1">
      <c r="A327" s="40" t="s">
        <v>1836</v>
      </c>
      <c r="B327" s="44" t="s">
        <v>4418</v>
      </c>
      <c r="O327" s="128" t="s">
        <v>1836</v>
      </c>
      <c r="P327" s="175"/>
      <c r="Q327" s="418"/>
    </row>
    <row r="328" spans="1:256" ht="11.65" customHeight="1">
      <c r="A328" s="110" t="s">
        <v>1838</v>
      </c>
      <c r="B328" s="44" t="s">
        <v>4425</v>
      </c>
      <c r="O328" s="128" t="s">
        <v>1838</v>
      </c>
      <c r="P328" s="1651"/>
      <c r="Q328" s="672"/>
    </row>
    <row r="329" spans="1:256" ht="11.65" customHeight="1">
      <c r="A329" s="110" t="s">
        <v>697</v>
      </c>
      <c r="B329" s="44" t="s">
        <v>4426</v>
      </c>
      <c r="K329" s="231"/>
      <c r="M329" s="128" t="s">
        <v>697</v>
      </c>
      <c r="N329" s="4362" t="s">
        <v>1641</v>
      </c>
      <c r="O329" s="4363"/>
      <c r="P329" s="4364" t="s">
        <v>1641</v>
      </c>
      <c r="Q329" s="4365"/>
    </row>
    <row r="330" spans="1:256" ht="11.65" customHeight="1">
      <c r="A330" s="40" t="s">
        <v>1957</v>
      </c>
      <c r="B330" s="44" t="s">
        <v>4427</v>
      </c>
      <c r="O330" s="48" t="s">
        <v>1957</v>
      </c>
      <c r="P330" s="1328"/>
      <c r="Q330" s="1327"/>
    </row>
    <row r="331" spans="1:256" ht="11.65" customHeight="1">
      <c r="A331" s="110" t="s">
        <v>1609</v>
      </c>
      <c r="B331" s="44" t="s">
        <v>4428</v>
      </c>
      <c r="N331" s="128" t="s">
        <v>1609</v>
      </c>
      <c r="O331" s="4356" t="s">
        <v>2553</v>
      </c>
      <c r="P331" s="4357"/>
      <c r="Q331" s="4358"/>
    </row>
    <row r="332" spans="1:256" ht="11.65" customHeight="1">
      <c r="A332" s="110" t="s">
        <v>1610</v>
      </c>
      <c r="B332" s="67" t="s">
        <v>2164</v>
      </c>
      <c r="N332" s="128" t="s">
        <v>1610</v>
      </c>
      <c r="O332" s="4313" t="s">
        <v>2553</v>
      </c>
      <c r="P332" s="4314"/>
      <c r="Q332" s="4315"/>
    </row>
    <row r="333" spans="1:256" ht="11.25" customHeight="1">
      <c r="B333" s="109" t="s">
        <v>3157</v>
      </c>
      <c r="D333" s="109"/>
      <c r="E333" s="109"/>
      <c r="F333" s="109"/>
      <c r="G333" s="109"/>
      <c r="H333" s="33"/>
      <c r="I333" s="874"/>
      <c r="J333" s="874"/>
      <c r="K333" s="874"/>
      <c r="L333" s="671"/>
      <c r="M333" s="671"/>
      <c r="N333" s="671"/>
      <c r="O333" s="671"/>
      <c r="P333" s="671"/>
      <c r="Q333" s="671"/>
    </row>
    <row r="334" spans="1:256" ht="13.4" customHeight="1">
      <c r="A334" s="4240"/>
      <c r="B334" s="4241"/>
      <c r="C334" s="4241"/>
      <c r="D334" s="4241"/>
      <c r="E334" s="4241"/>
      <c r="F334" s="4241"/>
      <c r="G334" s="4241"/>
      <c r="H334" s="4241"/>
      <c r="I334" s="4241"/>
      <c r="J334" s="4241"/>
      <c r="K334" s="4241"/>
      <c r="L334" s="4241"/>
      <c r="M334" s="4241"/>
      <c r="N334" s="4241"/>
      <c r="O334" s="4241"/>
      <c r="P334" s="4241"/>
      <c r="Q334" s="4242"/>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4" customHeight="1">
      <c r="A336" s="4244"/>
      <c r="B336" s="4245"/>
      <c r="C336" s="4245"/>
      <c r="D336" s="4245"/>
      <c r="E336" s="4245"/>
      <c r="F336" s="4245"/>
      <c r="G336" s="4245"/>
      <c r="H336" s="4245"/>
      <c r="I336" s="4245"/>
      <c r="J336" s="4245"/>
      <c r="K336" s="4245"/>
      <c r="L336" s="4245"/>
      <c r="M336" s="4245"/>
      <c r="N336" s="4245"/>
      <c r="O336" s="4245"/>
      <c r="P336" s="4245"/>
      <c r="Q336" s="4246"/>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5" customHeight="1">
      <c r="A338" s="2" t="s">
        <v>3288</v>
      </c>
      <c r="B338" s="4" t="s">
        <v>4429</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396"/>
      <c r="Q338" s="4397"/>
    </row>
    <row r="339" spans="1:44" ht="14.15" customHeight="1">
      <c r="A339" s="2"/>
      <c r="B339" s="29" t="s">
        <v>4430</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5" customHeight="1">
      <c r="A340" s="2"/>
      <c r="B340" s="29" t="s">
        <v>4431</v>
      </c>
      <c r="C340" s="4"/>
      <c r="D340" s="4"/>
      <c r="E340" s="4"/>
      <c r="F340" s="4"/>
      <c r="G340" s="4"/>
      <c r="H340" s="870"/>
      <c r="I340" s="870"/>
      <c r="J340" s="870"/>
      <c r="K340" s="870"/>
      <c r="L340" s="870"/>
      <c r="M340" s="870"/>
      <c r="N340" s="395"/>
      <c r="O340" s="101"/>
      <c r="P340" s="372"/>
      <c r="Q340" s="417"/>
    </row>
    <row r="341" spans="1:44" ht="21.75" customHeight="1">
      <c r="A341" s="110" t="s">
        <v>1836</v>
      </c>
      <c r="B341" s="4243" t="s">
        <v>4569</v>
      </c>
      <c r="C341" s="4243"/>
      <c r="D341" s="4243"/>
      <c r="E341" s="4243"/>
      <c r="F341" s="4243"/>
      <c r="G341" s="4243"/>
      <c r="H341" s="4243"/>
      <c r="I341" s="4243"/>
      <c r="J341" s="4243"/>
      <c r="K341" s="4243"/>
      <c r="L341" s="4243"/>
      <c r="M341" s="4243"/>
      <c r="N341" s="4243"/>
      <c r="O341" s="128" t="s">
        <v>1836</v>
      </c>
      <c r="P341" s="1705"/>
      <c r="Q341" s="1706"/>
    </row>
    <row r="342" spans="1:44" s="35" customFormat="1" ht="12.75" customHeight="1">
      <c r="A342" s="40"/>
      <c r="B342" s="33" t="s">
        <v>1611</v>
      </c>
      <c r="C342" s="29" t="s">
        <v>4021</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3770</v>
      </c>
      <c r="G343" s="1447" t="e">
        <f>#REF!</f>
        <v>#REF!</v>
      </c>
      <c r="H343" s="72"/>
      <c r="I343" s="29" t="s">
        <v>831</v>
      </c>
      <c r="J343" s="72"/>
      <c r="K343" s="72"/>
      <c r="L343" s="1446" t="e">
        <f>#REF!</f>
        <v>#REF!</v>
      </c>
      <c r="M343" s="48" t="s">
        <v>4624</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4243" t="s">
        <v>4570</v>
      </c>
      <c r="C344" s="4243"/>
      <c r="D344" s="4243"/>
      <c r="E344" s="4243"/>
      <c r="F344" s="4243"/>
      <c r="G344" s="4243"/>
      <c r="H344" s="4243"/>
      <c r="I344" s="4243"/>
      <c r="J344" s="4243"/>
      <c r="K344" s="4243"/>
      <c r="L344" s="4243"/>
      <c r="M344" s="4243"/>
      <c r="N344" s="4243"/>
      <c r="O344" s="128" t="s">
        <v>1838</v>
      </c>
      <c r="P344" s="888"/>
      <c r="Q344" s="889"/>
    </row>
    <row r="345" spans="1:44" s="115" customFormat="1">
      <c r="A345" s="110"/>
      <c r="B345" s="1155"/>
      <c r="C345" s="29" t="s">
        <v>1662</v>
      </c>
      <c r="D345" s="29"/>
      <c r="E345" s="1446" t="e">
        <f>#REF!</f>
        <v>#REF!</v>
      </c>
      <c r="F345" s="29" t="s">
        <v>4572</v>
      </c>
      <c r="H345" s="72"/>
      <c r="L345" s="1827"/>
      <c r="M345" s="48" t="s">
        <v>4624</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43" t="s">
        <v>4571</v>
      </c>
      <c r="C346" s="4243"/>
      <c r="D346" s="4243"/>
      <c r="E346" s="4243"/>
      <c r="F346" s="4243"/>
      <c r="G346" s="4243"/>
      <c r="H346" s="4243"/>
      <c r="I346" s="4243"/>
      <c r="J346" s="4243"/>
      <c r="K346" s="4243"/>
      <c r="L346" s="4243"/>
      <c r="M346" s="4243"/>
      <c r="N346" s="4243"/>
      <c r="O346" s="128" t="s">
        <v>697</v>
      </c>
      <c r="P346" s="1705"/>
      <c r="Q346" s="1706"/>
    </row>
    <row r="347" spans="1:44" ht="14.15" customHeight="1">
      <c r="A347" s="23"/>
      <c r="B347" s="369" t="s">
        <v>1611</v>
      </c>
      <c r="C347" s="44" t="s">
        <v>4432</v>
      </c>
      <c r="D347" s="10"/>
      <c r="E347" s="10"/>
      <c r="F347" s="10"/>
      <c r="G347" s="10"/>
      <c r="H347" s="1703"/>
      <c r="I347" s="1703"/>
      <c r="J347" s="1703"/>
      <c r="K347" s="1703"/>
      <c r="L347" s="1703"/>
      <c r="M347" s="1703"/>
      <c r="N347" s="1704"/>
      <c r="O347" s="48" t="s">
        <v>3925</v>
      </c>
      <c r="P347" s="1709"/>
      <c r="Q347" s="1710"/>
    </row>
    <row r="348" spans="1:44" s="115" customFormat="1">
      <c r="A348" s="110"/>
      <c r="B348" s="1155"/>
      <c r="C348" s="29" t="s">
        <v>1662</v>
      </c>
      <c r="D348" s="29"/>
      <c r="E348" s="1446" t="e">
        <f>#REF!</f>
        <v>#REF!</v>
      </c>
      <c r="F348" s="29" t="s">
        <v>3770</v>
      </c>
      <c r="G348" s="1447" t="e">
        <f>#REF!</f>
        <v>#REF!</v>
      </c>
      <c r="H348" s="72"/>
      <c r="I348" s="29" t="s">
        <v>831</v>
      </c>
      <c r="J348" s="72"/>
      <c r="K348" s="72"/>
      <c r="L348" s="1446" t="e">
        <f>#REF!</f>
        <v>#REF!</v>
      </c>
      <c r="M348" s="48" t="s">
        <v>4624</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3157</v>
      </c>
      <c r="D349" s="109"/>
      <c r="E349" s="109"/>
      <c r="F349" s="109"/>
      <c r="G349" s="109"/>
      <c r="H349" s="33"/>
      <c r="I349" s="874"/>
      <c r="J349" s="874"/>
      <c r="K349" s="874"/>
      <c r="L349" s="671"/>
      <c r="M349" s="671"/>
      <c r="N349" s="671"/>
      <c r="O349" s="671"/>
      <c r="P349" s="671"/>
      <c r="Q349" s="671"/>
    </row>
    <row r="350" spans="1:44" ht="12" customHeight="1">
      <c r="A350" s="4240"/>
      <c r="B350" s="4241"/>
      <c r="C350" s="4241"/>
      <c r="D350" s="4241"/>
      <c r="E350" s="4241"/>
      <c r="F350" s="4241"/>
      <c r="G350" s="4241"/>
      <c r="H350" s="4241"/>
      <c r="I350" s="4241"/>
      <c r="J350" s="4241"/>
      <c r="K350" s="4241"/>
      <c r="L350" s="4241"/>
      <c r="M350" s="4241"/>
      <c r="N350" s="4241"/>
      <c r="O350" s="4241"/>
      <c r="P350" s="4241"/>
      <c r="Q350" s="4242"/>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4244"/>
      <c r="B352" s="4245"/>
      <c r="C352" s="4245"/>
      <c r="D352" s="4245"/>
      <c r="E352" s="4245"/>
      <c r="F352" s="4245"/>
      <c r="G352" s="4245"/>
      <c r="H352" s="4245"/>
      <c r="I352" s="4245"/>
      <c r="J352" s="4245"/>
      <c r="K352" s="4245"/>
      <c r="L352" s="4245"/>
      <c r="M352" s="4245"/>
      <c r="N352" s="4245"/>
      <c r="O352" s="4245"/>
      <c r="P352" s="4245"/>
      <c r="Q352" s="4246"/>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5" customHeight="1">
      <c r="A354" s="2" t="s">
        <v>3289</v>
      </c>
      <c r="B354" s="4" t="s">
        <v>3270</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4249"/>
      <c r="Q354" s="4250"/>
    </row>
    <row r="355" spans="1:31" ht="10.5" customHeight="1">
      <c r="A355" s="40" t="s">
        <v>1836</v>
      </c>
      <c r="B355" s="29" t="s">
        <v>3271</v>
      </c>
      <c r="D355" s="118"/>
      <c r="E355" s="118"/>
      <c r="F355" s="118"/>
      <c r="G355" s="118"/>
      <c r="H355" s="48" t="s">
        <v>1836</v>
      </c>
      <c r="I355" s="4254"/>
      <c r="J355" s="4255"/>
      <c r="K355" s="4255"/>
      <c r="L355" s="4255"/>
      <c r="M355" s="4255"/>
      <c r="N355" s="4255"/>
      <c r="O355" s="4255"/>
      <c r="P355" s="4256"/>
      <c r="Q355" s="418"/>
    </row>
    <row r="356" spans="1:31" ht="10.5" customHeight="1">
      <c r="A356" s="110" t="s">
        <v>1838</v>
      </c>
      <c r="B356" s="29" t="s">
        <v>3272</v>
      </c>
      <c r="D356" s="118"/>
      <c r="E356" s="118"/>
      <c r="F356" s="118"/>
      <c r="G356" s="118"/>
      <c r="H356" s="128" t="s">
        <v>1838</v>
      </c>
      <c r="I356" s="4251"/>
      <c r="J356" s="4252"/>
      <c r="K356" s="4252"/>
      <c r="L356" s="4252"/>
      <c r="M356" s="4252"/>
      <c r="N356" s="4252"/>
      <c r="O356" s="4252"/>
      <c r="P356" s="4253"/>
      <c r="Q356" s="420"/>
    </row>
    <row r="357" spans="1:31" ht="21.75" customHeight="1">
      <c r="A357" s="110" t="s">
        <v>697</v>
      </c>
      <c r="B357" s="4401" t="s">
        <v>3263</v>
      </c>
      <c r="C357" s="4401"/>
      <c r="D357" s="4401"/>
      <c r="E357" s="4401"/>
      <c r="F357" s="4401"/>
      <c r="G357" s="4401"/>
      <c r="H357" s="4401"/>
      <c r="I357" s="4401"/>
      <c r="J357" s="4401"/>
      <c r="K357" s="4401"/>
      <c r="L357" s="4401"/>
      <c r="M357" s="4401"/>
      <c r="N357" s="4401"/>
      <c r="O357" s="128" t="s">
        <v>697</v>
      </c>
      <c r="P357" s="821"/>
      <c r="Q357" s="876"/>
    </row>
    <row r="358" spans="1:31" ht="21.75" customHeight="1">
      <c r="A358" s="110" t="s">
        <v>1957</v>
      </c>
      <c r="B358" s="4243" t="s">
        <v>3264</v>
      </c>
      <c r="C358" s="4243"/>
      <c r="D358" s="4243"/>
      <c r="E358" s="4243"/>
      <c r="F358" s="4243"/>
      <c r="G358" s="4243"/>
      <c r="H358" s="4243"/>
      <c r="I358" s="4243"/>
      <c r="J358" s="4243"/>
      <c r="K358" s="4243"/>
      <c r="L358" s="4243"/>
      <c r="M358" s="4243"/>
      <c r="N358" s="4243"/>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243" t="s">
        <v>3266</v>
      </c>
      <c r="C360" s="4243"/>
      <c r="D360" s="4243"/>
      <c r="E360" s="4243"/>
      <c r="F360" s="4243"/>
      <c r="G360" s="4243"/>
      <c r="H360" s="4243"/>
      <c r="I360" s="4243"/>
      <c r="J360" s="4243"/>
      <c r="K360" s="4243"/>
      <c r="L360" s="4243"/>
      <c r="M360" s="4243"/>
      <c r="N360" s="4243"/>
      <c r="O360" s="128" t="s">
        <v>1610</v>
      </c>
      <c r="P360" s="662"/>
      <c r="Q360" s="663"/>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77"/>
      <c r="Q361" s="876"/>
    </row>
    <row r="362" spans="1:31" s="102" customFormat="1" ht="10.5" customHeight="1">
      <c r="C362" s="371" t="s">
        <v>3747</v>
      </c>
      <c r="E362" s="870"/>
      <c r="F362" s="870"/>
      <c r="G362" s="870"/>
      <c r="H362" s="870"/>
      <c r="I362" s="870"/>
      <c r="J362" s="870"/>
      <c r="K362" s="870"/>
      <c r="L362" s="870"/>
      <c r="M362" s="870"/>
      <c r="N362" s="870"/>
      <c r="P362" s="879"/>
      <c r="Q362" s="878"/>
    </row>
    <row r="363" spans="1:31" ht="21.75" customHeight="1">
      <c r="A363" s="110" t="s">
        <v>2933</v>
      </c>
      <c r="B363" s="4243" t="s">
        <v>3268</v>
      </c>
      <c r="C363" s="4243"/>
      <c r="D363" s="4243"/>
      <c r="E363" s="4243"/>
      <c r="F363" s="4243"/>
      <c r="G363" s="4243"/>
      <c r="H363" s="4243"/>
      <c r="I363" s="4243"/>
      <c r="J363" s="4243"/>
      <c r="K363" s="4243"/>
      <c r="L363" s="4243"/>
      <c r="M363" s="4243"/>
      <c r="N363" s="4243"/>
      <c r="O363" s="128" t="s">
        <v>2933</v>
      </c>
      <c r="P363" s="877"/>
      <c r="Q363" s="876"/>
    </row>
    <row r="364" spans="1:31" ht="33" customHeight="1">
      <c r="A364" s="110" t="s">
        <v>572</v>
      </c>
      <c r="B364" s="4243" t="s">
        <v>3269</v>
      </c>
      <c r="C364" s="4243"/>
      <c r="D364" s="4243"/>
      <c r="E364" s="4243"/>
      <c r="F364" s="4243"/>
      <c r="G364" s="4243"/>
      <c r="H364" s="4243"/>
      <c r="I364" s="4243"/>
      <c r="J364" s="4243"/>
      <c r="K364" s="4243"/>
      <c r="L364" s="4243"/>
      <c r="M364" s="4243"/>
      <c r="N364" s="4243"/>
      <c r="O364" s="128" t="s">
        <v>572</v>
      </c>
      <c r="P364" s="879"/>
      <c r="Q364" s="878"/>
    </row>
    <row r="365" spans="1:31" ht="10.5" customHeight="1">
      <c r="B365" s="109" t="s">
        <v>3157</v>
      </c>
      <c r="D365" s="109"/>
      <c r="E365" s="109"/>
      <c r="F365" s="109"/>
      <c r="G365" s="109"/>
      <c r="H365" s="33"/>
      <c r="I365" s="874"/>
      <c r="J365" s="874"/>
      <c r="K365" s="874"/>
      <c r="L365" s="671"/>
      <c r="M365" s="671"/>
      <c r="N365" s="671"/>
      <c r="O365" s="671"/>
      <c r="P365" s="671"/>
      <c r="Q365" s="671"/>
    </row>
    <row r="366" spans="1:31" ht="31.5" customHeight="1">
      <c r="A366" s="4240"/>
      <c r="B366" s="4241"/>
      <c r="C366" s="4241"/>
      <c r="D366" s="4241"/>
      <c r="E366" s="4241"/>
      <c r="F366" s="4241"/>
      <c r="G366" s="4241"/>
      <c r="H366" s="4241"/>
      <c r="I366" s="4241"/>
      <c r="J366" s="4241"/>
      <c r="K366" s="4241"/>
      <c r="L366" s="4241"/>
      <c r="M366" s="4241"/>
      <c r="N366" s="4241"/>
      <c r="O366" s="4241"/>
      <c r="P366" s="4241"/>
      <c r="Q366" s="4242"/>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4244"/>
      <c r="B368" s="4245"/>
      <c r="C368" s="4245"/>
      <c r="D368" s="4245"/>
      <c r="E368" s="4245"/>
      <c r="F368" s="4245"/>
      <c r="G368" s="4245"/>
      <c r="H368" s="4245"/>
      <c r="I368" s="4245"/>
      <c r="J368" s="4245"/>
      <c r="K368" s="4245"/>
      <c r="L368" s="4245"/>
      <c r="M368" s="4245"/>
      <c r="N368" s="4245"/>
      <c r="O368" s="4245"/>
      <c r="P368" s="4245"/>
      <c r="Q368" s="4246"/>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5" customHeight="1">
      <c r="A371" s="2" t="s">
        <v>3290</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4261"/>
      <c r="Q371" s="4250"/>
    </row>
    <row r="372" spans="1:31" ht="11.65" customHeight="1">
      <c r="A372" s="40" t="s">
        <v>1836</v>
      </c>
      <c r="B372" s="32" t="s">
        <v>969</v>
      </c>
      <c r="E372" s="4376"/>
      <c r="F372" s="4377"/>
      <c r="G372" s="4377"/>
      <c r="H372" s="4377"/>
      <c r="I372" s="4378"/>
      <c r="J372" s="4379" t="s">
        <v>2430</v>
      </c>
      <c r="K372" s="4380"/>
      <c r="L372" s="4381"/>
      <c r="M372" s="4376"/>
      <c r="N372" s="4377"/>
      <c r="O372" s="4377"/>
      <c r="P372" s="4377"/>
      <c r="Q372" s="4378"/>
    </row>
    <row r="373" spans="1:31" s="102" customFormat="1" ht="22.5" customHeight="1">
      <c r="A373" s="110" t="s">
        <v>1838</v>
      </c>
      <c r="B373" s="4243" t="s">
        <v>2998</v>
      </c>
      <c r="C373" s="4243"/>
      <c r="D373" s="4243"/>
      <c r="E373" s="4243"/>
      <c r="F373" s="4243"/>
      <c r="G373" s="4243"/>
      <c r="H373" s="4243"/>
      <c r="I373" s="4243"/>
      <c r="J373" s="4243"/>
      <c r="K373" s="4243"/>
      <c r="L373" s="4243"/>
      <c r="M373" s="4243"/>
      <c r="N373" s="4243"/>
      <c r="O373" s="128" t="s">
        <v>1838</v>
      </c>
      <c r="P373" s="430"/>
      <c r="Q373" s="421"/>
    </row>
    <row r="374" spans="1:31" ht="13">
      <c r="A374" s="110" t="s">
        <v>697</v>
      </c>
      <c r="B374" s="44" t="s">
        <v>3118</v>
      </c>
      <c r="G374" s="872"/>
      <c r="H374" s="872"/>
      <c r="I374" s="872"/>
      <c r="J374" s="33" t="s">
        <v>3119</v>
      </c>
      <c r="L374" s="872"/>
      <c r="M374" s="4382" t="e">
        <f>#REF!</f>
        <v>#REF!</v>
      </c>
      <c r="N374" s="4383"/>
      <c r="O374" s="128" t="s">
        <v>697</v>
      </c>
      <c r="P374" s="176"/>
      <c r="Q374" s="420"/>
    </row>
    <row r="375" spans="1:31" ht="11.25" customHeight="1">
      <c r="B375" s="109" t="s">
        <v>3157</v>
      </c>
      <c r="D375" s="109"/>
      <c r="E375" s="109"/>
      <c r="F375" s="109"/>
      <c r="G375" s="109"/>
      <c r="H375" s="33"/>
      <c r="I375" s="874"/>
      <c r="J375" s="874"/>
      <c r="K375" s="874"/>
      <c r="L375" s="671"/>
      <c r="M375" s="671"/>
      <c r="N375" s="671"/>
      <c r="O375" s="671"/>
      <c r="P375" s="671"/>
      <c r="Q375" s="671"/>
    </row>
    <row r="376" spans="1:31" ht="11.65" customHeight="1">
      <c r="A376" s="4240"/>
      <c r="B376" s="4241"/>
      <c r="C376" s="4241"/>
      <c r="D376" s="4241"/>
      <c r="E376" s="4241"/>
      <c r="F376" s="4241"/>
      <c r="G376" s="4241"/>
      <c r="H376" s="4241"/>
      <c r="I376" s="4241"/>
      <c r="J376" s="4241"/>
      <c r="K376" s="4241"/>
      <c r="L376" s="4241"/>
      <c r="M376" s="4241"/>
      <c r="N376" s="4241"/>
      <c r="O376" s="4241"/>
      <c r="P376" s="4241"/>
      <c r="Q376" s="4242"/>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65" customHeight="1">
      <c r="A378" s="4244"/>
      <c r="B378" s="4245"/>
      <c r="C378" s="4245"/>
      <c r="D378" s="4245"/>
      <c r="E378" s="4245"/>
      <c r="F378" s="4245"/>
      <c r="G378" s="4245"/>
      <c r="H378" s="4245"/>
      <c r="I378" s="4245"/>
      <c r="J378" s="4245"/>
      <c r="K378" s="4245"/>
      <c r="L378" s="4245"/>
      <c r="M378" s="4245"/>
      <c r="N378" s="4245"/>
      <c r="O378" s="4245"/>
      <c r="P378" s="4245"/>
      <c r="Q378" s="4246"/>
    </row>
    <row r="379" spans="1:31" ht="3.65" customHeight="1">
      <c r="A379" s="671"/>
      <c r="B379" s="874"/>
      <c r="C379" s="870"/>
      <c r="D379" s="870"/>
      <c r="E379" s="870"/>
      <c r="F379" s="870"/>
      <c r="G379" s="870"/>
      <c r="H379" s="870"/>
      <c r="I379" s="870"/>
      <c r="J379" s="870"/>
      <c r="K379" s="870"/>
      <c r="L379" s="870"/>
      <c r="M379" s="870"/>
      <c r="Q379" s="671"/>
    </row>
    <row r="380" spans="1:31" ht="14.15" customHeight="1">
      <c r="A380" s="2" t="s">
        <v>3291</v>
      </c>
      <c r="B380" s="4" t="s">
        <v>2428</v>
      </c>
      <c r="C380" s="4"/>
      <c r="D380" s="4"/>
      <c r="E380" s="870"/>
      <c r="G380" s="108" t="s">
        <v>654</v>
      </c>
      <c r="H380" s="870"/>
      <c r="I380" s="870"/>
      <c r="J380" s="870"/>
      <c r="K380" s="870"/>
      <c r="L380" s="870"/>
      <c r="M380" s="870"/>
      <c r="O380" s="101" t="s">
        <v>1726</v>
      </c>
      <c r="P380" s="4261"/>
      <c r="Q380" s="4372"/>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3900</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420"/>
      <c r="I385" s="4421"/>
      <c r="J385" s="4421"/>
      <c r="K385" s="4421"/>
      <c r="L385" s="4421"/>
      <c r="M385" s="4421"/>
      <c r="N385" s="4421"/>
      <c r="O385" s="4422"/>
      <c r="P385" s="176"/>
      <c r="Q385" s="420"/>
    </row>
    <row r="386" spans="1:31" ht="11.25" customHeight="1">
      <c r="B386" s="109" t="s">
        <v>3157</v>
      </c>
      <c r="D386" s="109"/>
      <c r="E386" s="109"/>
      <c r="F386" s="109"/>
      <c r="G386" s="109"/>
      <c r="H386" s="33"/>
      <c r="I386" s="874"/>
      <c r="J386" s="874"/>
      <c r="K386" s="874"/>
      <c r="L386" s="671"/>
      <c r="M386" s="671"/>
      <c r="N386" s="671"/>
      <c r="O386" s="671"/>
      <c r="P386" s="671"/>
      <c r="Q386" s="671"/>
    </row>
    <row r="387" spans="1:31" ht="11.65" customHeight="1">
      <c r="A387" s="4240"/>
      <c r="B387" s="4241"/>
      <c r="C387" s="4241"/>
      <c r="D387" s="4241"/>
      <c r="E387" s="4241"/>
      <c r="F387" s="4241"/>
      <c r="G387" s="4241"/>
      <c r="H387" s="4241"/>
      <c r="I387" s="4241"/>
      <c r="J387" s="4241"/>
      <c r="K387" s="4241"/>
      <c r="L387" s="4241"/>
      <c r="M387" s="4241"/>
      <c r="N387" s="4241"/>
      <c r="O387" s="4241"/>
      <c r="P387" s="4241"/>
      <c r="Q387" s="4242"/>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65" customHeight="1">
      <c r="A389" s="4244"/>
      <c r="B389" s="4245"/>
      <c r="C389" s="4245"/>
      <c r="D389" s="4245"/>
      <c r="E389" s="4245"/>
      <c r="F389" s="4245"/>
      <c r="G389" s="4245"/>
      <c r="H389" s="4245"/>
      <c r="I389" s="4245"/>
      <c r="J389" s="4245"/>
      <c r="K389" s="4245"/>
      <c r="L389" s="4245"/>
      <c r="M389" s="4245"/>
      <c r="N389" s="4245"/>
      <c r="O389" s="4245"/>
      <c r="P389" s="4245"/>
      <c r="Q389" s="4246"/>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5" customHeight="1">
      <c r="A391" s="2" t="s">
        <v>3292</v>
      </c>
      <c r="B391" s="4" t="s">
        <v>3812</v>
      </c>
      <c r="C391" s="4"/>
      <c r="D391" s="4"/>
      <c r="E391" s="4"/>
      <c r="F391" s="4"/>
      <c r="G391" s="4"/>
      <c r="H391" s="870"/>
      <c r="I391" s="870"/>
      <c r="J391" s="870"/>
      <c r="K391" s="870"/>
      <c r="L391" s="870"/>
      <c r="M391" s="870"/>
      <c r="O391" s="101" t="s">
        <v>1726</v>
      </c>
      <c r="P391" s="4396"/>
      <c r="Q391" s="4397"/>
    </row>
    <row r="392" spans="1:31" ht="12" customHeight="1">
      <c r="B392" s="44" t="s">
        <v>4144</v>
      </c>
      <c r="O392" s="49"/>
      <c r="P392" s="372"/>
      <c r="Q392" s="417"/>
    </row>
    <row r="393" spans="1:31" ht="12" customHeight="1">
      <c r="A393" s="40" t="s">
        <v>1836</v>
      </c>
      <c r="B393" s="66" t="s">
        <v>3811</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3901</v>
      </c>
      <c r="D395" s="44" t="s">
        <v>3902</v>
      </c>
      <c r="E395" s="35"/>
      <c r="F395" s="35"/>
      <c r="G395" s="35"/>
      <c r="H395" s="35"/>
      <c r="I395" s="35"/>
      <c r="J395" s="35"/>
      <c r="K395" s="35"/>
      <c r="L395" s="35"/>
      <c r="M395" s="35"/>
      <c r="N395" s="35"/>
      <c r="O395" s="48" t="s">
        <v>3901</v>
      </c>
      <c r="P395" s="4344"/>
      <c r="Q395" s="4342"/>
    </row>
    <row r="396" spans="1:31" ht="12" customHeight="1">
      <c r="A396" s="40"/>
      <c r="D396" s="29" t="s">
        <v>4393</v>
      </c>
      <c r="E396" s="29"/>
      <c r="F396" s="29"/>
      <c r="G396" s="29"/>
      <c r="H396" s="29"/>
      <c r="I396" s="29"/>
      <c r="J396" s="29"/>
      <c r="K396" s="29"/>
      <c r="L396" s="29"/>
      <c r="M396" s="29"/>
      <c r="N396" s="35"/>
      <c r="O396" s="1326"/>
      <c r="P396" s="4345"/>
      <c r="Q396" s="4343"/>
    </row>
    <row r="397" spans="1:31" ht="12" customHeight="1">
      <c r="C397" s="29" t="s">
        <v>2235</v>
      </c>
      <c r="D397" s="29" t="s">
        <v>2999</v>
      </c>
      <c r="E397" s="29"/>
      <c r="F397" s="29"/>
      <c r="G397" s="29"/>
      <c r="H397" s="29"/>
      <c r="I397" s="29"/>
      <c r="J397" s="29"/>
      <c r="K397" s="29"/>
      <c r="L397" s="29"/>
      <c r="M397" s="29"/>
      <c r="N397" s="35"/>
      <c r="O397" s="48" t="s">
        <v>2235</v>
      </c>
      <c r="P397" s="777"/>
      <c r="Q397" s="704"/>
    </row>
    <row r="398" spans="1:31" s="115" customFormat="1" ht="12" customHeight="1">
      <c r="A398" s="40"/>
      <c r="C398" s="29" t="s">
        <v>3815</v>
      </c>
      <c r="D398" s="29" t="s">
        <v>3056</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4243" t="s">
        <v>4047</v>
      </c>
      <c r="D400" s="4243"/>
      <c r="E400" s="4243"/>
      <c r="F400" s="4243"/>
      <c r="G400" s="29" t="s">
        <v>3816</v>
      </c>
      <c r="J400" s="702"/>
      <c r="K400" s="425"/>
      <c r="M400" s="29" t="s">
        <v>4118</v>
      </c>
      <c r="P400" s="1652"/>
      <c r="Q400" s="1653"/>
    </row>
    <row r="401" spans="1:44" ht="12" customHeight="1">
      <c r="A401" s="40"/>
      <c r="C401" s="4243"/>
      <c r="D401" s="4243"/>
      <c r="E401" s="4243"/>
      <c r="F401" s="4243"/>
      <c r="G401" s="29" t="s">
        <v>4117</v>
      </c>
      <c r="J401" s="703"/>
      <c r="K401" s="426"/>
      <c r="M401" s="29" t="s">
        <v>4119</v>
      </c>
      <c r="P401" s="703"/>
      <c r="Q401" s="426"/>
    </row>
    <row r="402" spans="1:44" ht="8.25" customHeight="1">
      <c r="A402" s="40"/>
      <c r="C402" s="4243"/>
      <c r="D402" s="4243"/>
      <c r="E402" s="4243"/>
      <c r="F402" s="4243"/>
      <c r="J402" s="1439"/>
      <c r="L402" s="33"/>
      <c r="M402" s="35"/>
      <c r="N402" s="48"/>
    </row>
    <row r="403" spans="1:44" s="72" customFormat="1" ht="12.75" customHeight="1">
      <c r="A403" s="107"/>
      <c r="B403" s="153"/>
      <c r="D403" s="875"/>
      <c r="E403" s="875"/>
      <c r="F403" s="875"/>
      <c r="G403" s="875"/>
      <c r="H403" s="875"/>
      <c r="I403" s="4303" t="s">
        <v>4074</v>
      </c>
      <c r="J403" s="4303" t="s">
        <v>4075</v>
      </c>
      <c r="K403" s="4303" t="s">
        <v>4077</v>
      </c>
      <c r="L403" s="4303"/>
      <c r="M403" s="4303"/>
      <c r="N403" s="4384" t="s">
        <v>4076</v>
      </c>
      <c r="O403" s="48"/>
      <c r="P403" s="4235" t="s">
        <v>4581</v>
      </c>
      <c r="Q403" s="4235"/>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304"/>
      <c r="J404" s="4303"/>
      <c r="K404" s="4303"/>
      <c r="L404" s="4303"/>
      <c r="M404" s="4303"/>
      <c r="N404" s="4385"/>
      <c r="O404" s="48"/>
      <c r="P404" s="4236"/>
      <c r="Q404" s="4236"/>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43" t="s">
        <v>4188</v>
      </c>
      <c r="D405" s="4243"/>
      <c r="E405" s="4243"/>
      <c r="F405" s="4243"/>
      <c r="G405" s="4243"/>
      <c r="H405" s="4243"/>
      <c r="I405" s="364">
        <f>K290</f>
        <v>0</v>
      </c>
      <c r="J405" s="1654"/>
      <c r="K405" s="4386"/>
      <c r="L405" s="4386"/>
      <c r="M405" s="4387"/>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43"/>
      <c r="D406" s="4243"/>
      <c r="E406" s="4243"/>
      <c r="F406" s="4243"/>
      <c r="G406" s="4243"/>
      <c r="H406" s="4243"/>
      <c r="I406" s="248"/>
      <c r="J406" s="1655"/>
      <c r="K406" s="4388"/>
      <c r="L406" s="4388"/>
      <c r="M406" s="4389"/>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4078</v>
      </c>
      <c r="E408" s="108"/>
      <c r="F408" s="108"/>
      <c r="G408" s="108"/>
      <c r="H408" s="108"/>
      <c r="I408" s="364">
        <f>K291</f>
        <v>0</v>
      </c>
      <c r="J408" s="1654"/>
      <c r="K408" s="4386"/>
      <c r="L408" s="4386"/>
      <c r="M408" s="4387"/>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388"/>
      <c r="L409" s="4388"/>
      <c r="M409" s="4389"/>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43" t="s">
        <v>4189</v>
      </c>
      <c r="D411" s="4243"/>
      <c r="E411" s="4243"/>
      <c r="F411" s="4243"/>
      <c r="G411" s="4243"/>
      <c r="H411" s="4243"/>
      <c r="I411" s="364">
        <f>K293</f>
        <v>0</v>
      </c>
      <c r="J411" s="1654"/>
      <c r="K411" s="4386"/>
      <c r="L411" s="4386"/>
      <c r="M411" s="4387"/>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43"/>
      <c r="D412" s="4243"/>
      <c r="E412" s="4243"/>
      <c r="F412" s="4243"/>
      <c r="G412" s="4243"/>
      <c r="H412" s="4243"/>
      <c r="J412" s="1655"/>
      <c r="K412" s="4388"/>
      <c r="L412" s="4388"/>
      <c r="M412" s="4389"/>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3711</v>
      </c>
      <c r="E414" s="33"/>
      <c r="F414" s="33"/>
      <c r="G414" s="33"/>
      <c r="J414" s="35"/>
      <c r="K414" s="33"/>
      <c r="L414" s="33"/>
      <c r="M414" s="35"/>
      <c r="N414" s="48"/>
      <c r="P414" s="48"/>
      <c r="Q414" s="48"/>
    </row>
    <row r="415" spans="1:44" ht="12" customHeight="1">
      <c r="A415" s="40"/>
      <c r="B415" s="44"/>
      <c r="C415" s="33" t="s">
        <v>4121</v>
      </c>
      <c r="D415" s="115"/>
      <c r="E415" s="33"/>
      <c r="F415" s="33"/>
      <c r="L415" s="33"/>
      <c r="M415" s="33"/>
      <c r="O415" s="48" t="s">
        <v>2234</v>
      </c>
      <c r="P415" s="372" t="s">
        <v>1641</v>
      </c>
      <c r="Q415" s="417" t="s">
        <v>1641</v>
      </c>
    </row>
    <row r="416" spans="1:44" ht="12" customHeight="1">
      <c r="A416" s="35"/>
      <c r="B416" s="115"/>
      <c r="D416" s="4419" t="s">
        <v>4122</v>
      </c>
      <c r="E416" s="351" t="s">
        <v>2257</v>
      </c>
      <c r="F416" s="44" t="s">
        <v>3204</v>
      </c>
      <c r="G416" s="4398"/>
      <c r="H416" s="4399"/>
      <c r="I416" s="4399"/>
      <c r="J416" s="4399"/>
      <c r="K416" s="4400"/>
      <c r="L416" s="351"/>
    </row>
    <row r="417" spans="1:31" ht="12" customHeight="1">
      <c r="B417" s="115"/>
      <c r="D417" s="4419"/>
      <c r="E417" s="351" t="s">
        <v>3813</v>
      </c>
      <c r="F417" s="44" t="s">
        <v>3814</v>
      </c>
      <c r="G417" s="4373" t="s">
        <v>3121</v>
      </c>
      <c r="H417" s="4374"/>
      <c r="I417" s="4375"/>
      <c r="J417" s="44" t="s">
        <v>3678</v>
      </c>
      <c r="K417" s="115"/>
      <c r="M417" s="4398"/>
      <c r="N417" s="4399"/>
      <c r="O417" s="4399"/>
      <c r="P417" s="4399"/>
      <c r="Q417" s="4400"/>
    </row>
    <row r="418" spans="1:31" ht="12" customHeight="1">
      <c r="A418" s="35"/>
      <c r="B418" s="115"/>
      <c r="C418" s="44" t="s">
        <v>4120</v>
      </c>
      <c r="D418" s="115"/>
      <c r="E418" s="33"/>
      <c r="F418" s="33"/>
      <c r="G418" s="33"/>
      <c r="H418" s="33"/>
      <c r="I418" s="33"/>
      <c r="J418" s="33"/>
      <c r="K418" s="33"/>
      <c r="L418" s="33"/>
      <c r="M418" s="33"/>
      <c r="N418" s="33"/>
      <c r="O418" s="33"/>
      <c r="P418" s="33"/>
      <c r="Q418" s="33"/>
    </row>
    <row r="419" spans="1:31" ht="44.65" customHeight="1">
      <c r="B419" s="4390"/>
      <c r="C419" s="4391"/>
      <c r="D419" s="4391"/>
      <c r="E419" s="4391"/>
      <c r="F419" s="4391"/>
      <c r="G419" s="4391"/>
      <c r="H419" s="4391"/>
      <c r="I419" s="4391"/>
      <c r="J419" s="4391"/>
      <c r="K419" s="4391"/>
      <c r="L419" s="4391"/>
      <c r="M419" s="4391"/>
      <c r="N419" s="4391"/>
      <c r="O419" s="4391"/>
      <c r="P419" s="4391"/>
      <c r="Q419" s="4392"/>
      <c r="R419" s="353" t="s">
        <v>3677</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4418" t="s">
        <v>3903</v>
      </c>
      <c r="C421" s="4243"/>
      <c r="D421" s="4243"/>
      <c r="E421" s="4243"/>
      <c r="F421" s="4243"/>
      <c r="G421" s="4243"/>
      <c r="H421" s="4243"/>
      <c r="I421" s="4243"/>
      <c r="J421" s="4243"/>
      <c r="K421" s="4243"/>
      <c r="L421" s="4243"/>
      <c r="M421" s="4243"/>
      <c r="N421" s="4243"/>
    </row>
    <row r="422" spans="1:31" s="115" customFormat="1" ht="45" customHeight="1">
      <c r="B422" s="4243" t="s">
        <v>4433</v>
      </c>
      <c r="C422" s="4243"/>
      <c r="D422" s="4243"/>
      <c r="E422" s="4243"/>
      <c r="F422" s="4243"/>
      <c r="G422" s="4243"/>
      <c r="H422" s="4243"/>
      <c r="I422" s="4243"/>
      <c r="J422" s="4243"/>
      <c r="K422" s="4243"/>
      <c r="L422" s="4243"/>
      <c r="M422" s="4243"/>
      <c r="N422" s="4243"/>
      <c r="O422" s="128" t="s">
        <v>1838</v>
      </c>
      <c r="P422" s="888"/>
      <c r="Q422" s="889"/>
    </row>
    <row r="423" spans="1:31" ht="12" customHeight="1">
      <c r="B423" s="109" t="s">
        <v>3157</v>
      </c>
      <c r="D423" s="109"/>
      <c r="E423" s="109"/>
      <c r="F423" s="109"/>
      <c r="G423" s="109"/>
      <c r="H423" s="33"/>
      <c r="I423" s="874"/>
      <c r="J423" s="874"/>
      <c r="K423" s="874"/>
    </row>
    <row r="424" spans="1:31" ht="33.65" customHeight="1">
      <c r="A424" s="4240"/>
      <c r="B424" s="4241"/>
      <c r="C424" s="4241"/>
      <c r="D424" s="4241"/>
      <c r="E424" s="4241"/>
      <c r="F424" s="4241"/>
      <c r="G424" s="4241"/>
      <c r="H424" s="4241"/>
      <c r="I424" s="4241"/>
      <c r="J424" s="4241"/>
      <c r="K424" s="4241"/>
      <c r="L424" s="4241"/>
      <c r="M424" s="4241"/>
      <c r="N424" s="4241"/>
      <c r="O424" s="4241"/>
      <c r="P424" s="4241"/>
      <c r="Q424" s="4242"/>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5" customHeight="1">
      <c r="A426" s="4244"/>
      <c r="B426" s="4245"/>
      <c r="C426" s="4245"/>
      <c r="D426" s="4245"/>
      <c r="E426" s="4245"/>
      <c r="F426" s="4245"/>
      <c r="G426" s="4245"/>
      <c r="H426" s="4245"/>
      <c r="I426" s="4245"/>
      <c r="J426" s="4245"/>
      <c r="K426" s="4245"/>
      <c r="L426" s="4245"/>
      <c r="M426" s="4245"/>
      <c r="N426" s="4245"/>
      <c r="O426" s="4245"/>
      <c r="P426" s="4245"/>
      <c r="Q426" s="4246"/>
    </row>
    <row r="427" spans="1:31" ht="3" customHeight="1">
      <c r="A427" s="671"/>
      <c r="B427" s="874"/>
      <c r="C427" s="870"/>
      <c r="D427" s="870"/>
      <c r="E427" s="870"/>
      <c r="F427" s="870"/>
      <c r="G427" s="870"/>
      <c r="H427" s="870"/>
      <c r="I427" s="870"/>
      <c r="J427" s="870"/>
      <c r="K427" s="870"/>
      <c r="L427" s="870"/>
      <c r="M427" s="870"/>
      <c r="Q427" s="671"/>
    </row>
    <row r="428" spans="1:31" ht="14.15" customHeight="1">
      <c r="A428" s="2" t="s">
        <v>3293</v>
      </c>
      <c r="B428" s="4" t="s">
        <v>2502</v>
      </c>
      <c r="C428" s="4"/>
      <c r="D428" s="66"/>
      <c r="E428" s="870"/>
      <c r="F428" s="870"/>
      <c r="G428" s="870"/>
      <c r="H428" s="870"/>
      <c r="O428" s="101" t="s">
        <v>1726</v>
      </c>
      <c r="P428" s="4261"/>
      <c r="Q428" s="4250"/>
    </row>
    <row r="429" spans="1:31" ht="14.15" customHeight="1">
      <c r="B429" s="66" t="s">
        <v>3773</v>
      </c>
      <c r="C429" s="4"/>
      <c r="D429" s="66"/>
      <c r="E429" s="870"/>
      <c r="F429" s="870"/>
      <c r="G429" s="870"/>
      <c r="H429" s="870"/>
    </row>
    <row r="430" spans="1:31" s="102" customFormat="1" ht="21.75" customHeight="1">
      <c r="A430" s="110" t="s">
        <v>1836</v>
      </c>
      <c r="B430" s="4243" t="s">
        <v>3227</v>
      </c>
      <c r="C430" s="4243"/>
      <c r="D430" s="4243"/>
      <c r="E430" s="4243"/>
      <c r="F430" s="4243"/>
      <c r="G430" s="4243"/>
      <c r="H430" s="4243"/>
      <c r="I430" s="4243"/>
      <c r="J430" s="4243"/>
      <c r="K430" s="4243"/>
      <c r="L430" s="4243"/>
      <c r="M430" s="4243"/>
      <c r="N430" s="4243"/>
      <c r="O430" s="128" t="s">
        <v>1836</v>
      </c>
      <c r="P430" s="877"/>
      <c r="Q430" s="876"/>
    </row>
    <row r="431" spans="1:31" s="102" customFormat="1" ht="22.5" customHeight="1">
      <c r="A431" s="110" t="s">
        <v>1838</v>
      </c>
      <c r="B431" s="4243" t="s">
        <v>3226</v>
      </c>
      <c r="C431" s="4243"/>
      <c r="D431" s="4243"/>
      <c r="E431" s="4243"/>
      <c r="F431" s="4243"/>
      <c r="G431" s="4243"/>
      <c r="H431" s="4243"/>
      <c r="I431" s="4243"/>
      <c r="J431" s="4243"/>
      <c r="K431" s="4243"/>
      <c r="L431" s="4243"/>
      <c r="M431" s="4243"/>
      <c r="N431" s="4243"/>
      <c r="O431" s="128" t="s">
        <v>1838</v>
      </c>
      <c r="P431" s="430"/>
      <c r="Q431" s="421"/>
    </row>
    <row r="432" spans="1:31" s="102" customFormat="1" ht="22.5" customHeight="1">
      <c r="B432" s="1155" t="s">
        <v>1611</v>
      </c>
      <c r="C432" s="4243" t="s">
        <v>3743</v>
      </c>
      <c r="D432" s="4243"/>
      <c r="E432" s="4243"/>
      <c r="F432" s="4243"/>
      <c r="G432" s="4243"/>
      <c r="H432" s="4243"/>
      <c r="I432" s="4243"/>
      <c r="J432" s="4243"/>
      <c r="K432" s="4243"/>
      <c r="L432" s="4243"/>
      <c r="M432" s="4243"/>
      <c r="N432" s="4243"/>
      <c r="O432" s="128" t="s">
        <v>1611</v>
      </c>
      <c r="P432" s="430"/>
      <c r="Q432" s="421"/>
    </row>
    <row r="433" spans="1:31" s="35" customFormat="1" ht="12" customHeight="1">
      <c r="B433" s="1155"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43" t="s">
        <v>3745</v>
      </c>
      <c r="D434" s="4243"/>
      <c r="E434" s="4243"/>
      <c r="F434" s="4243"/>
      <c r="G434" s="4243"/>
      <c r="H434" s="4243"/>
      <c r="I434" s="4243"/>
      <c r="J434" s="4243"/>
      <c r="K434" s="4243"/>
      <c r="L434" s="4243"/>
      <c r="M434" s="4243"/>
      <c r="N434" s="4243"/>
      <c r="O434" s="128" t="s">
        <v>1613</v>
      </c>
      <c r="P434" s="430"/>
      <c r="Q434" s="421"/>
    </row>
    <row r="435" spans="1:31" s="102" customFormat="1" ht="22.5" customHeight="1">
      <c r="B435" s="371" t="s">
        <v>2176</v>
      </c>
      <c r="C435" s="4243" t="s">
        <v>3746</v>
      </c>
      <c r="D435" s="4243"/>
      <c r="E435" s="4243"/>
      <c r="F435" s="4243"/>
      <c r="G435" s="4243"/>
      <c r="H435" s="4243"/>
      <c r="I435" s="4243"/>
      <c r="J435" s="4243"/>
      <c r="K435" s="4243"/>
      <c r="L435" s="4243"/>
      <c r="M435" s="4243"/>
      <c r="N435" s="4243"/>
      <c r="O435" s="128" t="s">
        <v>2176</v>
      </c>
      <c r="P435" s="430"/>
      <c r="Q435" s="421"/>
    </row>
    <row r="436" spans="1:31" s="102" customFormat="1" ht="22.5" customHeight="1">
      <c r="A436" s="110" t="s">
        <v>697</v>
      </c>
      <c r="B436" s="4243" t="s">
        <v>3228</v>
      </c>
      <c r="C436" s="4243"/>
      <c r="D436" s="4243"/>
      <c r="E436" s="4243"/>
      <c r="F436" s="4243"/>
      <c r="G436" s="4243"/>
      <c r="H436" s="4243"/>
      <c r="I436" s="4243"/>
      <c r="J436" s="4243"/>
      <c r="K436" s="4243"/>
      <c r="L436" s="4243"/>
      <c r="M436" s="4243"/>
      <c r="N436" s="4243"/>
      <c r="O436" s="128" t="s">
        <v>697</v>
      </c>
      <c r="P436" s="430"/>
      <c r="Q436" s="421"/>
    </row>
    <row r="437" spans="1:31" s="102" customFormat="1" ht="22.5" customHeight="1">
      <c r="A437" s="110" t="s">
        <v>1957</v>
      </c>
      <c r="B437" s="4243" t="s">
        <v>3791</v>
      </c>
      <c r="C437" s="4243"/>
      <c r="D437" s="4243"/>
      <c r="E437" s="4243"/>
      <c r="F437" s="4243"/>
      <c r="G437" s="4243"/>
      <c r="H437" s="4243"/>
      <c r="I437" s="4243"/>
      <c r="J437" s="4243"/>
      <c r="K437" s="4243"/>
      <c r="L437" s="4243"/>
      <c r="M437" s="4243"/>
      <c r="N437" s="4243"/>
      <c r="O437" s="128" t="s">
        <v>1957</v>
      </c>
      <c r="P437" s="430"/>
      <c r="Q437" s="421"/>
    </row>
    <row r="438" spans="1:31" s="102" customFormat="1" ht="21.75" customHeight="1">
      <c r="A438" s="110" t="s">
        <v>1609</v>
      </c>
      <c r="B438" s="4243" t="s">
        <v>3792</v>
      </c>
      <c r="C438" s="4243"/>
      <c r="D438" s="4243"/>
      <c r="E438" s="4243"/>
      <c r="F438" s="4243"/>
      <c r="G438" s="4243"/>
      <c r="H438" s="4243"/>
      <c r="I438" s="4243"/>
      <c r="J438" s="4243"/>
      <c r="K438" s="4243"/>
      <c r="L438" s="4243"/>
      <c r="M438" s="4243"/>
      <c r="N438" s="4243"/>
      <c r="O438" s="128" t="s">
        <v>1609</v>
      </c>
      <c r="P438" s="430"/>
      <c r="Q438" s="421"/>
    </row>
    <row r="439" spans="1:31" s="333" customFormat="1" ht="21.75" customHeight="1">
      <c r="A439" s="110" t="s">
        <v>1610</v>
      </c>
      <c r="B439" s="4243" t="s">
        <v>3825</v>
      </c>
      <c r="C439" s="4243"/>
      <c r="D439" s="4243"/>
      <c r="E439" s="4243"/>
      <c r="F439" s="4243"/>
      <c r="G439" s="4243"/>
      <c r="H439" s="4243"/>
      <c r="I439" s="4243"/>
      <c r="J439" s="4243"/>
      <c r="K439" s="4243"/>
      <c r="L439" s="4243"/>
      <c r="M439" s="4243"/>
      <c r="N439" s="4243"/>
      <c r="O439" s="128" t="s">
        <v>1610</v>
      </c>
      <c r="P439" s="879"/>
      <c r="Q439" s="878"/>
    </row>
    <row r="440" spans="1:31" ht="11.25" customHeight="1">
      <c r="B440" s="109" t="s">
        <v>3157</v>
      </c>
      <c r="D440" s="109"/>
      <c r="E440" s="109"/>
      <c r="F440" s="109"/>
      <c r="G440" s="109"/>
      <c r="H440" s="33"/>
      <c r="I440" s="874"/>
      <c r="J440" s="874"/>
      <c r="K440" s="874"/>
      <c r="L440" s="671"/>
      <c r="M440" s="671"/>
      <c r="N440" s="671"/>
      <c r="O440" s="671"/>
      <c r="P440" s="671"/>
      <c r="Q440" s="671"/>
    </row>
    <row r="441" spans="1:31" ht="12.75" customHeight="1">
      <c r="A441" s="4240"/>
      <c r="B441" s="4241"/>
      <c r="C441" s="4241"/>
      <c r="D441" s="4241"/>
      <c r="E441" s="4241"/>
      <c r="F441" s="4241"/>
      <c r="G441" s="4241"/>
      <c r="H441" s="4241"/>
      <c r="I441" s="4241"/>
      <c r="J441" s="4241"/>
      <c r="K441" s="4241"/>
      <c r="L441" s="4241"/>
      <c r="M441" s="4241"/>
      <c r="N441" s="4241"/>
      <c r="O441" s="4241"/>
      <c r="P441" s="4241"/>
      <c r="Q441" s="4242"/>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4244"/>
      <c r="B443" s="4245"/>
      <c r="C443" s="4245"/>
      <c r="D443" s="4245"/>
      <c r="E443" s="4245"/>
      <c r="F443" s="4245"/>
      <c r="G443" s="4245"/>
      <c r="H443" s="4245"/>
      <c r="I443" s="4245"/>
      <c r="J443" s="4245"/>
      <c r="K443" s="4245"/>
      <c r="L443" s="4245"/>
      <c r="M443" s="4245"/>
      <c r="N443" s="4245"/>
      <c r="O443" s="4245"/>
      <c r="P443" s="4245"/>
      <c r="Q443" s="4246"/>
    </row>
    <row r="444" spans="1:31" ht="3" customHeight="1">
      <c r="A444" s="671"/>
      <c r="B444" s="874"/>
      <c r="C444" s="870"/>
      <c r="D444" s="870"/>
      <c r="E444" s="870"/>
      <c r="F444" s="870"/>
      <c r="G444" s="870"/>
      <c r="H444" s="870"/>
      <c r="I444" s="870"/>
      <c r="J444" s="870"/>
      <c r="K444" s="870"/>
      <c r="L444" s="870"/>
      <c r="M444" s="870"/>
      <c r="Q444" s="671"/>
    </row>
    <row r="445" spans="1:31" ht="14.15" customHeight="1">
      <c r="A445" s="2" t="s">
        <v>3679</v>
      </c>
      <c r="B445" s="4"/>
      <c r="C445" s="4" t="s">
        <v>2429</v>
      </c>
      <c r="D445" s="66"/>
      <c r="E445" s="870"/>
      <c r="F445" s="870"/>
      <c r="G445" s="870"/>
      <c r="H445" s="870"/>
      <c r="J445" s="870"/>
      <c r="K445" s="870"/>
      <c r="L445" s="870"/>
      <c r="M445" s="870"/>
      <c r="O445" s="101" t="s">
        <v>1726</v>
      </c>
      <c r="P445" s="4261"/>
      <c r="Q445" s="4250"/>
    </row>
    <row r="446" spans="1:31" ht="11.25" customHeight="1">
      <c r="A446" s="2"/>
      <c r="B446" s="109" t="s">
        <v>3157</v>
      </c>
      <c r="D446" s="109"/>
      <c r="E446" s="109"/>
      <c r="F446" s="109"/>
      <c r="G446" s="109"/>
      <c r="H446" s="33"/>
      <c r="I446" s="874"/>
      <c r="J446" s="874"/>
      <c r="K446" s="874"/>
      <c r="L446" s="671"/>
      <c r="M446" s="671"/>
      <c r="N446" s="671"/>
      <c r="O446" s="671"/>
      <c r="P446" s="671"/>
      <c r="Q446" s="671"/>
    </row>
    <row r="447" spans="1:31" ht="12" customHeight="1">
      <c r="A447" s="4240"/>
      <c r="B447" s="4241"/>
      <c r="C447" s="4241"/>
      <c r="D447" s="4241"/>
      <c r="E447" s="4241"/>
      <c r="F447" s="4241"/>
      <c r="G447" s="4241"/>
      <c r="H447" s="4241"/>
      <c r="I447" s="4241"/>
      <c r="J447" s="4241"/>
      <c r="K447" s="4241"/>
      <c r="L447" s="4241"/>
      <c r="M447" s="4241"/>
      <c r="N447" s="4241"/>
      <c r="O447" s="4241"/>
      <c r="P447" s="4241"/>
      <c r="Q447" s="4242"/>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4244"/>
      <c r="B449" s="4245"/>
      <c r="C449" s="4245"/>
      <c r="D449" s="4245"/>
      <c r="E449" s="4245"/>
      <c r="F449" s="4245"/>
      <c r="G449" s="4245"/>
      <c r="H449" s="4245"/>
      <c r="I449" s="4245"/>
      <c r="J449" s="4245"/>
      <c r="K449" s="4245"/>
      <c r="L449" s="4245"/>
      <c r="M449" s="4245"/>
      <c r="N449" s="4245"/>
      <c r="O449" s="4245"/>
      <c r="P449" s="4245"/>
      <c r="Q449" s="4246"/>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5">
      <c r="A456" s="44"/>
      <c r="B456" s="44"/>
      <c r="C456" s="790" t="s">
        <v>1641</v>
      </c>
      <c r="J456" s="1767" t="s">
        <v>1542</v>
      </c>
      <c r="N456" s="791"/>
      <c r="O456" s="1767" t="s">
        <v>3914</v>
      </c>
      <c r="P456" s="1768"/>
      <c r="R456" s="44"/>
    </row>
    <row r="457" spans="1:18" s="790" customFormat="1" ht="10.5">
      <c r="A457" s="44"/>
      <c r="B457" s="44"/>
      <c r="C457" s="1769" t="s">
        <v>1310</v>
      </c>
      <c r="J457" s="1767" t="s">
        <v>1948</v>
      </c>
      <c r="N457" s="791"/>
      <c r="O457" s="1767" t="s">
        <v>3915</v>
      </c>
      <c r="P457" s="1768"/>
      <c r="R457" s="44"/>
    </row>
    <row r="458" spans="1:18" s="790" customFormat="1" ht="10.5">
      <c r="A458" s="44"/>
      <c r="B458" s="44"/>
      <c r="C458" s="1769" t="s">
        <v>1311</v>
      </c>
      <c r="J458" s="1767" t="s">
        <v>1535</v>
      </c>
      <c r="N458" s="791"/>
      <c r="O458" s="1767" t="s">
        <v>3916</v>
      </c>
      <c r="P458" s="1768"/>
      <c r="R458" s="44"/>
    </row>
    <row r="459" spans="1:18" s="790" customFormat="1" ht="10.5">
      <c r="A459" s="44"/>
      <c r="B459" s="44"/>
      <c r="C459" s="1769" t="s">
        <v>1975</v>
      </c>
      <c r="J459" s="1767" t="s">
        <v>1119</v>
      </c>
      <c r="N459" s="791"/>
      <c r="O459" s="1767" t="s">
        <v>3920</v>
      </c>
      <c r="P459" s="1768"/>
      <c r="R459" s="44"/>
    </row>
    <row r="460" spans="1:18" s="790" customFormat="1" ht="10.5">
      <c r="A460" s="44"/>
      <c r="B460" s="44"/>
      <c r="C460" s="1769" t="s">
        <v>1307</v>
      </c>
      <c r="J460" s="1767" t="s">
        <v>548</v>
      </c>
      <c r="N460" s="791"/>
      <c r="O460" s="1767" t="s">
        <v>3917</v>
      </c>
      <c r="P460" s="1768"/>
      <c r="R460" s="44"/>
    </row>
    <row r="461" spans="1:18" s="790" customFormat="1" ht="10.5">
      <c r="A461" s="44"/>
      <c r="B461" s="44"/>
      <c r="C461" s="1769" t="s">
        <v>1308</v>
      </c>
      <c r="J461" s="1767" t="s">
        <v>1541</v>
      </c>
      <c r="N461" s="791"/>
      <c r="O461" s="1767" t="s">
        <v>3918</v>
      </c>
      <c r="P461" s="1768"/>
      <c r="R461" s="44"/>
    </row>
    <row r="462" spans="1:18" s="790" customFormat="1" ht="10.5">
      <c r="A462" s="44"/>
      <c r="B462" s="44"/>
      <c r="C462" s="1769" t="s">
        <v>1970</v>
      </c>
      <c r="J462" s="1767" t="s">
        <v>1116</v>
      </c>
      <c r="N462" s="791"/>
      <c r="O462" s="1767" t="s">
        <v>3919</v>
      </c>
      <c r="P462" s="1768"/>
      <c r="R462" s="44"/>
    </row>
    <row r="463" spans="1:18" s="790" customFormat="1" ht="10.5">
      <c r="A463" s="44"/>
      <c r="B463" s="44"/>
      <c r="C463" s="1769" t="s">
        <v>1971</v>
      </c>
      <c r="J463" s="1767" t="s">
        <v>1115</v>
      </c>
      <c r="N463" s="791"/>
      <c r="O463" s="790" t="s">
        <v>3194</v>
      </c>
      <c r="P463" s="1768"/>
      <c r="R463" s="44"/>
    </row>
    <row r="464" spans="1:18" s="790" customFormat="1" ht="10.5">
      <c r="A464" s="44"/>
      <c r="B464" s="44"/>
      <c r="C464" s="1769" t="s">
        <v>1972</v>
      </c>
      <c r="J464" s="1767" t="s">
        <v>1601</v>
      </c>
      <c r="N464" s="791"/>
      <c r="O464" s="790" t="s">
        <v>3195</v>
      </c>
      <c r="P464" s="1768"/>
      <c r="R464" s="44"/>
    </row>
    <row r="465" spans="1:22" s="790" customFormat="1" ht="10.5">
      <c r="A465" s="44"/>
      <c r="B465" s="44"/>
      <c r="C465" s="1769" t="s">
        <v>1973</v>
      </c>
      <c r="J465" s="1767" t="s">
        <v>1544</v>
      </c>
      <c r="N465" s="791"/>
      <c r="O465" s="1767"/>
      <c r="P465" s="1768"/>
      <c r="R465" s="44"/>
    </row>
    <row r="466" spans="1:22" s="790" customFormat="1" ht="10.5">
      <c r="A466" s="44"/>
      <c r="B466" s="44"/>
      <c r="C466" s="1769" t="s">
        <v>1974</v>
      </c>
      <c r="J466" s="1767" t="s">
        <v>1536</v>
      </c>
      <c r="N466" s="791"/>
      <c r="O466" s="1768"/>
      <c r="P466" s="1768"/>
      <c r="R466" s="44"/>
    </row>
    <row r="467" spans="1:22" s="790" customFormat="1" ht="10.5">
      <c r="A467" s="44"/>
      <c r="B467" s="44"/>
      <c r="C467" s="1769" t="s">
        <v>1309</v>
      </c>
      <c r="J467" s="1767" t="s">
        <v>1947</v>
      </c>
      <c r="N467" s="791"/>
      <c r="O467" s="1767"/>
      <c r="P467" s="1768"/>
      <c r="R467" s="44"/>
    </row>
    <row r="468" spans="1:22" s="790" customFormat="1" ht="10.5">
      <c r="A468" s="44"/>
      <c r="B468" s="44"/>
      <c r="C468" s="1769" t="s">
        <v>2103</v>
      </c>
      <c r="N468" s="791"/>
      <c r="O468" s="1768"/>
      <c r="P468" s="1768"/>
      <c r="R468" s="44"/>
    </row>
    <row r="469" spans="1:22" s="790" customFormat="1" ht="10.5">
      <c r="A469" s="44"/>
      <c r="B469" s="44"/>
      <c r="N469" s="791"/>
      <c r="O469" s="1768"/>
      <c r="P469" s="1768"/>
      <c r="R469" s="44"/>
    </row>
    <row r="470" spans="1:22" s="790" customFormat="1" ht="10">
      <c r="A470" s="44"/>
      <c r="B470" s="44"/>
      <c r="R470" s="44"/>
      <c r="S470" s="44"/>
      <c r="T470" s="44"/>
      <c r="U470" s="44"/>
      <c r="V470" s="44"/>
    </row>
    <row r="471" spans="1:22" s="790" customFormat="1" ht="10">
      <c r="A471" s="44"/>
      <c r="B471" s="44"/>
      <c r="C471" s="1770" t="s">
        <v>1659</v>
      </c>
      <c r="R471" s="44"/>
    </row>
    <row r="472" spans="1:22" s="790" customFormat="1" ht="10">
      <c r="A472" s="44"/>
      <c r="B472" s="44"/>
      <c r="C472" s="790" t="s">
        <v>868</v>
      </c>
      <c r="R472" s="44"/>
    </row>
    <row r="473" spans="1:22" s="790" customFormat="1" ht="10">
      <c r="A473" s="44"/>
      <c r="B473" s="44"/>
      <c r="C473" s="1769" t="s">
        <v>1520</v>
      </c>
      <c r="R473" s="44"/>
    </row>
    <row r="474" spans="1:22" s="790" customFormat="1" ht="10">
      <c r="A474" s="44"/>
      <c r="B474" s="44"/>
      <c r="C474" s="1769" t="s">
        <v>671</v>
      </c>
      <c r="L474" s="1769"/>
      <c r="R474" s="44"/>
    </row>
    <row r="475" spans="1:22" s="790" customFormat="1" ht="10">
      <c r="A475" s="44"/>
      <c r="B475" s="44"/>
      <c r="C475" s="1769" t="s">
        <v>672</v>
      </c>
      <c r="L475" s="1769"/>
      <c r="R475" s="44"/>
    </row>
    <row r="476" spans="1:22" s="790" customFormat="1" ht="10">
      <c r="A476" s="44"/>
      <c r="B476" s="44"/>
      <c r="C476" s="1769" t="s">
        <v>1996</v>
      </c>
      <c r="L476" s="1769"/>
      <c r="R476" s="44"/>
    </row>
    <row r="477" spans="1:22" s="790" customFormat="1" ht="10">
      <c r="A477" s="44"/>
      <c r="B477" s="44"/>
      <c r="C477" s="1769" t="s">
        <v>120</v>
      </c>
      <c r="L477" s="1769"/>
      <c r="R477" s="44"/>
    </row>
    <row r="478" spans="1:22" s="790" customFormat="1" ht="10">
      <c r="A478" s="44"/>
      <c r="B478" s="44"/>
      <c r="C478" s="790" t="s">
        <v>118</v>
      </c>
      <c r="L478" s="1769"/>
      <c r="R478" s="44"/>
    </row>
    <row r="479" spans="1:22" s="790" customFormat="1" ht="10">
      <c r="A479" s="44"/>
      <c r="B479" s="44"/>
      <c r="C479" s="790" t="s">
        <v>1736</v>
      </c>
      <c r="R479" s="44"/>
    </row>
    <row r="480" spans="1:22" s="790" customFormat="1" ht="10">
      <c r="A480" s="44"/>
      <c r="B480" s="44"/>
      <c r="C480" s="1769" t="s">
        <v>887</v>
      </c>
      <c r="L480" s="1769"/>
      <c r="R480" s="44"/>
    </row>
    <row r="481" spans="1:18" s="790" customFormat="1" ht="10">
      <c r="A481" s="44"/>
      <c r="B481" s="44"/>
      <c r="C481" s="790" t="s">
        <v>119</v>
      </c>
      <c r="L481" s="1769"/>
      <c r="R481" s="44"/>
    </row>
    <row r="482" spans="1:18" s="790" customFormat="1" ht="10">
      <c r="A482" s="44"/>
      <c r="B482" s="44"/>
      <c r="C482" s="790" t="s">
        <v>120</v>
      </c>
      <c r="L482" s="1769"/>
      <c r="R482" s="44"/>
    </row>
    <row r="483" spans="1:18" s="790" customFormat="1" ht="10">
      <c r="A483" s="44"/>
      <c r="B483" s="44"/>
      <c r="C483" s="790" t="s">
        <v>121</v>
      </c>
      <c r="L483" s="1769"/>
      <c r="R483" s="44"/>
    </row>
    <row r="484" spans="1:18" s="790" customFormat="1" ht="10">
      <c r="A484" s="44"/>
      <c r="B484" s="44"/>
      <c r="C484" s="790" t="s">
        <v>2432</v>
      </c>
      <c r="R484" s="44"/>
    </row>
    <row r="485" spans="1:18" s="790" customFormat="1" ht="10">
      <c r="A485" s="44"/>
      <c r="B485" s="44"/>
      <c r="C485" s="1769" t="s">
        <v>1860</v>
      </c>
      <c r="L485" s="1769"/>
      <c r="R485" s="44"/>
    </row>
    <row r="486" spans="1:18" s="790" customFormat="1" ht="10">
      <c r="A486" s="44"/>
      <c r="B486" s="44"/>
      <c r="C486" s="790" t="s">
        <v>2433</v>
      </c>
      <c r="L486" s="1769"/>
      <c r="R486" s="44"/>
    </row>
    <row r="487" spans="1:18" s="790" customFormat="1" ht="10">
      <c r="A487" s="44"/>
      <c r="B487" s="44"/>
      <c r="C487" s="790" t="s">
        <v>1302</v>
      </c>
      <c r="L487" s="1769"/>
      <c r="R487" s="44"/>
    </row>
    <row r="488" spans="1:18" s="790" customFormat="1" ht="10">
      <c r="A488" s="44"/>
      <c r="B488" s="44"/>
      <c r="C488" s="790" t="s">
        <v>1483</v>
      </c>
      <c r="K488" s="1770" t="s">
        <v>433</v>
      </c>
      <c r="L488" s="1769"/>
      <c r="R488" s="44"/>
    </row>
    <row r="489" spans="1:18" s="790" customFormat="1" ht="10">
      <c r="A489" s="44"/>
      <c r="B489" s="44"/>
      <c r="C489" s="790" t="s">
        <v>2434</v>
      </c>
      <c r="K489" s="790" t="s">
        <v>1017</v>
      </c>
      <c r="L489" s="1769"/>
      <c r="R489" s="44"/>
    </row>
    <row r="490" spans="1:18" s="790" customFormat="1" ht="10">
      <c r="A490" s="44"/>
      <c r="B490" s="44"/>
      <c r="C490" s="790" t="s">
        <v>2435</v>
      </c>
      <c r="K490" s="790" t="s">
        <v>3166</v>
      </c>
      <c r="R490" s="44"/>
    </row>
    <row r="491" spans="1:18" s="790" customFormat="1" ht="10">
      <c r="A491" s="44"/>
      <c r="B491" s="44"/>
      <c r="C491" s="1769" t="s">
        <v>1129</v>
      </c>
      <c r="K491" s="790" t="s">
        <v>4095</v>
      </c>
      <c r="R491" s="44"/>
    </row>
    <row r="492" spans="1:18" s="790" customFormat="1" ht="10">
      <c r="A492" s="44"/>
      <c r="B492" s="44"/>
      <c r="R492" s="44"/>
    </row>
    <row r="493" spans="1:18" s="790" customFormat="1" ht="10">
      <c r="A493" s="44"/>
      <c r="B493" s="44"/>
      <c r="C493" s="1770" t="s">
        <v>244</v>
      </c>
      <c r="K493" s="1770" t="s">
        <v>2067</v>
      </c>
      <c r="R493" s="44"/>
    </row>
    <row r="494" spans="1:18" s="790" customFormat="1" ht="10">
      <c r="A494" s="44"/>
      <c r="B494" s="44"/>
      <c r="C494" s="790" t="s">
        <v>1018</v>
      </c>
      <c r="K494" s="790" t="s">
        <v>2141</v>
      </c>
      <c r="R494" s="44"/>
    </row>
    <row r="495" spans="1:18" s="790" customFormat="1" ht="10">
      <c r="A495" s="44"/>
      <c r="B495" s="44"/>
      <c r="C495" s="790" t="s">
        <v>163</v>
      </c>
      <c r="K495" s="790" t="s">
        <v>4198</v>
      </c>
      <c r="R495" s="44"/>
    </row>
    <row r="496" spans="1:18" s="790" customFormat="1" ht="10">
      <c r="A496" s="44"/>
      <c r="B496" s="44"/>
      <c r="C496" s="790" t="s">
        <v>1427</v>
      </c>
      <c r="K496" s="790" t="s">
        <v>4197</v>
      </c>
      <c r="R496" s="44"/>
    </row>
    <row r="497" spans="1:18" s="790" customFormat="1" ht="10">
      <c r="A497" s="44"/>
      <c r="B497" s="44"/>
      <c r="C497" s="790" t="s">
        <v>1960</v>
      </c>
      <c r="K497" s="790" t="s">
        <v>4096</v>
      </c>
      <c r="R497" s="44"/>
    </row>
    <row r="498" spans="1:18" s="790" customFormat="1" ht="10">
      <c r="A498" s="44"/>
      <c r="B498" s="44"/>
      <c r="C498" s="790" t="s">
        <v>162</v>
      </c>
      <c r="K498" s="790" t="s">
        <v>4199</v>
      </c>
      <c r="R498" s="44"/>
    </row>
    <row r="499" spans="1:18" s="790" customFormat="1" ht="10">
      <c r="A499" s="44"/>
      <c r="B499" s="44"/>
      <c r="K499" s="1770" t="s">
        <v>1804</v>
      </c>
      <c r="R499" s="44"/>
    </row>
    <row r="500" spans="1:18" s="790" customFormat="1" ht="10">
      <c r="A500" s="44"/>
      <c r="B500" s="44"/>
      <c r="K500" s="790" t="s">
        <v>1016</v>
      </c>
      <c r="R500" s="44"/>
    </row>
    <row r="501" spans="1:18" s="790" customFormat="1" ht="10">
      <c r="A501" s="44"/>
      <c r="B501" s="44"/>
      <c r="K501" s="790" t="s">
        <v>1625</v>
      </c>
      <c r="R501" s="44"/>
    </row>
    <row r="502" spans="1:18" s="790" customFormat="1" ht="10">
      <c r="A502" s="44"/>
      <c r="B502" s="44"/>
      <c r="K502" s="790" t="s">
        <v>1066</v>
      </c>
      <c r="R502" s="44"/>
    </row>
    <row r="503" spans="1:18" s="790" customFormat="1" ht="10">
      <c r="A503" s="44"/>
      <c r="B503" s="44"/>
      <c r="K503" s="790" t="s">
        <v>1626</v>
      </c>
      <c r="R503" s="44"/>
    </row>
    <row r="504" spans="1:18" s="790" customFormat="1" ht="10">
      <c r="A504" s="44"/>
      <c r="B504" s="44"/>
      <c r="K504" s="790" t="s">
        <v>2179</v>
      </c>
      <c r="R504" s="44"/>
    </row>
    <row r="505" spans="1:18" s="790" customFormat="1" ht="10">
      <c r="A505" s="44"/>
      <c r="B505" s="44"/>
      <c r="R505" s="44"/>
    </row>
    <row r="506" spans="1:18" s="790" customFormat="1" ht="10">
      <c r="A506" s="44"/>
      <c r="B506" s="44"/>
      <c r="C506" s="1770" t="s">
        <v>950</v>
      </c>
      <c r="M506" s="1770" t="s">
        <v>3728</v>
      </c>
      <c r="R506" s="44"/>
    </row>
    <row r="507" spans="1:18" s="790" customFormat="1" ht="10">
      <c r="A507" s="44"/>
      <c r="B507" s="44"/>
      <c r="C507" s="790" t="s">
        <v>949</v>
      </c>
      <c r="M507" s="790" t="s">
        <v>949</v>
      </c>
      <c r="R507" s="44"/>
    </row>
    <row r="508" spans="1:18" s="790" customFormat="1" ht="10">
      <c r="A508" s="44"/>
      <c r="B508" s="44"/>
      <c r="C508" s="790" t="s">
        <v>1933</v>
      </c>
      <c r="M508" s="790" t="s">
        <v>3725</v>
      </c>
      <c r="R508" s="44"/>
    </row>
    <row r="509" spans="1:18" s="790" customFormat="1" ht="10">
      <c r="A509" s="44"/>
      <c r="B509" s="44"/>
      <c r="C509" s="790" t="s">
        <v>2335</v>
      </c>
      <c r="M509" s="790" t="s">
        <v>3756</v>
      </c>
      <c r="R509" s="44"/>
    </row>
    <row r="510" spans="1:18" s="790" customFormat="1" ht="10">
      <c r="A510" s="44"/>
      <c r="B510" s="44"/>
      <c r="C510" s="790" t="s">
        <v>1934</v>
      </c>
      <c r="M510" s="790" t="s">
        <v>1538</v>
      </c>
      <c r="R510" s="44"/>
    </row>
    <row r="511" spans="1:18" s="790" customFormat="1" ht="10">
      <c r="A511" s="44"/>
      <c r="B511" s="44"/>
      <c r="C511" s="790" t="s">
        <v>1805</v>
      </c>
      <c r="M511" s="790" t="s">
        <v>3726</v>
      </c>
      <c r="R511" s="44"/>
    </row>
    <row r="512" spans="1:18" s="790" customFormat="1" ht="10">
      <c r="A512" s="44"/>
      <c r="B512" s="44"/>
      <c r="C512" s="790" t="s">
        <v>547</v>
      </c>
      <c r="M512" s="790" t="s">
        <v>3775</v>
      </c>
      <c r="R512" s="44"/>
    </row>
    <row r="513" spans="1:18" s="790" customFormat="1" ht="10">
      <c r="A513" s="44"/>
      <c r="B513" s="44"/>
      <c r="C513" s="790" t="s">
        <v>2030</v>
      </c>
      <c r="M513" s="790" t="s">
        <v>3776</v>
      </c>
      <c r="R513" s="44"/>
    </row>
    <row r="514" spans="1:18" s="790" customFormat="1" ht="10">
      <c r="A514" s="44"/>
      <c r="B514" s="44"/>
      <c r="C514" s="790" t="s">
        <v>30</v>
      </c>
      <c r="M514" s="790" t="s">
        <v>3727</v>
      </c>
      <c r="R514" s="44"/>
    </row>
    <row r="515" spans="1:18" s="790" customFormat="1" ht="10">
      <c r="A515" s="44"/>
      <c r="B515" s="44"/>
      <c r="M515" s="790" t="s">
        <v>1947</v>
      </c>
      <c r="R515" s="44"/>
    </row>
    <row r="516" spans="1:18" s="790" customFormat="1" ht="10">
      <c r="A516" s="44"/>
      <c r="B516" s="44"/>
      <c r="R516" s="44"/>
    </row>
    <row r="517" spans="1:18" s="790" customFormat="1" ht="10">
      <c r="A517" s="44"/>
      <c r="B517" s="44"/>
      <c r="R517" s="44"/>
    </row>
    <row r="518" spans="1:18" s="790" customFormat="1" ht="10.5">
      <c r="A518" s="44"/>
      <c r="B518" s="44"/>
      <c r="M518" s="1771" t="s">
        <v>3178</v>
      </c>
      <c r="R518" s="44"/>
    </row>
    <row r="519" spans="1:18" s="790" customFormat="1" ht="10">
      <c r="A519" s="44"/>
      <c r="B519" s="44"/>
      <c r="M519" s="790" t="s">
        <v>3249</v>
      </c>
      <c r="R519" s="44"/>
    </row>
    <row r="520" spans="1:18" s="790" customFormat="1" ht="10">
      <c r="A520" s="44"/>
      <c r="B520" s="44"/>
      <c r="M520" s="790" t="s">
        <v>3244</v>
      </c>
      <c r="R520" s="44"/>
    </row>
    <row r="521" spans="1:18" s="790" customFormat="1" ht="10">
      <c r="A521" s="44"/>
      <c r="B521" s="44"/>
      <c r="M521" s="790" t="s">
        <v>3171</v>
      </c>
      <c r="R521" s="44"/>
    </row>
    <row r="522" spans="1:18" s="790" customFormat="1" ht="10">
      <c r="A522" s="44"/>
      <c r="B522" s="44"/>
      <c r="M522" s="790" t="s">
        <v>3240</v>
      </c>
      <c r="R522" s="44"/>
    </row>
    <row r="523" spans="1:18" s="790" customFormat="1" ht="10.5">
      <c r="A523" s="44"/>
      <c r="B523" s="44"/>
      <c r="D523" s="1771" t="s">
        <v>1883</v>
      </c>
      <c r="M523" s="790" t="s">
        <v>3172</v>
      </c>
      <c r="R523" s="44"/>
    </row>
    <row r="524" spans="1:18" s="790" customFormat="1">
      <c r="A524" s="44"/>
      <c r="B524" s="44"/>
      <c r="J524" s="356"/>
      <c r="M524" s="790" t="s">
        <v>3241</v>
      </c>
      <c r="R524" s="44"/>
    </row>
    <row r="525" spans="1:18" s="356" customFormat="1">
      <c r="A525" s="115"/>
      <c r="B525" s="115"/>
      <c r="M525" s="790" t="s">
        <v>3173</v>
      </c>
      <c r="O525" s="790"/>
      <c r="R525" s="115"/>
    </row>
    <row r="526" spans="1:18" s="356" customFormat="1">
      <c r="A526" s="115"/>
      <c r="B526" s="115"/>
      <c r="M526" s="790" t="s">
        <v>3242</v>
      </c>
      <c r="R526" s="115"/>
    </row>
    <row r="527" spans="1:18" s="356" customFormat="1">
      <c r="A527" s="115"/>
      <c r="B527" s="115"/>
      <c r="M527" s="790" t="s">
        <v>3245</v>
      </c>
      <c r="R527" s="115"/>
    </row>
    <row r="528" spans="1:18" s="356" customFormat="1">
      <c r="A528" s="115"/>
      <c r="B528" s="115"/>
      <c r="M528" s="790" t="s">
        <v>3174</v>
      </c>
      <c r="R528" s="115"/>
    </row>
    <row r="529" spans="1:22" s="356" customFormat="1">
      <c r="A529" s="115"/>
      <c r="B529" s="115"/>
      <c r="M529" s="790" t="s">
        <v>3175</v>
      </c>
      <c r="R529" s="115"/>
    </row>
    <row r="530" spans="1:22" s="356" customFormat="1">
      <c r="A530" s="115"/>
      <c r="B530" s="115"/>
      <c r="M530" s="790" t="s">
        <v>3243</v>
      </c>
      <c r="R530" s="115"/>
    </row>
    <row r="531" spans="1:22" s="356" customFormat="1">
      <c r="A531" s="115"/>
      <c r="B531" s="115"/>
      <c r="M531" s="790" t="s">
        <v>3246</v>
      </c>
      <c r="R531" s="115"/>
    </row>
    <row r="532" spans="1:22" s="356" customFormat="1">
      <c r="A532" s="115"/>
      <c r="B532" s="115"/>
      <c r="M532" s="790" t="s">
        <v>3247</v>
      </c>
      <c r="R532" s="115"/>
    </row>
    <row r="533" spans="1:22" s="356" customFormat="1">
      <c r="A533" s="115"/>
      <c r="B533" s="115"/>
      <c r="M533" s="790" t="s">
        <v>4417</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65" customHeight="1">
      <c r="A2" s="4433" t="s">
        <v>4414</v>
      </c>
      <c r="B2" s="4433"/>
      <c r="C2" s="147"/>
      <c r="D2" s="778">
        <v>2021</v>
      </c>
      <c r="E2" s="144"/>
      <c r="F2" s="4468" t="s">
        <v>2928</v>
      </c>
      <c r="G2" s="4469"/>
      <c r="H2" s="4469"/>
      <c r="I2" s="4469"/>
      <c r="J2" s="4470"/>
      <c r="K2" s="234"/>
      <c r="L2" s="442" t="s">
        <v>3058</v>
      </c>
      <c r="M2" s="234"/>
      <c r="N2" s="4468" t="s">
        <v>2928</v>
      </c>
      <c r="O2" s="4469"/>
      <c r="P2" s="4469"/>
      <c r="Q2" s="4469"/>
      <c r="R2" s="4470"/>
      <c r="S2" s="241"/>
      <c r="T2" s="144"/>
      <c r="U2" s="144"/>
      <c r="V2" s="321"/>
      <c r="W2" s="321"/>
      <c r="X2" s="321"/>
      <c r="AA2" s="68"/>
      <c r="AB2" s="68"/>
    </row>
    <row r="3" spans="1:28" s="145" customFormat="1" ht="11.65" customHeight="1">
      <c r="A3" s="4433"/>
      <c r="B3" s="4433"/>
      <c r="D3" s="443" t="s">
        <v>2395</v>
      </c>
      <c r="E3" s="443" t="s">
        <v>1217</v>
      </c>
      <c r="F3" s="444">
        <v>0</v>
      </c>
      <c r="G3" s="445">
        <v>1</v>
      </c>
      <c r="H3" s="817">
        <v>2</v>
      </c>
      <c r="I3" s="817">
        <v>3</v>
      </c>
      <c r="J3" s="446" t="s">
        <v>2925</v>
      </c>
      <c r="L3" s="443" t="s">
        <v>2395</v>
      </c>
      <c r="M3" s="443" t="s">
        <v>1217</v>
      </c>
      <c r="N3" s="444">
        <v>0</v>
      </c>
      <c r="O3" s="445">
        <v>1</v>
      </c>
      <c r="P3" s="817">
        <v>2</v>
      </c>
      <c r="Q3" s="817">
        <v>3</v>
      </c>
      <c r="R3" s="446" t="s">
        <v>2925</v>
      </c>
      <c r="S3" s="241"/>
      <c r="T3" s="144"/>
      <c r="U3" s="144"/>
      <c r="V3" s="321"/>
      <c r="W3" s="321"/>
      <c r="X3" s="321"/>
      <c r="AA3" s="68"/>
      <c r="AB3" s="68"/>
    </row>
    <row r="4" spans="1:28" s="145" customFormat="1" ht="11.65" customHeight="1">
      <c r="A4" s="4433"/>
      <c r="B4" s="4433"/>
      <c r="D4" s="767" t="s">
        <v>1652</v>
      </c>
      <c r="E4" s="767" t="s">
        <v>2927</v>
      </c>
      <c r="F4" s="768">
        <v>142816</v>
      </c>
      <c r="G4" s="768">
        <v>184662</v>
      </c>
      <c r="H4" s="768">
        <v>220865</v>
      </c>
      <c r="I4" s="768">
        <v>263215</v>
      </c>
      <c r="J4" s="768">
        <v>310038</v>
      </c>
      <c r="L4" s="241" t="s">
        <v>1652</v>
      </c>
      <c r="M4" s="241" t="s">
        <v>2927</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65" customHeight="1">
      <c r="A5" s="147"/>
      <c r="D5" s="767" t="s">
        <v>1652</v>
      </c>
      <c r="E5" s="767" t="s">
        <v>2924</v>
      </c>
      <c r="F5" s="768">
        <v>111333</v>
      </c>
      <c r="G5" s="768">
        <v>155866</v>
      </c>
      <c r="H5" s="768">
        <v>200399</v>
      </c>
      <c r="I5" s="768">
        <v>267199</v>
      </c>
      <c r="J5" s="768">
        <v>333999</v>
      </c>
      <c r="L5" s="241" t="s">
        <v>1652</v>
      </c>
      <c r="M5" s="241" t="s">
        <v>2924</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65" customHeight="1">
      <c r="A6" s="147"/>
      <c r="D6" s="767" t="s">
        <v>1652</v>
      </c>
      <c r="E6" s="767" t="s">
        <v>2922</v>
      </c>
      <c r="F6" s="768">
        <v>123345</v>
      </c>
      <c r="G6" s="768">
        <v>160923</v>
      </c>
      <c r="H6" s="768">
        <v>194869</v>
      </c>
      <c r="I6" s="768">
        <v>237606</v>
      </c>
      <c r="J6" s="768">
        <v>281429</v>
      </c>
      <c r="L6" s="241" t="s">
        <v>1652</v>
      </c>
      <c r="M6" s="241" t="s">
        <v>2922</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65" customHeight="1">
      <c r="A7" s="147"/>
      <c r="D7" s="767" t="s">
        <v>1652</v>
      </c>
      <c r="E7" s="767" t="s">
        <v>2923</v>
      </c>
      <c r="F7" s="768">
        <v>110658</v>
      </c>
      <c r="G7" s="768">
        <v>150909</v>
      </c>
      <c r="H7" s="768">
        <v>191026</v>
      </c>
      <c r="I7" s="768">
        <v>251664</v>
      </c>
      <c r="J7" s="768">
        <v>311733</v>
      </c>
      <c r="L7" s="241" t="s">
        <v>1652</v>
      </c>
      <c r="M7" s="241" t="s">
        <v>2923</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65" customHeight="1">
      <c r="A8" s="147"/>
      <c r="D8" s="759" t="s">
        <v>159</v>
      </c>
      <c r="E8" s="759" t="s">
        <v>2927</v>
      </c>
      <c r="F8" s="760">
        <v>141797</v>
      </c>
      <c r="G8" s="760">
        <v>183527</v>
      </c>
      <c r="H8" s="760">
        <v>219633</v>
      </c>
      <c r="I8" s="760">
        <v>261936</v>
      </c>
      <c r="J8" s="760">
        <v>308710</v>
      </c>
      <c r="L8" s="241" t="s">
        <v>159</v>
      </c>
      <c r="M8" s="241" t="s">
        <v>2927</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65" customHeight="1">
      <c r="A9" s="147"/>
      <c r="D9" s="759" t="s">
        <v>159</v>
      </c>
      <c r="E9" s="759" t="s">
        <v>2924</v>
      </c>
      <c r="F9" s="760">
        <v>110497</v>
      </c>
      <c r="G9" s="760">
        <v>154696</v>
      </c>
      <c r="H9" s="760">
        <v>198895</v>
      </c>
      <c r="I9" s="760">
        <v>265193</v>
      </c>
      <c r="J9" s="760">
        <v>331491</v>
      </c>
      <c r="L9" s="241" t="s">
        <v>159</v>
      </c>
      <c r="M9" s="241" t="s">
        <v>2924</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65" customHeight="1">
      <c r="A10" s="147"/>
      <c r="D10" s="759" t="s">
        <v>159</v>
      </c>
      <c r="E10" s="759" t="s">
        <v>2922</v>
      </c>
      <c r="F10" s="760">
        <v>121614</v>
      </c>
      <c r="G10" s="760">
        <v>158920</v>
      </c>
      <c r="H10" s="760">
        <v>192685</v>
      </c>
      <c r="I10" s="760">
        <v>235391</v>
      </c>
      <c r="J10" s="760">
        <v>279054</v>
      </c>
      <c r="L10" s="241" t="s">
        <v>159</v>
      </c>
      <c r="M10" s="241" t="s">
        <v>2922</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65" customHeight="1">
      <c r="A11" s="147"/>
      <c r="D11" s="759" t="s">
        <v>159</v>
      </c>
      <c r="E11" s="759" t="s">
        <v>2923</v>
      </c>
      <c r="F11" s="760">
        <v>108520</v>
      </c>
      <c r="G11" s="760">
        <v>147769</v>
      </c>
      <c r="H11" s="760">
        <v>186880</v>
      </c>
      <c r="I11" s="760">
        <v>246024</v>
      </c>
      <c r="J11" s="760">
        <v>304578</v>
      </c>
      <c r="L11" s="241" t="s">
        <v>159</v>
      </c>
      <c r="M11" s="241" t="s">
        <v>2923</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65" customHeight="1">
      <c r="A12" s="147"/>
      <c r="D12" s="757" t="s">
        <v>1130</v>
      </c>
      <c r="E12" s="757" t="s">
        <v>2927</v>
      </c>
      <c r="F12" s="758">
        <v>155687</v>
      </c>
      <c r="G12" s="758">
        <v>201438</v>
      </c>
      <c r="H12" s="758">
        <v>241022</v>
      </c>
      <c r="I12" s="758">
        <v>287374</v>
      </c>
      <c r="J12" s="758">
        <v>338625</v>
      </c>
      <c r="L12" s="441" t="s">
        <v>1130</v>
      </c>
      <c r="M12" s="441" t="s">
        <v>2927</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65" customHeight="1">
      <c r="A13" s="147"/>
      <c r="D13" s="757" t="s">
        <v>1130</v>
      </c>
      <c r="E13" s="757" t="s">
        <v>2924</v>
      </c>
      <c r="F13" s="758">
        <v>121337</v>
      </c>
      <c r="G13" s="758">
        <v>169871</v>
      </c>
      <c r="H13" s="758">
        <v>218406</v>
      </c>
      <c r="I13" s="758">
        <v>291208</v>
      </c>
      <c r="J13" s="758">
        <v>364010</v>
      </c>
      <c r="L13" s="441" t="s">
        <v>1130</v>
      </c>
      <c r="M13" s="441" t="s">
        <v>2924</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65" customHeight="1">
      <c r="A14" s="147"/>
      <c r="D14" s="757" t="s">
        <v>1130</v>
      </c>
      <c r="E14" s="757" t="s">
        <v>2922</v>
      </c>
      <c r="F14" s="758">
        <v>133842</v>
      </c>
      <c r="G14" s="758">
        <v>174804</v>
      </c>
      <c r="H14" s="758">
        <v>211854</v>
      </c>
      <c r="I14" s="758">
        <v>258642</v>
      </c>
      <c r="J14" s="758">
        <v>306526</v>
      </c>
      <c r="L14" s="441" t="s">
        <v>1130</v>
      </c>
      <c r="M14" s="441" t="s">
        <v>2922</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65" customHeight="1">
      <c r="A15" s="147"/>
      <c r="D15" s="757" t="s">
        <v>1130</v>
      </c>
      <c r="E15" s="757" t="s">
        <v>2923</v>
      </c>
      <c r="F15" s="758">
        <v>119649</v>
      </c>
      <c r="G15" s="758">
        <v>163008</v>
      </c>
      <c r="H15" s="758">
        <v>206217</v>
      </c>
      <c r="I15" s="758">
        <v>271547</v>
      </c>
      <c r="J15" s="758">
        <v>336239</v>
      </c>
      <c r="L15" s="441" t="s">
        <v>1130</v>
      </c>
      <c r="M15" s="441" t="s">
        <v>2923</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65" customHeight="1">
      <c r="A16" s="147"/>
      <c r="D16" s="761" t="s">
        <v>1250</v>
      </c>
      <c r="E16" s="761" t="s">
        <v>2927</v>
      </c>
      <c r="F16" s="762">
        <v>145521</v>
      </c>
      <c r="G16" s="762">
        <v>188031</v>
      </c>
      <c r="H16" s="762">
        <v>224805</v>
      </c>
      <c r="I16" s="762">
        <v>267776</v>
      </c>
      <c r="J16" s="762">
        <v>315283</v>
      </c>
      <c r="L16" s="441" t="s">
        <v>1250</v>
      </c>
      <c r="M16" s="441" t="s">
        <v>2927</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65" customHeight="1">
      <c r="A17" s="147"/>
      <c r="D17" s="761" t="s">
        <v>1250</v>
      </c>
      <c r="E17" s="761" t="s">
        <v>2924</v>
      </c>
      <c r="F17" s="762">
        <v>113472</v>
      </c>
      <c r="G17" s="762">
        <v>158861</v>
      </c>
      <c r="H17" s="762">
        <v>204249</v>
      </c>
      <c r="I17" s="762">
        <v>272333</v>
      </c>
      <c r="J17" s="762">
        <v>340416</v>
      </c>
      <c r="L17" s="441" t="s">
        <v>1250</v>
      </c>
      <c r="M17" s="441" t="s">
        <v>2924</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65" customHeight="1">
      <c r="A18" s="147"/>
      <c r="D18" s="761" t="s">
        <v>1250</v>
      </c>
      <c r="E18" s="761" t="s">
        <v>2922</v>
      </c>
      <c r="F18" s="762">
        <v>126289</v>
      </c>
      <c r="G18" s="762">
        <v>164581</v>
      </c>
      <c r="H18" s="762">
        <v>199126</v>
      </c>
      <c r="I18" s="762">
        <v>242479</v>
      </c>
      <c r="J18" s="762">
        <v>287022</v>
      </c>
      <c r="L18" s="441" t="s">
        <v>1250</v>
      </c>
      <c r="M18" s="441" t="s">
        <v>2922</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65" customHeight="1">
      <c r="A19" s="147"/>
      <c r="D19" s="761" t="s">
        <v>1250</v>
      </c>
      <c r="E19" s="761" t="s">
        <v>2923</v>
      </c>
      <c r="F19" s="762">
        <v>113715</v>
      </c>
      <c r="G19" s="762">
        <v>155238</v>
      </c>
      <c r="H19" s="762">
        <v>196629</v>
      </c>
      <c r="I19" s="762">
        <v>259171</v>
      </c>
      <c r="J19" s="762">
        <v>321151</v>
      </c>
      <c r="L19" s="441" t="s">
        <v>1250</v>
      </c>
      <c r="M19" s="441" t="s">
        <v>2923</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65" customHeight="1">
      <c r="A20" s="147"/>
      <c r="D20" s="241" t="s">
        <v>1422</v>
      </c>
      <c r="E20" s="241" t="s">
        <v>2927</v>
      </c>
      <c r="F20" s="648">
        <v>151294</v>
      </c>
      <c r="G20" s="648">
        <v>195836</v>
      </c>
      <c r="H20" s="648">
        <v>234374</v>
      </c>
      <c r="I20" s="648">
        <v>279532</v>
      </c>
      <c r="J20" s="648">
        <v>329464</v>
      </c>
      <c r="L20" s="241" t="s">
        <v>1422</v>
      </c>
      <c r="M20" s="441" t="s">
        <v>2927</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65" customHeight="1">
      <c r="A21" s="147"/>
      <c r="D21" s="241" t="s">
        <v>1422</v>
      </c>
      <c r="E21" s="241" t="s">
        <v>2924</v>
      </c>
      <c r="F21" s="648">
        <v>117895</v>
      </c>
      <c r="G21" s="648">
        <v>165052</v>
      </c>
      <c r="H21" s="648">
        <v>212210</v>
      </c>
      <c r="I21" s="648">
        <v>282947</v>
      </c>
      <c r="J21" s="648">
        <v>353684</v>
      </c>
      <c r="L21" s="241" t="s">
        <v>1422</v>
      </c>
      <c r="M21" s="441" t="s">
        <v>2924</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65" customHeight="1">
      <c r="A22" s="147"/>
      <c r="D22" s="241" t="s">
        <v>1422</v>
      </c>
      <c r="E22" s="241" t="s">
        <v>2922</v>
      </c>
      <c r="F22" s="648">
        <v>129687</v>
      </c>
      <c r="G22" s="648">
        <v>169491</v>
      </c>
      <c r="H22" s="648">
        <v>205524</v>
      </c>
      <c r="I22" s="648">
        <v>251113</v>
      </c>
      <c r="J22" s="648">
        <v>297714</v>
      </c>
      <c r="L22" s="241" t="s">
        <v>1422</v>
      </c>
      <c r="M22" s="441" t="s">
        <v>2922</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65" customHeight="1">
      <c r="A23" s="147"/>
      <c r="D23" s="241" t="s">
        <v>1422</v>
      </c>
      <c r="E23" s="241" t="s">
        <v>2923</v>
      </c>
      <c r="F23" s="648">
        <v>115673</v>
      </c>
      <c r="G23" s="648">
        <v>157490</v>
      </c>
      <c r="H23" s="648">
        <v>199159</v>
      </c>
      <c r="I23" s="648">
        <v>262174</v>
      </c>
      <c r="J23" s="648">
        <v>324557</v>
      </c>
      <c r="L23" s="241" t="s">
        <v>1422</v>
      </c>
      <c r="M23" s="441" t="s">
        <v>2923</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65" customHeight="1">
      <c r="A24" s="147"/>
      <c r="D24" s="763" t="s">
        <v>154</v>
      </c>
      <c r="E24" s="763" t="s">
        <v>2927</v>
      </c>
      <c r="F24" s="764">
        <v>142816</v>
      </c>
      <c r="G24" s="764">
        <v>184662</v>
      </c>
      <c r="H24" s="764">
        <v>220865</v>
      </c>
      <c r="I24" s="764">
        <v>263215</v>
      </c>
      <c r="J24" s="764">
        <v>310038</v>
      </c>
      <c r="L24" s="241" t="s">
        <v>154</v>
      </c>
      <c r="M24" s="241" t="s">
        <v>2927</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65" customHeight="1">
      <c r="A25" s="147"/>
      <c r="D25" s="763" t="s">
        <v>154</v>
      </c>
      <c r="E25" s="763" t="s">
        <v>2924</v>
      </c>
      <c r="F25" s="764">
        <v>111333</v>
      </c>
      <c r="G25" s="764">
        <v>155866</v>
      </c>
      <c r="H25" s="764">
        <v>200399</v>
      </c>
      <c r="I25" s="764">
        <v>267199</v>
      </c>
      <c r="J25" s="764">
        <v>333999</v>
      </c>
      <c r="L25" s="241" t="s">
        <v>154</v>
      </c>
      <c r="M25" s="241" t="s">
        <v>2924</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65" customHeight="1">
      <c r="A26" s="147"/>
      <c r="D26" s="763" t="s">
        <v>154</v>
      </c>
      <c r="E26" s="763" t="s">
        <v>2922</v>
      </c>
      <c r="F26" s="764">
        <v>123345</v>
      </c>
      <c r="G26" s="764">
        <v>160923</v>
      </c>
      <c r="H26" s="764">
        <v>194869</v>
      </c>
      <c r="I26" s="764">
        <v>237606</v>
      </c>
      <c r="J26" s="764">
        <v>281429</v>
      </c>
      <c r="L26" s="241" t="s">
        <v>154</v>
      </c>
      <c r="M26" s="241" t="s">
        <v>2922</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65" customHeight="1">
      <c r="A27" s="147"/>
      <c r="D27" s="763" t="s">
        <v>154</v>
      </c>
      <c r="E27" s="763" t="s">
        <v>2923</v>
      </c>
      <c r="F27" s="764">
        <v>110658</v>
      </c>
      <c r="G27" s="764">
        <v>150909</v>
      </c>
      <c r="H27" s="764">
        <v>191026</v>
      </c>
      <c r="I27" s="764">
        <v>251664</v>
      </c>
      <c r="J27" s="764">
        <v>311733</v>
      </c>
      <c r="L27" s="241" t="s">
        <v>154</v>
      </c>
      <c r="M27" s="241" t="s">
        <v>2923</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65" customHeight="1">
      <c r="A28" s="147"/>
      <c r="D28" s="765" t="s">
        <v>1240</v>
      </c>
      <c r="E28" s="765" t="s">
        <v>2927</v>
      </c>
      <c r="F28" s="766">
        <v>145346</v>
      </c>
      <c r="G28" s="766">
        <v>188013</v>
      </c>
      <c r="H28" s="766">
        <v>224927</v>
      </c>
      <c r="I28" s="766">
        <v>268137</v>
      </c>
      <c r="J28" s="766">
        <v>315913</v>
      </c>
      <c r="L28" s="441" t="s">
        <v>1240</v>
      </c>
      <c r="M28" s="441" t="s">
        <v>2927</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65" customHeight="1">
      <c r="A29" s="147"/>
      <c r="D29" s="765" t="s">
        <v>1240</v>
      </c>
      <c r="E29" s="765" t="s">
        <v>2924</v>
      </c>
      <c r="F29" s="766">
        <v>113288</v>
      </c>
      <c r="G29" s="766">
        <v>158603</v>
      </c>
      <c r="H29" s="766">
        <v>203918</v>
      </c>
      <c r="I29" s="766">
        <v>271890</v>
      </c>
      <c r="J29" s="766">
        <v>339863</v>
      </c>
      <c r="L29" s="441" t="s">
        <v>1240</v>
      </c>
      <c r="M29" s="441" t="s">
        <v>2924</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65" customHeight="1">
      <c r="A30" s="147"/>
      <c r="D30" s="765" t="s">
        <v>1240</v>
      </c>
      <c r="E30" s="765" t="s">
        <v>2922</v>
      </c>
      <c r="F30" s="766">
        <v>125163</v>
      </c>
      <c r="G30" s="766">
        <v>163405</v>
      </c>
      <c r="H30" s="766">
        <v>197979</v>
      </c>
      <c r="I30" s="766">
        <v>241592</v>
      </c>
      <c r="J30" s="766">
        <v>286257</v>
      </c>
      <c r="L30" s="441" t="s">
        <v>1240</v>
      </c>
      <c r="M30" s="441" t="s">
        <v>2922</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65" customHeight="1">
      <c r="A31" s="147"/>
      <c r="D31" s="765" t="s">
        <v>1240</v>
      </c>
      <c r="E31" s="765" t="s">
        <v>2923</v>
      </c>
      <c r="F31" s="766">
        <v>112036</v>
      </c>
      <c r="G31" s="766">
        <v>152693</v>
      </c>
      <c r="H31" s="766">
        <v>193210</v>
      </c>
      <c r="I31" s="766">
        <v>254464</v>
      </c>
      <c r="J31" s="766">
        <v>315128</v>
      </c>
      <c r="L31" s="441" t="s">
        <v>1240</v>
      </c>
      <c r="M31" s="441" t="s">
        <v>2923</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65" customHeight="1">
      <c r="A32" s="147"/>
      <c r="D32" s="757" t="s">
        <v>1246</v>
      </c>
      <c r="E32" s="757" t="s">
        <v>2927</v>
      </c>
      <c r="F32" s="758">
        <v>148008</v>
      </c>
      <c r="G32" s="758">
        <v>191377</v>
      </c>
      <c r="H32" s="758">
        <v>228898</v>
      </c>
      <c r="I32" s="758">
        <v>272788</v>
      </c>
      <c r="J32" s="758">
        <v>321315</v>
      </c>
      <c r="L32" s="441" t="s">
        <v>1246</v>
      </c>
      <c r="M32" s="441" t="s">
        <v>2927</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65" customHeight="1">
      <c r="A33" s="147"/>
      <c r="D33" s="757" t="s">
        <v>1246</v>
      </c>
      <c r="E33" s="757" t="s">
        <v>2924</v>
      </c>
      <c r="F33" s="758">
        <v>115381</v>
      </c>
      <c r="G33" s="758">
        <v>161533</v>
      </c>
      <c r="H33" s="758">
        <v>207685</v>
      </c>
      <c r="I33" s="758">
        <v>276913</v>
      </c>
      <c r="J33" s="758">
        <v>346142</v>
      </c>
      <c r="L33" s="441" t="s">
        <v>1246</v>
      </c>
      <c r="M33" s="441" t="s">
        <v>2924</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65" customHeight="1">
      <c r="A34" s="147"/>
      <c r="D34" s="757" t="s">
        <v>1246</v>
      </c>
      <c r="E34" s="757" t="s">
        <v>2922</v>
      </c>
      <c r="F34" s="758">
        <v>127825</v>
      </c>
      <c r="G34" s="758">
        <v>166769</v>
      </c>
      <c r="H34" s="758">
        <v>201950</v>
      </c>
      <c r="I34" s="758">
        <v>246243</v>
      </c>
      <c r="J34" s="758">
        <v>291659</v>
      </c>
      <c r="L34" s="441" t="s">
        <v>1246</v>
      </c>
      <c r="M34" s="441" t="s">
        <v>2922</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65" customHeight="1">
      <c r="A35" s="147"/>
      <c r="D35" s="757" t="s">
        <v>1246</v>
      </c>
      <c r="E35" s="757" t="s">
        <v>2923</v>
      </c>
      <c r="F35" s="758">
        <v>114674</v>
      </c>
      <c r="G35" s="758">
        <v>156385</v>
      </c>
      <c r="H35" s="758">
        <v>197957</v>
      </c>
      <c r="I35" s="758">
        <v>260794</v>
      </c>
      <c r="J35" s="758">
        <v>323041</v>
      </c>
      <c r="L35" s="441" t="s">
        <v>1246</v>
      </c>
      <c r="M35" s="441" t="s">
        <v>2923</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65" customHeight="1">
      <c r="A36" s="147"/>
      <c r="D36" s="761" t="s">
        <v>1575</v>
      </c>
      <c r="E36" s="761" t="s">
        <v>2927</v>
      </c>
      <c r="F36" s="762">
        <v>135717</v>
      </c>
      <c r="G36" s="762">
        <v>175691</v>
      </c>
      <c r="H36" s="762">
        <v>210278</v>
      </c>
      <c r="I36" s="762">
        <v>250813</v>
      </c>
      <c r="J36" s="762">
        <v>295633</v>
      </c>
      <c r="L36" s="441" t="s">
        <v>1575</v>
      </c>
      <c r="M36" s="441" t="s">
        <v>2927</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65" customHeight="1">
      <c r="A37" s="147"/>
      <c r="D37" s="761" t="s">
        <v>1575</v>
      </c>
      <c r="E37" s="761" t="s">
        <v>2924</v>
      </c>
      <c r="F37" s="762">
        <v>105752</v>
      </c>
      <c r="G37" s="762">
        <v>148052</v>
      </c>
      <c r="H37" s="762">
        <v>190353</v>
      </c>
      <c r="I37" s="762">
        <v>253804</v>
      </c>
      <c r="J37" s="762">
        <v>317255</v>
      </c>
      <c r="L37" s="441" t="s">
        <v>1575</v>
      </c>
      <c r="M37" s="441" t="s">
        <v>2924</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65" customHeight="1">
      <c r="A38" s="147"/>
      <c r="D38" s="761" t="s">
        <v>1575</v>
      </c>
      <c r="E38" s="761" t="s">
        <v>2922</v>
      </c>
      <c r="F38" s="762">
        <v>116246</v>
      </c>
      <c r="G38" s="762">
        <v>151952</v>
      </c>
      <c r="H38" s="762">
        <v>184281</v>
      </c>
      <c r="I38" s="762">
        <v>225204</v>
      </c>
      <c r="J38" s="762">
        <v>267023</v>
      </c>
      <c r="L38" s="441" t="s">
        <v>1575</v>
      </c>
      <c r="M38" s="441" t="s">
        <v>2922</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65" customHeight="1">
      <c r="A39" s="147"/>
      <c r="D39" s="761" t="s">
        <v>1575</v>
      </c>
      <c r="E39" s="761" t="s">
        <v>2923</v>
      </c>
      <c r="F39" s="762">
        <v>103624</v>
      </c>
      <c r="G39" s="762">
        <v>141062</v>
      </c>
      <c r="H39" s="762">
        <v>178366</v>
      </c>
      <c r="I39" s="762">
        <v>234784</v>
      </c>
      <c r="J39" s="762">
        <v>290632</v>
      </c>
      <c r="L39" s="441" t="s">
        <v>1575</v>
      </c>
      <c r="M39" s="441" t="s">
        <v>2923</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692" t="s">
        <v>4415</v>
      </c>
      <c r="B42" s="1693"/>
      <c r="C42" s="1693"/>
    </row>
    <row r="44" spans="1:295" s="28" customFormat="1" ht="12.75" customHeight="1">
      <c r="A44" s="2" t="s">
        <v>688</v>
      </c>
      <c r="B44" s="4" t="s">
        <v>2455</v>
      </c>
      <c r="C44" s="4"/>
      <c r="D44" s="4"/>
      <c r="E44" s="870"/>
      <c r="G44" s="486"/>
      <c r="H44" s="486"/>
      <c r="I44" s="486"/>
      <c r="J44" s="35"/>
      <c r="L44" s="487"/>
      <c r="M44" s="487"/>
      <c r="N44" s="487"/>
      <c r="O44" s="101" t="s">
        <v>1726</v>
      </c>
      <c r="P44" s="4261"/>
      <c r="Q44" s="4250"/>
    </row>
    <row r="45" spans="1:295" s="28" customFormat="1" ht="11.25" customHeight="1">
      <c r="A45" s="4440"/>
      <c r="B45" s="4440"/>
      <c r="C45" s="4440"/>
      <c r="D45" s="4440"/>
      <c r="E45" s="4440"/>
      <c r="F45" s="1179"/>
      <c r="G45" s="4424" t="s">
        <v>2459</v>
      </c>
      <c r="H45" s="4425"/>
      <c r="I45" s="66"/>
      <c r="J45" s="35"/>
      <c r="K45" s="4426" t="s">
        <v>3081</v>
      </c>
      <c r="L45" s="4427"/>
      <c r="M45" s="4427"/>
      <c r="N45" s="4428"/>
    </row>
    <row r="46" spans="1:295" s="28" customFormat="1" ht="11.25" customHeight="1">
      <c r="A46" s="4440"/>
      <c r="B46" s="4440"/>
      <c r="C46" s="4440"/>
      <c r="D46" s="4440"/>
      <c r="E46" s="4440"/>
      <c r="F46" s="1179"/>
      <c r="G46" s="4429" t="s">
        <v>333</v>
      </c>
      <c r="H46" s="4430"/>
      <c r="I46" s="66"/>
      <c r="J46" s="35"/>
      <c r="K46" s="4435" t="s">
        <v>3082</v>
      </c>
      <c r="L46" s="4436"/>
      <c r="M46" s="4436"/>
      <c r="N46" s="4437"/>
      <c r="P46" s="404" t="s">
        <v>2468</v>
      </c>
      <c r="Q46" s="74"/>
    </row>
    <row r="47" spans="1:295" s="28" customFormat="1" ht="4.5" customHeight="1">
      <c r="A47" s="1179"/>
      <c r="B47" s="1179"/>
      <c r="C47" s="1179"/>
      <c r="D47" s="1179"/>
      <c r="E47" s="1179"/>
      <c r="F47" s="1179"/>
      <c r="G47" s="66"/>
      <c r="H47" s="66"/>
      <c r="I47" s="66"/>
      <c r="J47" s="35"/>
      <c r="K47" s="4380"/>
      <c r="L47" s="4380"/>
      <c r="M47" s="4380"/>
      <c r="N47" s="4380"/>
      <c r="P47" s="4438" t="s">
        <v>3809</v>
      </c>
      <c r="Q47" s="4438"/>
    </row>
    <row r="48" spans="1:295" s="62" customFormat="1" ht="10.5" customHeight="1">
      <c r="D48" s="489" t="s">
        <v>2458</v>
      </c>
      <c r="E48" s="28"/>
      <c r="F48" s="490" t="s">
        <v>2984</v>
      </c>
      <c r="G48" s="4453" t="s">
        <v>3769</v>
      </c>
      <c r="H48" s="4453"/>
      <c r="I48" s="4453"/>
      <c r="J48" s="28"/>
      <c r="K48" s="490" t="s">
        <v>2984</v>
      </c>
      <c r="L48" s="4453" t="s">
        <v>3768</v>
      </c>
      <c r="M48" s="4453"/>
      <c r="N48" s="4453"/>
      <c r="O48" s="28"/>
      <c r="P48" s="4438"/>
      <c r="Q48" s="4438"/>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3" t="s">
        <v>2927</v>
      </c>
      <c r="B49" s="4423"/>
      <c r="C49" s="4423"/>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39"/>
      <c r="Q49" s="4439"/>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3"/>
      <c r="B50" s="4423"/>
      <c r="C50" s="4423"/>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45" t="e">
        <f>IF(#REF!="","",VLOOKUP(#REF!,#REF!,8,FALSE))</f>
        <v>#REF!</v>
      </c>
      <c r="Q50" s="4446"/>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3"/>
      <c r="B51" s="4423"/>
      <c r="C51" s="4423"/>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47"/>
      <c r="Q51" s="4448"/>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3"/>
      <c r="B52" s="4423"/>
      <c r="C52" s="4423"/>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235" t="s">
        <v>3810</v>
      </c>
      <c r="Q52" s="4235"/>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31" t="e">
        <f>#REF!</f>
        <v>#REF!</v>
      </c>
      <c r="Q53" s="4432"/>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3" t="e">
        <f>SUM(F49:F53)</f>
        <v>#REF!</v>
      </c>
      <c r="G54" s="491"/>
      <c r="H54" s="854"/>
      <c r="I54" s="855" t="e">
        <f>SUM(I49:I53)</f>
        <v>#REF!</v>
      </c>
      <c r="J54" s="856"/>
      <c r="K54" s="853" t="e">
        <f>SUM(K49:K53)</f>
        <v>#REF!</v>
      </c>
      <c r="L54" s="856"/>
      <c r="M54" s="854"/>
      <c r="N54" s="855" t="e">
        <f>SUM(N49:N53)</f>
        <v>#REF!</v>
      </c>
      <c r="O54" s="870"/>
      <c r="P54" s="4235" t="s">
        <v>3801</v>
      </c>
      <c r="Q54" s="4235"/>
      <c r="R54" s="4471" t="s">
        <v>4193</v>
      </c>
      <c r="S54" s="4471"/>
      <c r="T54" s="4471"/>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3" t="s">
        <v>2922</v>
      </c>
      <c r="B56" s="4423"/>
      <c r="C56" s="4423"/>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31" t="e">
        <f>#REF!-#REF!-#REF!-#REF!-#REF!-#REF!</f>
        <v>#REF!</v>
      </c>
      <c r="Q56" s="4432"/>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3"/>
      <c r="B57" s="4423"/>
      <c r="C57" s="4423"/>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21" t="s">
        <v>3277</v>
      </c>
      <c r="Q57" s="3421"/>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3"/>
      <c r="B58" s="4423"/>
      <c r="C58" s="4423"/>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49"/>
      <c r="Q58" s="4450"/>
      <c r="R58" s="327"/>
      <c r="S58" s="4454" t="s">
        <v>3804</v>
      </c>
      <c r="T58" s="4455"/>
      <c r="U58" s="4455"/>
      <c r="V58" s="4456"/>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51"/>
      <c r="Q59" s="4452"/>
      <c r="S59" s="4457"/>
      <c r="T59" s="4458"/>
      <c r="U59" s="4458"/>
      <c r="V59" s="4459"/>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34" t="s">
        <v>3077</v>
      </c>
      <c r="Q60" s="4434"/>
      <c r="S60" s="4457"/>
      <c r="T60" s="4458"/>
      <c r="U60" s="4458"/>
      <c r="V60" s="4459"/>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3" t="e">
        <f>SUM(F56:F60)</f>
        <v>#REF!</v>
      </c>
      <c r="G61" s="491"/>
      <c r="H61" s="854"/>
      <c r="I61" s="855" t="e">
        <f>SUM(I56:I60)</f>
        <v>#REF!</v>
      </c>
      <c r="J61" s="856"/>
      <c r="K61" s="853" t="e">
        <f>SUM(K56:K60)</f>
        <v>#REF!</v>
      </c>
      <c r="L61" s="856"/>
      <c r="M61" s="854"/>
      <c r="N61" s="855" t="e">
        <f>SUM(N56:N60)</f>
        <v>#REF!</v>
      </c>
      <c r="O61" s="440"/>
      <c r="P61" s="859" t="s">
        <v>2881</v>
      </c>
      <c r="Q61" s="859" t="s">
        <v>245</v>
      </c>
      <c r="R61" s="327"/>
      <c r="S61" s="4457"/>
      <c r="T61" s="4458"/>
      <c r="U61" s="4458"/>
      <c r="V61" s="4459"/>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57"/>
      <c r="T62" s="4458"/>
      <c r="U62" s="4458"/>
      <c r="V62" s="4459"/>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57"/>
      <c r="T63" s="4458"/>
      <c r="U63" s="4458"/>
      <c r="V63" s="4459"/>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34" t="s">
        <v>3078</v>
      </c>
      <c r="Q64" s="4434"/>
      <c r="S64" s="4457"/>
      <c r="T64" s="4458"/>
      <c r="U64" s="4458"/>
      <c r="V64" s="4459"/>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2881</v>
      </c>
      <c r="Q65" s="859" t="s">
        <v>245</v>
      </c>
      <c r="S65" s="4457"/>
      <c r="T65" s="4458"/>
      <c r="U65" s="4458"/>
      <c r="V65" s="4459"/>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57"/>
      <c r="T66" s="4458"/>
      <c r="U66" s="4458"/>
      <c r="V66" s="4459"/>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66" t="s">
        <v>2485</v>
      </c>
      <c r="Q67" s="4466"/>
      <c r="S67" s="4457"/>
      <c r="T67" s="4458"/>
      <c r="U67" s="4458"/>
      <c r="V67" s="4459"/>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3" t="e">
        <f>SUM(F63:F67)</f>
        <v>#REF!</v>
      </c>
      <c r="G68" s="491"/>
      <c r="H68" s="854"/>
      <c r="I68" s="855" t="e">
        <f>SUM(I63:I67)</f>
        <v>#REF!</v>
      </c>
      <c r="J68" s="856"/>
      <c r="K68" s="853" t="e">
        <f>SUM(K63:K67)</f>
        <v>#REF!</v>
      </c>
      <c r="L68" s="856"/>
      <c r="M68" s="854"/>
      <c r="N68" s="855" t="e">
        <f>SUM(N63:N67)</f>
        <v>#REF!</v>
      </c>
      <c r="O68" s="440"/>
      <c r="P68" s="4466"/>
      <c r="Q68" s="4466"/>
      <c r="S68" s="4457"/>
      <c r="T68" s="4458"/>
      <c r="U68" s="4458"/>
      <c r="V68" s="4459"/>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66"/>
      <c r="Q69" s="4466"/>
      <c r="R69" s="327"/>
      <c r="S69" s="4457"/>
      <c r="T69" s="4458"/>
      <c r="U69" s="4458"/>
      <c r="V69" s="4459"/>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67"/>
      <c r="Q70" s="4467"/>
      <c r="R70" s="327"/>
      <c r="S70" s="4460"/>
      <c r="T70" s="4461"/>
      <c r="U70" s="4461"/>
      <c r="V70" s="4462"/>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41" t="e">
        <f>IF(P58&gt;1,P58, IF(OR('Part VIII Scoring Criteria OLD'!$O$113='Part VIII Scoring Criteria OLD'!$M$113,AND(#REF!="Yes",'Part VIII Scoring Criteria OLD'!$O$378&gt;0)),H77+M77,H77))</f>
        <v>#REF!</v>
      </c>
      <c r="Q71" s="4442"/>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43"/>
      <c r="Q72" s="4444"/>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63" t="s">
        <v>3361</v>
      </c>
      <c r="Q73" s="4463"/>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64"/>
      <c r="Q74" s="4464"/>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3" t="e">
        <f>SUM(F70:F74)</f>
        <v>#REF!</v>
      </c>
      <c r="G75" s="491"/>
      <c r="H75" s="854"/>
      <c r="I75" s="857" t="e">
        <f>SUM(I70:I74)</f>
        <v>#REF!</v>
      </c>
      <c r="J75" s="856"/>
      <c r="K75" s="853" t="e">
        <f>SUM(K70:K74)</f>
        <v>#REF!</v>
      </c>
      <c r="L75" s="856"/>
      <c r="M75" s="854"/>
      <c r="N75" s="857" t="e">
        <f>SUM(N70:N74)</f>
        <v>#REF!</v>
      </c>
      <c r="O75" s="440"/>
      <c r="P75" s="4464"/>
      <c r="Q75" s="4464"/>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64"/>
      <c r="Q76" s="4464"/>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4" t="e">
        <f>F54+F61+F68+F75</f>
        <v>#REF!</v>
      </c>
      <c r="G77" s="258"/>
      <c r="H77" s="4472" t="e">
        <f>I54+I61+I68+I75</f>
        <v>#REF!</v>
      </c>
      <c r="I77" s="4472"/>
      <c r="J77" s="4472"/>
      <c r="K77" s="484" t="e">
        <f>K54+K61+K68+K75</f>
        <v>#REF!</v>
      </c>
      <c r="L77" s="485"/>
      <c r="M77" s="4472" t="e">
        <f>N54+N61+N68+N75</f>
        <v>#REF!</v>
      </c>
      <c r="N77" s="4472"/>
      <c r="O77" s="4472"/>
      <c r="P77" s="4464"/>
      <c r="Q77" s="4464"/>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3157</v>
      </c>
      <c r="D78" s="73"/>
      <c r="E78" s="73"/>
      <c r="F78" s="73"/>
      <c r="G78" s="73"/>
      <c r="H78" s="33"/>
      <c r="I78" s="874"/>
      <c r="J78" s="874"/>
      <c r="K78" s="105" t="s">
        <v>1725</v>
      </c>
      <c r="L78" s="671"/>
      <c r="M78" s="671"/>
      <c r="N78" s="671"/>
      <c r="O78" s="671"/>
      <c r="P78" s="4465"/>
      <c r="Q78" s="4465"/>
    </row>
    <row r="79" spans="1:295" s="28" customFormat="1" ht="10.5" customHeight="1">
      <c r="A79" s="4240"/>
      <c r="B79" s="4241"/>
      <c r="C79" s="4241"/>
      <c r="D79" s="4241"/>
      <c r="E79" s="4241"/>
      <c r="F79" s="4241"/>
      <c r="G79" s="4241"/>
      <c r="H79" s="4241"/>
      <c r="I79" s="4241"/>
      <c r="J79" s="4242"/>
      <c r="K79" s="4244"/>
      <c r="L79" s="4245"/>
      <c r="M79" s="4245"/>
      <c r="N79" s="4245"/>
      <c r="O79" s="4245"/>
      <c r="P79" s="4245"/>
      <c r="Q79" s="4246"/>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30" t="e">
        <f>CONCATENATE("PART EIGHT - SCORING CRITERIA","  -  ",#REF!," ",#REF!,", ",#REF!,", ",#REF!," County")</f>
        <v>#REF!</v>
      </c>
      <c r="B1" s="3331"/>
      <c r="C1" s="3331"/>
      <c r="D1" s="3331"/>
      <c r="E1" s="3331"/>
      <c r="F1" s="3331"/>
      <c r="G1" s="3331"/>
      <c r="H1" s="3331"/>
      <c r="I1" s="3331"/>
      <c r="J1" s="3331"/>
      <c r="K1" s="3331"/>
      <c r="L1" s="3331"/>
      <c r="M1" s="3331"/>
      <c r="N1" s="3331"/>
      <c r="O1" s="3331"/>
      <c r="P1" s="3332"/>
      <c r="Q1" s="4758" t="s">
        <v>4534</v>
      </c>
      <c r="R1" s="4758"/>
      <c r="S1" s="4758"/>
      <c r="T1" s="4758"/>
      <c r="U1" s="4758"/>
      <c r="V1" s="4758"/>
      <c r="W1" s="1857"/>
      <c r="X1" s="1816"/>
    </row>
    <row r="2" spans="1:25" s="28" customFormat="1" ht="4.4000000000000004" customHeight="1">
      <c r="A2" s="29"/>
      <c r="B2" s="29"/>
      <c r="C2" s="30"/>
      <c r="D2" s="29"/>
      <c r="E2" s="29"/>
      <c r="F2" s="29"/>
      <c r="G2" s="29"/>
      <c r="H2" s="29"/>
      <c r="I2" s="29"/>
      <c r="J2" s="29"/>
      <c r="K2" s="29"/>
      <c r="L2" s="29"/>
      <c r="M2" s="31"/>
      <c r="N2" s="53"/>
      <c r="O2" s="119"/>
      <c r="P2" s="119"/>
      <c r="Q2" s="4758"/>
      <c r="R2" s="4758"/>
      <c r="S2" s="4758"/>
      <c r="T2" s="4758"/>
      <c r="U2" s="4758"/>
      <c r="V2" s="4758"/>
      <c r="W2" s="1857"/>
      <c r="X2" s="1816"/>
    </row>
    <row r="3" spans="1:25" s="35" customFormat="1" ht="12" customHeight="1">
      <c r="A3" s="4651" t="s">
        <v>4544</v>
      </c>
      <c r="B3" s="4651"/>
      <c r="C3" s="4651"/>
      <c r="D3" s="4651"/>
      <c r="E3" s="4651"/>
      <c r="F3" s="4651"/>
      <c r="G3" s="4651"/>
      <c r="H3" s="4651"/>
      <c r="I3" s="4651"/>
      <c r="J3" s="4651"/>
      <c r="K3" s="4651"/>
      <c r="L3" s="4651"/>
      <c r="M3" s="656"/>
      <c r="N3" s="54"/>
      <c r="O3" s="63" t="s">
        <v>2045</v>
      </c>
      <c r="P3" s="897" t="s">
        <v>245</v>
      </c>
      <c r="Q3" s="4758"/>
      <c r="R3" s="4758"/>
      <c r="S3" s="4758"/>
      <c r="T3" s="4758"/>
      <c r="U3" s="4758"/>
      <c r="V3" s="4758"/>
      <c r="W3" s="1857"/>
      <c r="X3" s="1816"/>
    </row>
    <row r="4" spans="1:25" s="37" customFormat="1" ht="12" customHeight="1">
      <c r="A4" s="4651"/>
      <c r="B4" s="4651"/>
      <c r="C4" s="4651"/>
      <c r="D4" s="4651"/>
      <c r="E4" s="4651"/>
      <c r="F4" s="4651"/>
      <c r="G4" s="4651"/>
      <c r="H4" s="4651"/>
      <c r="I4" s="4651"/>
      <c r="J4" s="4651"/>
      <c r="K4" s="4651"/>
      <c r="L4" s="4651"/>
      <c r="M4" s="656"/>
      <c r="N4" s="64"/>
      <c r="O4" s="149" t="s">
        <v>2046</v>
      </c>
      <c r="P4" s="149" t="s">
        <v>2046</v>
      </c>
      <c r="Q4" s="4758"/>
      <c r="R4" s="4758"/>
      <c r="S4" s="4758"/>
      <c r="T4" s="4758"/>
      <c r="U4" s="4758"/>
      <c r="V4" s="4758"/>
    </row>
    <row r="5" spans="1:25" s="37" customFormat="1" ht="3" customHeight="1" thickBot="1">
      <c r="A5" s="35"/>
      <c r="B5" s="35"/>
      <c r="C5" s="35"/>
      <c r="D5" s="35"/>
      <c r="E5" s="35"/>
      <c r="F5" s="35"/>
      <c r="G5" s="35"/>
      <c r="H5" s="35"/>
      <c r="I5" s="35"/>
      <c r="J5" s="35"/>
      <c r="K5" s="35"/>
      <c r="M5" s="1535"/>
      <c r="N5" s="4"/>
      <c r="O5" s="119"/>
      <c r="P5" s="24"/>
      <c r="Q5" s="4758"/>
      <c r="R5" s="4758"/>
      <c r="S5" s="4758"/>
      <c r="T5" s="4758"/>
      <c r="U5" s="4758"/>
      <c r="V5" s="4758"/>
    </row>
    <row r="6" spans="1:25" s="37" customFormat="1" ht="13.5" customHeight="1" thickTop="1" thickBot="1">
      <c r="A6" s="35"/>
      <c r="B6" s="4681" t="e">
        <f>#REF!</f>
        <v>#REF!</v>
      </c>
      <c r="C6" s="4681"/>
      <c r="D6" s="4681"/>
      <c r="E6" s="4681"/>
      <c r="F6" s="4681"/>
      <c r="G6" s="72"/>
      <c r="H6" s="35"/>
      <c r="I6" s="35"/>
      <c r="J6" s="35"/>
      <c r="L6" s="51" t="s">
        <v>1151</v>
      </c>
      <c r="M6" s="3"/>
      <c r="N6" s="7"/>
      <c r="O6" s="1516" t="e">
        <f>O442</f>
        <v>#REF!</v>
      </c>
      <c r="P6" s="1516" t="e">
        <f>P442</f>
        <v>#REF!</v>
      </c>
      <c r="Q6" s="1448" t="s">
        <v>4621</v>
      </c>
      <c r="R6" s="1854"/>
      <c r="S6" s="1854"/>
      <c r="T6" s="1854"/>
      <c r="U6" s="1854"/>
      <c r="V6" s="1854"/>
      <c r="W6" s="1854"/>
      <c r="X6" s="1854"/>
      <c r="Y6" s="1854"/>
    </row>
    <row r="7" spans="1:25" s="36" customFormat="1" ht="3.65"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4032</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4033</v>
      </c>
      <c r="D10" s="29"/>
      <c r="E10" s="29"/>
      <c r="F10" s="29"/>
      <c r="G10" s="42"/>
      <c r="H10" s="147" t="s">
        <v>3707</v>
      </c>
      <c r="I10" s="42"/>
      <c r="J10" s="42"/>
      <c r="K10" s="42"/>
      <c r="L10" s="42"/>
      <c r="M10" s="1117" t="s">
        <v>3706</v>
      </c>
      <c r="N10" s="42"/>
      <c r="O10" s="42"/>
      <c r="P10" s="881">
        <f>IF(P12&lt;2,0,IF(AND(P12&gt;1,P12&lt;5),1,IF(P12&gt;4,P12-3)))</f>
        <v>0</v>
      </c>
      <c r="Q10" s="1854"/>
      <c r="R10" s="1854"/>
      <c r="S10" s="1854"/>
      <c r="T10" s="1854"/>
      <c r="U10" s="1854"/>
      <c r="V10" s="1854"/>
      <c r="W10" s="1854"/>
      <c r="X10" s="1854"/>
      <c r="Y10" s="185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3304</v>
      </c>
      <c r="B12" s="1136" t="s">
        <v>3305</v>
      </c>
      <c r="C12" s="919"/>
      <c r="D12" s="919"/>
      <c r="E12" s="236" t="s">
        <v>3312</v>
      </c>
      <c r="F12" s="4678" t="s">
        <v>4389</v>
      </c>
      <c r="G12" s="4678"/>
      <c r="H12" s="4678"/>
      <c r="I12" s="4678"/>
      <c r="J12" s="4678"/>
      <c r="K12" s="4678"/>
      <c r="L12" s="4678"/>
      <c r="M12" s="4678"/>
      <c r="N12" s="4678"/>
      <c r="O12" s="1137" t="s">
        <v>3686</v>
      </c>
      <c r="P12" s="1138">
        <f>SUM(P13:P31)</f>
        <v>0</v>
      </c>
      <c r="Q12" s="4757" t="s">
        <v>4435</v>
      </c>
      <c r="R12" s="4757"/>
      <c r="S12" s="4757"/>
      <c r="T12" s="4757"/>
      <c r="U12" s="4757"/>
      <c r="V12" s="1115"/>
    </row>
    <row r="13" spans="1:25" s="35" customFormat="1" ht="10.5" customHeight="1">
      <c r="A13" s="907" t="s">
        <v>1663</v>
      </c>
      <c r="B13" s="904" t="s">
        <v>3306</v>
      </c>
      <c r="C13" s="905"/>
      <c r="D13" s="906"/>
      <c r="E13" s="1131">
        <f>$O$103</f>
        <v>0</v>
      </c>
      <c r="F13" s="4679">
        <f>$A$109</f>
        <v>0</v>
      </c>
      <c r="G13" s="4680"/>
      <c r="H13" s="4680"/>
      <c r="I13" s="4680"/>
      <c r="J13" s="4680"/>
      <c r="K13" s="4680"/>
      <c r="L13" s="4680"/>
      <c r="M13" s="4680"/>
      <c r="N13" s="4680"/>
      <c r="O13" s="4680"/>
      <c r="P13" s="1144"/>
      <c r="Q13" s="4757"/>
      <c r="R13" s="4757"/>
      <c r="S13" s="4757"/>
      <c r="T13" s="4757"/>
      <c r="U13" s="4757"/>
      <c r="V13" s="1115"/>
    </row>
    <row r="14" spans="1:25" s="35" customFormat="1" ht="10.5" customHeight="1">
      <c r="A14" s="907" t="s">
        <v>495</v>
      </c>
      <c r="B14" s="735" t="s">
        <v>3907</v>
      </c>
      <c r="C14" s="849"/>
      <c r="D14" s="908"/>
      <c r="E14" s="1663">
        <f>$O$113</f>
        <v>0</v>
      </c>
      <c r="F14" s="4672">
        <f>$A$147</f>
        <v>0</v>
      </c>
      <c r="G14" s="4673"/>
      <c r="H14" s="4673"/>
      <c r="I14" s="4673"/>
      <c r="J14" s="4673"/>
      <c r="K14" s="4673"/>
      <c r="L14" s="4673"/>
      <c r="M14" s="4673"/>
      <c r="N14" s="4673"/>
      <c r="O14" s="4674"/>
      <c r="P14" s="1145"/>
      <c r="Q14" s="4757"/>
      <c r="R14" s="4757"/>
      <c r="S14" s="4757"/>
      <c r="T14" s="4757"/>
      <c r="U14" s="4757"/>
    </row>
    <row r="15" spans="1:25" s="35" customFormat="1" ht="10.5" customHeight="1">
      <c r="A15" s="907" t="s">
        <v>719</v>
      </c>
      <c r="B15" s="735" t="s">
        <v>3251</v>
      </c>
      <c r="C15" s="849"/>
      <c r="D15" s="908"/>
      <c r="E15" s="1663">
        <f>$O$152</f>
        <v>0</v>
      </c>
      <c r="F15" s="4672">
        <f>$A$165</f>
        <v>0</v>
      </c>
      <c r="G15" s="4673"/>
      <c r="H15" s="4673"/>
      <c r="I15" s="4673"/>
      <c r="J15" s="4673"/>
      <c r="K15" s="4673"/>
      <c r="L15" s="4673"/>
      <c r="M15" s="4673"/>
      <c r="N15" s="4673"/>
      <c r="O15" s="4674"/>
      <c r="P15" s="1145"/>
      <c r="Q15" s="1863"/>
      <c r="R15" s="1863"/>
      <c r="S15" s="1863"/>
      <c r="T15" s="1863"/>
      <c r="U15" s="1863"/>
    </row>
    <row r="16" spans="1:25" s="35" customFormat="1" ht="10.5" customHeight="1">
      <c r="A16" s="1515" t="s">
        <v>280</v>
      </c>
      <c r="B16" s="735" t="s">
        <v>3307</v>
      </c>
      <c r="C16" s="849"/>
      <c r="D16" s="908"/>
      <c r="E16" s="1133">
        <f>$O$169</f>
        <v>0</v>
      </c>
      <c r="F16" s="4672">
        <f>$A$186</f>
        <v>0</v>
      </c>
      <c r="G16" s="4673"/>
      <c r="H16" s="4673"/>
      <c r="I16" s="4673"/>
      <c r="J16" s="4673"/>
      <c r="K16" s="4673"/>
      <c r="L16" s="4673"/>
      <c r="M16" s="4673"/>
      <c r="N16" s="4673"/>
      <c r="O16" s="4674"/>
      <c r="P16" s="1145"/>
      <c r="Q16" s="1863"/>
      <c r="R16" s="1863"/>
      <c r="S16" s="1863"/>
      <c r="T16" s="1863"/>
      <c r="U16" s="1863"/>
    </row>
    <row r="17" spans="1:35" s="35" customFormat="1" ht="10.5" customHeight="1">
      <c r="A17" s="907" t="s">
        <v>400</v>
      </c>
      <c r="B17" s="914" t="s">
        <v>3308</v>
      </c>
      <c r="C17" s="915"/>
      <c r="D17" s="916"/>
      <c r="E17" s="1134" t="s">
        <v>1607</v>
      </c>
      <c r="F17" s="4682">
        <f>$A$201</f>
        <v>0</v>
      </c>
      <c r="G17" s="4683"/>
      <c r="H17" s="4683"/>
      <c r="I17" s="4683"/>
      <c r="J17" s="4683"/>
      <c r="K17" s="4683"/>
      <c r="L17" s="4683"/>
      <c r="M17" s="4683"/>
      <c r="N17" s="4683"/>
      <c r="O17" s="4684"/>
      <c r="P17" s="1145"/>
      <c r="Q17" s="1863"/>
      <c r="R17" s="1863"/>
      <c r="S17" s="1863"/>
      <c r="T17" s="1863"/>
      <c r="U17" s="1863"/>
    </row>
    <row r="18" spans="1:35" s="35" customFormat="1" ht="10.5" customHeight="1">
      <c r="A18" s="907" t="s">
        <v>342</v>
      </c>
      <c r="B18" s="735" t="s">
        <v>3908</v>
      </c>
      <c r="C18" s="849"/>
      <c r="D18" s="908"/>
      <c r="E18" s="1132">
        <f>$O$205</f>
        <v>0</v>
      </c>
      <c r="F18" s="4672">
        <f>$A$220</f>
        <v>0</v>
      </c>
      <c r="G18" s="4673"/>
      <c r="H18" s="4673"/>
      <c r="I18" s="4673"/>
      <c r="J18" s="4673"/>
      <c r="K18" s="4673"/>
      <c r="L18" s="4673"/>
      <c r="M18" s="4673"/>
      <c r="N18" s="4673"/>
      <c r="O18" s="4674"/>
      <c r="P18" s="1145"/>
      <c r="Q18" s="4728" t="str">
        <f>IF(OR($A$109="",$A$147="",$A$165="",$A$186="",$A$201="",$A$220="",$A$238="",$A$248="",$A$257="",$A$281="",$A$306="",$A$314="",$A$338="",$A$374="",$A$393="",$A$414="",$A$420="",$A$430="",$A$438=""),"Some Applicant Scoring Justification boxes are empty! Check to see if points claimed.","")</f>
        <v>Some Applicant Scoring Justification boxes are empty! Check to see if points claimed.</v>
      </c>
      <c r="R18" s="4729"/>
      <c r="S18" s="4729"/>
    </row>
    <row r="19" spans="1:35" s="35" customFormat="1" ht="10.5" customHeight="1">
      <c r="A19" s="907" t="s">
        <v>3910</v>
      </c>
      <c r="B19" s="735" t="s">
        <v>3179</v>
      </c>
      <c r="C19" s="849"/>
      <c r="D19" s="908"/>
      <c r="E19" s="1132">
        <f>$O$233</f>
        <v>0</v>
      </c>
      <c r="F19" s="4672">
        <f>$A$238</f>
        <v>0</v>
      </c>
      <c r="G19" s="4673"/>
      <c r="H19" s="4673"/>
      <c r="I19" s="4673"/>
      <c r="J19" s="4673"/>
      <c r="K19" s="4673"/>
      <c r="L19" s="4673"/>
      <c r="M19" s="4673"/>
      <c r="N19" s="4673"/>
      <c r="O19" s="4674"/>
      <c r="P19" s="1145"/>
      <c r="Q19" s="4728"/>
      <c r="R19" s="4729"/>
      <c r="S19" s="4729"/>
    </row>
    <row r="20" spans="1:35" s="35" customFormat="1" ht="10.5" customHeight="1">
      <c r="A20" s="907" t="s">
        <v>3921</v>
      </c>
      <c r="B20" s="735" t="s">
        <v>3911</v>
      </c>
      <c r="C20" s="849"/>
      <c r="D20" s="908"/>
      <c r="E20" s="1134">
        <f>$O$242</f>
        <v>0</v>
      </c>
      <c r="F20" s="4672">
        <f>$A$248</f>
        <v>0</v>
      </c>
      <c r="G20" s="4673"/>
      <c r="H20" s="4673"/>
      <c r="I20" s="4673"/>
      <c r="J20" s="4673"/>
      <c r="K20" s="4673"/>
      <c r="L20" s="4673"/>
      <c r="M20" s="4673"/>
      <c r="N20" s="4673"/>
      <c r="O20" s="4674"/>
      <c r="P20" s="1145"/>
      <c r="Q20" s="4728"/>
      <c r="R20" s="4729"/>
      <c r="S20" s="4729"/>
    </row>
    <row r="21" spans="1:35" s="35" customFormat="1" ht="10.5" customHeight="1">
      <c r="A21" s="913" t="s">
        <v>4136</v>
      </c>
      <c r="B21" s="914" t="s">
        <v>3912</v>
      </c>
      <c r="C21" s="915"/>
      <c r="D21" s="916"/>
      <c r="E21" s="1135">
        <f>$O$252</f>
        <v>0</v>
      </c>
      <c r="F21" s="4682">
        <f>$A$257</f>
        <v>0</v>
      </c>
      <c r="G21" s="4683"/>
      <c r="H21" s="4683"/>
      <c r="I21" s="4683"/>
      <c r="J21" s="4683"/>
      <c r="K21" s="4683"/>
      <c r="L21" s="4683"/>
      <c r="M21" s="4683"/>
      <c r="N21" s="4683"/>
      <c r="O21" s="4684"/>
      <c r="P21" s="1145"/>
      <c r="Q21" s="4728"/>
      <c r="R21" s="4729"/>
      <c r="S21" s="4729"/>
    </row>
    <row r="22" spans="1:35" s="35" customFormat="1" ht="10.5" customHeight="1">
      <c r="A22" s="907" t="s">
        <v>4527</v>
      </c>
      <c r="B22" s="735" t="s">
        <v>4439</v>
      </c>
      <c r="C22" s="849"/>
      <c r="D22" s="908"/>
      <c r="E22" s="1132">
        <f>$O$274</f>
        <v>0</v>
      </c>
      <c r="F22" s="4672">
        <f>$A$281</f>
        <v>0</v>
      </c>
      <c r="G22" s="4673"/>
      <c r="H22" s="4673"/>
      <c r="I22" s="4673"/>
      <c r="J22" s="4673"/>
      <c r="K22" s="4673"/>
      <c r="L22" s="4673"/>
      <c r="M22" s="4673"/>
      <c r="N22" s="4673"/>
      <c r="O22" s="4674"/>
      <c r="P22" s="1145"/>
      <c r="Q22" s="4728"/>
      <c r="R22" s="4729"/>
      <c r="S22" s="4729"/>
    </row>
    <row r="23" spans="1:35" s="35" customFormat="1" ht="10.5" customHeight="1">
      <c r="A23" s="907" t="s">
        <v>4529</v>
      </c>
      <c r="B23" s="735" t="s">
        <v>4528</v>
      </c>
      <c r="C23" s="849"/>
      <c r="D23" s="908"/>
      <c r="E23" s="1132">
        <f>$O$285</f>
        <v>0</v>
      </c>
      <c r="F23" s="4672">
        <f>$A$306</f>
        <v>0</v>
      </c>
      <c r="G23" s="4673"/>
      <c r="H23" s="4673"/>
      <c r="I23" s="4673"/>
      <c r="J23" s="4673"/>
      <c r="K23" s="4673"/>
      <c r="L23" s="4673"/>
      <c r="M23" s="4673"/>
      <c r="N23" s="4673"/>
      <c r="O23" s="4674"/>
      <c r="P23" s="1145"/>
      <c r="Q23" s="4728"/>
      <c r="R23" s="4729"/>
      <c r="S23" s="4729"/>
    </row>
    <row r="24" spans="1:35" s="35" customFormat="1" ht="10.5" customHeight="1">
      <c r="A24" s="1515" t="s">
        <v>3281</v>
      </c>
      <c r="B24" s="1777" t="s">
        <v>4445</v>
      </c>
      <c r="C24" s="1778"/>
      <c r="D24" s="1779"/>
      <c r="E24" s="1133">
        <f>$O$310</f>
        <v>0</v>
      </c>
      <c r="F24" s="4722">
        <f>$A$314</f>
        <v>0</v>
      </c>
      <c r="G24" s="4723"/>
      <c r="H24" s="4723"/>
      <c r="I24" s="4723"/>
      <c r="J24" s="4723"/>
      <c r="K24" s="4723"/>
      <c r="L24" s="4723"/>
      <c r="M24" s="4723"/>
      <c r="N24" s="4723"/>
      <c r="O24" s="4724"/>
      <c r="P24" s="1145"/>
      <c r="Q24" s="4728"/>
      <c r="R24" s="4729"/>
      <c r="S24" s="4729"/>
    </row>
    <row r="25" spans="1:35" s="35" customFormat="1" ht="10.5" customHeight="1">
      <c r="A25" s="907" t="s">
        <v>3285</v>
      </c>
      <c r="B25" s="735" t="s">
        <v>3309</v>
      </c>
      <c r="C25" s="849"/>
      <c r="D25" s="908"/>
      <c r="E25" s="1132">
        <f>$O$334</f>
        <v>0</v>
      </c>
      <c r="F25" s="4672">
        <f>$A$338</f>
        <v>0</v>
      </c>
      <c r="G25" s="4673"/>
      <c r="H25" s="4673"/>
      <c r="I25" s="4673"/>
      <c r="J25" s="4673"/>
      <c r="K25" s="4673"/>
      <c r="L25" s="4673"/>
      <c r="M25" s="4673"/>
      <c r="N25" s="4673"/>
      <c r="O25" s="4674"/>
      <c r="P25" s="1145"/>
      <c r="Q25" s="4728"/>
      <c r="R25" s="4729"/>
      <c r="S25" s="4729"/>
    </row>
    <row r="26" spans="1:35" s="35" customFormat="1" ht="10.5" customHeight="1">
      <c r="A26" s="907" t="s">
        <v>3288</v>
      </c>
      <c r="B26" s="735" t="s">
        <v>3310</v>
      </c>
      <c r="C26" s="849"/>
      <c r="D26" s="908"/>
      <c r="E26" s="1132">
        <f>$O$342</f>
        <v>0</v>
      </c>
      <c r="F26" s="4672">
        <f>$A$374</f>
        <v>0</v>
      </c>
      <c r="G26" s="4673"/>
      <c r="H26" s="4673"/>
      <c r="I26" s="4673"/>
      <c r="J26" s="4673"/>
      <c r="K26" s="4673"/>
      <c r="L26" s="4673"/>
      <c r="M26" s="4673"/>
      <c r="N26" s="4673"/>
      <c r="O26" s="4674"/>
      <c r="P26" s="1145"/>
      <c r="Q26" s="4728"/>
      <c r="R26" s="4729"/>
      <c r="S26" s="4729"/>
    </row>
    <row r="27" spans="1:35" s="35" customFormat="1" ht="10.5" customHeight="1">
      <c r="A27" s="907" t="s">
        <v>3289</v>
      </c>
      <c r="B27" s="735" t="s">
        <v>3311</v>
      </c>
      <c r="C27" s="849"/>
      <c r="D27" s="908"/>
      <c r="E27" s="1134">
        <f>$O$378</f>
        <v>0</v>
      </c>
      <c r="F27" s="4672">
        <f>$A$393</f>
        <v>0</v>
      </c>
      <c r="G27" s="4673"/>
      <c r="H27" s="4673"/>
      <c r="I27" s="4673"/>
      <c r="J27" s="4673"/>
      <c r="K27" s="4673"/>
      <c r="L27" s="4673"/>
      <c r="M27" s="4673"/>
      <c r="N27" s="4673"/>
      <c r="O27" s="4674"/>
      <c r="P27" s="1145"/>
      <c r="Q27" s="1853"/>
      <c r="R27" s="1530"/>
      <c r="S27" s="1530"/>
      <c r="AA27" s="4"/>
      <c r="AB27" s="4"/>
      <c r="AC27" s="4"/>
      <c r="AD27" s="4"/>
      <c r="AE27" s="4"/>
      <c r="AF27" s="4"/>
    </row>
    <row r="28" spans="1:35" s="35" customFormat="1" ht="10.5" customHeight="1">
      <c r="A28" s="909" t="s">
        <v>3291</v>
      </c>
      <c r="B28" s="910" t="s">
        <v>4526</v>
      </c>
      <c r="C28" s="911"/>
      <c r="D28" s="912"/>
      <c r="E28" s="1526">
        <f>$O$405</f>
        <v>2</v>
      </c>
      <c r="F28" s="4675">
        <f>$A$414</f>
        <v>0</v>
      </c>
      <c r="G28" s="4676"/>
      <c r="H28" s="4676"/>
      <c r="I28" s="4676"/>
      <c r="J28" s="4676"/>
      <c r="K28" s="4676"/>
      <c r="L28" s="4676"/>
      <c r="M28" s="4676"/>
      <c r="N28" s="4676"/>
      <c r="O28" s="4677"/>
      <c r="P28" s="1146"/>
      <c r="Q28" s="1853"/>
      <c r="R28" s="1530"/>
      <c r="S28" s="1530"/>
      <c r="X28" s="4"/>
      <c r="Y28" s="4"/>
      <c r="Z28" s="4"/>
      <c r="AA28" s="4"/>
      <c r="AB28" s="4"/>
      <c r="AC28" s="4"/>
      <c r="AD28" s="4"/>
      <c r="AE28" s="4"/>
      <c r="AF28" s="4"/>
      <c r="AG28" s="4"/>
      <c r="AH28" s="4"/>
      <c r="AI28" s="4"/>
    </row>
    <row r="29" spans="1:35" s="35" customFormat="1" ht="10.5" customHeight="1">
      <c r="A29" s="907" t="s">
        <v>3292</v>
      </c>
      <c r="B29" s="735" t="s">
        <v>4029</v>
      </c>
      <c r="C29" s="849"/>
      <c r="D29" s="908"/>
      <c r="E29" s="1132">
        <f>$O$418</f>
        <v>0</v>
      </c>
      <c r="F29" s="4672">
        <f>$A$420</f>
        <v>0</v>
      </c>
      <c r="G29" s="4673"/>
      <c r="H29" s="4673"/>
      <c r="I29" s="4673"/>
      <c r="J29" s="4673"/>
      <c r="K29" s="4673"/>
      <c r="L29" s="4673"/>
      <c r="M29" s="4673"/>
      <c r="N29" s="4673"/>
      <c r="O29" s="4674"/>
      <c r="P29" s="1145"/>
      <c r="Q29" s="1853"/>
      <c r="R29" s="1530"/>
      <c r="S29" s="1530"/>
    </row>
    <row r="30" spans="1:35" s="35" customFormat="1" ht="10.5" customHeight="1">
      <c r="A30" s="907" t="s">
        <v>3679</v>
      </c>
      <c r="B30" s="735" t="s">
        <v>4443</v>
      </c>
      <c r="C30" s="849"/>
      <c r="D30" s="908"/>
      <c r="E30" s="1132">
        <f>$O$428</f>
        <v>0</v>
      </c>
      <c r="F30" s="4672">
        <f>$A$430</f>
        <v>0</v>
      </c>
      <c r="G30" s="4673"/>
      <c r="H30" s="4673"/>
      <c r="I30" s="4673"/>
      <c r="J30" s="4673"/>
      <c r="K30" s="4673"/>
      <c r="L30" s="4673"/>
      <c r="M30" s="4673"/>
      <c r="N30" s="4673"/>
      <c r="O30" s="4674"/>
      <c r="P30" s="1145"/>
      <c r="Q30" s="1853"/>
      <c r="R30" s="1530"/>
      <c r="S30" s="1530"/>
      <c r="AA30" s="3649" t="s">
        <v>4453</v>
      </c>
      <c r="AB30" s="3649"/>
      <c r="AC30" s="3649"/>
      <c r="AD30" s="3649"/>
      <c r="AE30" s="3649"/>
      <c r="AF30" s="3649"/>
    </row>
    <row r="31" spans="1:35" s="35" customFormat="1" ht="10.5" customHeight="1">
      <c r="A31" s="909" t="s">
        <v>4446</v>
      </c>
      <c r="B31" s="910" t="s">
        <v>4444</v>
      </c>
      <c r="C31" s="911"/>
      <c r="D31" s="912"/>
      <c r="E31" s="1526">
        <f>$O$434</f>
        <v>0</v>
      </c>
      <c r="F31" s="4675">
        <f>$A$438</f>
        <v>0</v>
      </c>
      <c r="G31" s="4676"/>
      <c r="H31" s="4676"/>
      <c r="I31" s="4676"/>
      <c r="J31" s="4676"/>
      <c r="K31" s="4676"/>
      <c r="L31" s="4676"/>
      <c r="M31" s="4676"/>
      <c r="N31" s="4676"/>
      <c r="O31" s="4677"/>
      <c r="P31" s="1146"/>
      <c r="Q31" s="1853"/>
      <c r="R31" s="1530"/>
      <c r="S31" s="1530"/>
      <c r="X31" s="3649" t="s">
        <v>4454</v>
      </c>
      <c r="Y31" s="3649"/>
      <c r="Z31" s="3649"/>
      <c r="AA31" s="3649"/>
      <c r="AB31" s="3649"/>
      <c r="AC31" s="3649"/>
      <c r="AD31" s="3649" t="s">
        <v>4455</v>
      </c>
      <c r="AE31" s="3649"/>
      <c r="AF31" s="3649"/>
      <c r="AG31" s="3649"/>
      <c r="AH31" s="3649"/>
      <c r="AI31" s="3649"/>
    </row>
    <row r="32" spans="1:35" s="115" customFormat="1" ht="5.25" customHeight="1">
      <c r="C32" s="68"/>
      <c r="D32" s="68"/>
      <c r="E32" s="68"/>
      <c r="F32" s="68"/>
      <c r="G32" s="1414"/>
      <c r="H32" s="68"/>
      <c r="I32" s="68"/>
      <c r="J32" s="68"/>
      <c r="K32" s="68"/>
    </row>
    <row r="33" spans="1:46" s="115" customFormat="1" ht="12.75" customHeight="1">
      <c r="A33" s="120" t="s">
        <v>688</v>
      </c>
      <c r="B33" s="83" t="s">
        <v>4034</v>
      </c>
      <c r="C33" s="70"/>
      <c r="D33" s="68"/>
      <c r="E33" s="68"/>
      <c r="F33" s="68"/>
      <c r="G33" s="4733" t="s">
        <v>4022</v>
      </c>
      <c r="H33" s="4733"/>
      <c r="I33" s="4730" t="s">
        <v>4398</v>
      </c>
      <c r="J33" s="4731"/>
      <c r="K33" s="4731"/>
      <c r="L33" s="4732"/>
      <c r="M33" s="4685" t="s">
        <v>4035</v>
      </c>
      <c r="N33" s="4685"/>
      <c r="O33" s="4685"/>
      <c r="P33" s="4685"/>
      <c r="Q33" s="435"/>
      <c r="R33" s="435"/>
      <c r="S33" s="83" t="s">
        <v>4034</v>
      </c>
      <c r="T33" s="435"/>
      <c r="U33" s="435"/>
      <c r="V33" s="435"/>
      <c r="X33" s="4716" t="s">
        <v>4022</v>
      </c>
      <c r="Y33" s="4718"/>
      <c r="Z33" s="4716" t="s">
        <v>4398</v>
      </c>
      <c r="AA33" s="4717"/>
      <c r="AB33" s="4717"/>
      <c r="AC33" s="4718"/>
      <c r="AD33" s="4725" t="s">
        <v>4022</v>
      </c>
      <c r="AE33" s="4726"/>
      <c r="AF33" s="4727" t="s">
        <v>4398</v>
      </c>
      <c r="AG33" s="4725"/>
      <c r="AH33" s="4725"/>
      <c r="AI33" s="4726"/>
    </row>
    <row r="34" spans="1:46" s="115" customFormat="1" ht="11.25" customHeight="1">
      <c r="A34" s="44"/>
      <c r="B34" s="29"/>
      <c r="C34" s="44"/>
      <c r="D34" s="44"/>
      <c r="E34" s="44"/>
      <c r="F34" s="44"/>
      <c r="G34" s="1622">
        <v>0.09</v>
      </c>
      <c r="H34" s="1622">
        <v>0.04</v>
      </c>
      <c r="I34" s="1622">
        <v>0.04</v>
      </c>
      <c r="J34" s="1622" t="s">
        <v>4436</v>
      </c>
      <c r="K34" s="1622" t="s">
        <v>4437</v>
      </c>
      <c r="L34" s="1622" t="s">
        <v>4438</v>
      </c>
      <c r="M34" s="4719" t="e">
        <f>#REF!</f>
        <v>#REF!</v>
      </c>
      <c r="N34" s="4720"/>
      <c r="O34" s="4720"/>
      <c r="P34" s="4721"/>
      <c r="Q34" s="435"/>
      <c r="R34" s="44"/>
      <c r="S34" s="29"/>
      <c r="T34" s="44"/>
      <c r="U34" s="44"/>
      <c r="V34" s="44"/>
      <c r="W34" s="44"/>
      <c r="X34" s="1622">
        <v>0.09</v>
      </c>
      <c r="Y34" s="1622">
        <v>0.04</v>
      </c>
      <c r="Z34" s="1622">
        <v>0.04</v>
      </c>
      <c r="AA34" s="1622" t="s">
        <v>4436</v>
      </c>
      <c r="AB34" s="1622" t="s">
        <v>4437</v>
      </c>
      <c r="AC34" s="1622" t="s">
        <v>4438</v>
      </c>
      <c r="AD34" s="1622">
        <v>0.09</v>
      </c>
      <c r="AE34" s="1622">
        <v>0.04</v>
      </c>
      <c r="AF34" s="1622">
        <v>0.04</v>
      </c>
      <c r="AG34" s="1622" t="s">
        <v>4436</v>
      </c>
      <c r="AH34" s="1622" t="s">
        <v>4437</v>
      </c>
      <c r="AI34" s="1622" t="s">
        <v>4438</v>
      </c>
    </row>
    <row r="35" spans="1:46" s="115" customFormat="1" ht="10.5" customHeight="1">
      <c r="A35" s="644" t="s">
        <v>572</v>
      </c>
      <c r="B35" s="1623" t="s">
        <v>4630</v>
      </c>
      <c r="C35" s="1624"/>
      <c r="D35" s="1625"/>
      <c r="E35" s="1625"/>
      <c r="F35" s="1625"/>
      <c r="G35" s="1626">
        <v>0</v>
      </c>
      <c r="H35" s="1627">
        <v>0</v>
      </c>
      <c r="I35" s="1882">
        <v>0</v>
      </c>
      <c r="J35" s="1883">
        <v>0</v>
      </c>
      <c r="K35" s="1883">
        <v>0</v>
      </c>
      <c r="L35" s="1884">
        <v>0</v>
      </c>
      <c r="Q35" s="142"/>
      <c r="R35" s="644" t="s">
        <v>572</v>
      </c>
      <c r="S35" s="1623" t="s">
        <v>4630</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4023</v>
      </c>
      <c r="C36" s="1624"/>
      <c r="D36" s="1625"/>
      <c r="E36" s="1625"/>
      <c r="F36" s="1625"/>
      <c r="G36" s="1626">
        <v>10</v>
      </c>
      <c r="H36" s="1627">
        <v>10</v>
      </c>
      <c r="I36" s="1626">
        <v>10</v>
      </c>
      <c r="J36" s="1885">
        <v>10</v>
      </c>
      <c r="K36" s="1713">
        <v>10</v>
      </c>
      <c r="L36" s="1632">
        <v>10</v>
      </c>
      <c r="Q36" s="142"/>
      <c r="R36" s="644" t="s">
        <v>690</v>
      </c>
      <c r="S36" s="1623" t="s">
        <v>4023</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4024</v>
      </c>
      <c r="C37" s="1629"/>
      <c r="D37" s="1630"/>
      <c r="E37" s="1630"/>
      <c r="F37" s="1630"/>
      <c r="G37" s="1631">
        <v>3</v>
      </c>
      <c r="H37" s="1632">
        <v>3</v>
      </c>
      <c r="I37" s="1631"/>
      <c r="J37" s="1713"/>
      <c r="K37" s="1713"/>
      <c r="L37" s="1632"/>
      <c r="M37" s="258" t="s">
        <v>4036</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4024</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3306</v>
      </c>
      <c r="C38" s="1629"/>
      <c r="D38" s="1630"/>
      <c r="E38" s="1630"/>
      <c r="F38" s="1630"/>
      <c r="G38" s="1631">
        <v>20</v>
      </c>
      <c r="H38" s="1632">
        <v>12</v>
      </c>
      <c r="I38" s="1631"/>
      <c r="J38" s="1713"/>
      <c r="K38" s="1713"/>
      <c r="L38" s="1632"/>
      <c r="Q38" s="142"/>
      <c r="R38" s="644" t="s">
        <v>1663</v>
      </c>
      <c r="S38" s="1628" t="s">
        <v>3306</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3907</v>
      </c>
      <c r="C39" s="1629"/>
      <c r="D39" s="1630"/>
      <c r="E39" s="1630"/>
      <c r="F39" s="1630"/>
      <c r="G39" s="1631">
        <v>6</v>
      </c>
      <c r="H39" s="1632">
        <v>4</v>
      </c>
      <c r="I39" s="1631"/>
      <c r="J39" s="1713"/>
      <c r="K39" s="1713"/>
      <c r="L39" s="1632"/>
      <c r="Q39" s="142"/>
      <c r="R39" s="644" t="s">
        <v>495</v>
      </c>
      <c r="S39" s="1628" t="s">
        <v>3907</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3251</v>
      </c>
      <c r="C40" s="1629"/>
      <c r="D40" s="1630"/>
      <c r="E40" s="1630"/>
      <c r="F40" s="1630"/>
      <c r="G40" s="1631">
        <v>3</v>
      </c>
      <c r="H40" s="1632">
        <v>2</v>
      </c>
      <c r="I40" s="1631"/>
      <c r="J40" s="1713"/>
      <c r="K40" s="1713"/>
      <c r="L40" s="1632"/>
      <c r="M40" s="4473" t="s">
        <v>4452</v>
      </c>
      <c r="N40" s="4474"/>
      <c r="O40" s="4474"/>
      <c r="P40" s="4474"/>
      <c r="Q40" s="142"/>
      <c r="R40" s="644" t="s">
        <v>719</v>
      </c>
      <c r="S40" s="1628" t="s">
        <v>3251</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3307</v>
      </c>
      <c r="C41" s="1629"/>
      <c r="D41" s="1630"/>
      <c r="E41" s="1630"/>
      <c r="F41" s="1630"/>
      <c r="G41" s="1631">
        <v>7</v>
      </c>
      <c r="H41" s="1632">
        <v>5</v>
      </c>
      <c r="I41" s="1631"/>
      <c r="J41" s="1713"/>
      <c r="K41" s="1713"/>
      <c r="L41" s="1632"/>
      <c r="M41" s="4473"/>
      <c r="N41" s="4474"/>
      <c r="O41" s="4474"/>
      <c r="P41" s="4474"/>
      <c r="Q41" s="142"/>
      <c r="R41" s="644" t="s">
        <v>280</v>
      </c>
      <c r="S41" s="1628" t="s">
        <v>3307</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3308</v>
      </c>
      <c r="C42" s="1629"/>
      <c r="D42" s="1630"/>
      <c r="E42" s="1630"/>
      <c r="F42" s="1630"/>
      <c r="G42" s="1631">
        <v>3</v>
      </c>
      <c r="H42" s="1632"/>
      <c r="I42" s="1631"/>
      <c r="J42" s="1713"/>
      <c r="K42" s="1713"/>
      <c r="L42" s="1632"/>
      <c r="M42" s="147" t="s">
        <v>4447</v>
      </c>
      <c r="N42" s="147"/>
      <c r="O42" s="147"/>
      <c r="P42" s="1166"/>
      <c r="Q42" s="142"/>
      <c r="R42" s="644" t="s">
        <v>400</v>
      </c>
      <c r="S42" s="1628" t="s">
        <v>3308</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3908</v>
      </c>
      <c r="C43" s="1629"/>
      <c r="D43" s="1630"/>
      <c r="E43" s="1630"/>
      <c r="F43" s="1630"/>
      <c r="G43" s="1631">
        <v>10</v>
      </c>
      <c r="H43" s="1632">
        <v>5</v>
      </c>
      <c r="I43" s="1631"/>
      <c r="J43" s="1713"/>
      <c r="K43" s="1713"/>
      <c r="L43" s="1632"/>
      <c r="M43" s="147" t="s">
        <v>3223</v>
      </c>
      <c r="N43" s="147"/>
      <c r="O43" s="147"/>
      <c r="P43" s="806"/>
      <c r="Q43" s="142"/>
      <c r="R43" s="644" t="s">
        <v>342</v>
      </c>
      <c r="S43" s="1628" t="s">
        <v>3908</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4025</v>
      </c>
      <c r="C44" s="1629"/>
      <c r="D44" s="1630"/>
      <c r="E44" s="1630"/>
      <c r="F44" s="1630"/>
      <c r="G44" s="1631">
        <v>1</v>
      </c>
      <c r="H44" s="1632"/>
      <c r="I44" s="1631"/>
      <c r="J44" s="1713"/>
      <c r="K44" s="1713"/>
      <c r="L44" s="1632"/>
      <c r="M44" s="1725" t="s">
        <v>4040</v>
      </c>
      <c r="N44" s="223"/>
      <c r="O44" s="223"/>
      <c r="P44" s="801"/>
      <c r="Q44" s="142"/>
      <c r="R44" s="644" t="s">
        <v>343</v>
      </c>
      <c r="S44" s="1628" t="s">
        <v>4025</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3179</v>
      </c>
      <c r="C45" s="1629"/>
      <c r="D45" s="1630"/>
      <c r="E45" s="1630"/>
      <c r="F45" s="1630"/>
      <c r="G45" s="1631">
        <v>10</v>
      </c>
      <c r="H45" s="1632">
        <v>5</v>
      </c>
      <c r="I45" s="1631"/>
      <c r="J45" s="1713"/>
      <c r="K45" s="1713"/>
      <c r="L45" s="1632"/>
      <c r="M45" s="1725" t="s">
        <v>4402</v>
      </c>
      <c r="N45" s="223"/>
      <c r="O45" s="241" t="s">
        <v>4039</v>
      </c>
      <c r="P45" s="1803" t="str">
        <f>IF('Part VII-Threshold Criteria OLD'!$P$341="Agree","Yes","")</f>
        <v/>
      </c>
      <c r="Q45" s="142"/>
      <c r="R45" s="644" t="s">
        <v>344</v>
      </c>
      <c r="S45" s="1628" t="s">
        <v>3179</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4026</v>
      </c>
      <c r="C46" s="1629"/>
      <c r="D46" s="1630"/>
      <c r="E46" s="1630"/>
      <c r="F46" s="1630"/>
      <c r="G46" s="1631">
        <v>3</v>
      </c>
      <c r="H46" s="1632"/>
      <c r="I46" s="1631"/>
      <c r="J46" s="1713"/>
      <c r="K46" s="1713"/>
      <c r="L46" s="1632"/>
      <c r="M46" s="1725"/>
      <c r="N46" s="223"/>
      <c r="O46" s="241" t="s">
        <v>4448</v>
      </c>
      <c r="P46" s="1804" t="str">
        <f>IF('Part VII-Threshold Criteria OLD'!$P$344="Agree","Yes","")</f>
        <v/>
      </c>
      <c r="Q46" s="142"/>
      <c r="R46" s="644" t="s">
        <v>1602</v>
      </c>
      <c r="S46" s="1628" t="s">
        <v>4026</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3282</v>
      </c>
      <c r="B47" s="1628" t="s">
        <v>3912</v>
      </c>
      <c r="C47" s="1629"/>
      <c r="D47" s="1630"/>
      <c r="E47" s="1630"/>
      <c r="F47" s="1630"/>
      <c r="G47" s="1631">
        <v>5</v>
      </c>
      <c r="H47" s="1632"/>
      <c r="I47" s="1631"/>
      <c r="J47" s="1713"/>
      <c r="K47" s="1713"/>
      <c r="L47" s="1632"/>
      <c r="M47" s="1209"/>
      <c r="N47" s="1749"/>
      <c r="O47" s="1726" t="s">
        <v>4449</v>
      </c>
      <c r="P47" s="1805" t="str">
        <f>IF('Part VII-Threshold Criteria OLD'!$P$346="Agree","Yes","")</f>
        <v/>
      </c>
      <c r="Q47" s="142"/>
      <c r="R47" s="644" t="s">
        <v>3282</v>
      </c>
      <c r="S47" s="1628" t="s">
        <v>3912</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3680</v>
      </c>
      <c r="C48" s="1629"/>
      <c r="D48" s="1630"/>
      <c r="E48" s="1630"/>
      <c r="F48" s="1630"/>
      <c r="G48" s="1631">
        <v>4</v>
      </c>
      <c r="H48" s="1632">
        <v>4</v>
      </c>
      <c r="I48" s="1631">
        <v>4</v>
      </c>
      <c r="J48" s="1713">
        <v>4</v>
      </c>
      <c r="K48" s="1713">
        <v>4</v>
      </c>
      <c r="L48" s="1632">
        <v>4</v>
      </c>
      <c r="M48" s="1743" t="s">
        <v>2437</v>
      </c>
      <c r="N48" s="1744"/>
      <c r="O48" s="1745"/>
      <c r="P48" s="1166"/>
      <c r="R48" s="644" t="s">
        <v>2075</v>
      </c>
      <c r="S48" s="1628" t="s">
        <v>3680</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3165</v>
      </c>
    </row>
    <row r="49" spans="1:46" s="115" customFormat="1" ht="10.5" customHeight="1">
      <c r="A49" s="644" t="s">
        <v>3282</v>
      </c>
      <c r="B49" s="1628" t="s">
        <v>4439</v>
      </c>
      <c r="C49" s="1629"/>
      <c r="D49" s="1630"/>
      <c r="E49" s="1630"/>
      <c r="F49" s="1630"/>
      <c r="G49" s="1631">
        <v>2</v>
      </c>
      <c r="H49" s="1632">
        <v>2</v>
      </c>
      <c r="I49" s="1631">
        <v>2</v>
      </c>
      <c r="J49" s="1713">
        <v>2</v>
      </c>
      <c r="K49" s="1713">
        <v>2</v>
      </c>
      <c r="L49" s="1632">
        <v>2</v>
      </c>
      <c r="M49" s="1746" t="s">
        <v>4450</v>
      </c>
      <c r="N49" s="1747"/>
      <c r="O49" s="1748"/>
      <c r="P49" s="801"/>
      <c r="R49" s="644" t="s">
        <v>3282</v>
      </c>
      <c r="S49" s="1628" t="s">
        <v>4439</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4583</v>
      </c>
      <c r="AR49" s="223"/>
      <c r="AS49" s="72"/>
      <c r="AT49" s="1801" t="e">
        <f>#REF!+#REF!+#REF!</f>
        <v>#REF!</v>
      </c>
    </row>
    <row r="50" spans="1:46" s="115" customFormat="1" ht="10.5" customHeight="1">
      <c r="A50" s="644" t="s">
        <v>3283</v>
      </c>
      <c r="B50" s="1628" t="s">
        <v>4440</v>
      </c>
      <c r="C50" s="1629"/>
      <c r="D50" s="1630"/>
      <c r="E50" s="1630"/>
      <c r="F50" s="1630"/>
      <c r="G50" s="1631">
        <v>2</v>
      </c>
      <c r="H50" s="1632">
        <v>2</v>
      </c>
      <c r="I50" s="1631">
        <v>2</v>
      </c>
      <c r="J50" s="1713">
        <v>2</v>
      </c>
      <c r="K50" s="1713">
        <v>2</v>
      </c>
      <c r="L50" s="1632">
        <v>2</v>
      </c>
      <c r="M50" s="147" t="s">
        <v>4451</v>
      </c>
      <c r="N50" s="72"/>
      <c r="O50" s="72"/>
      <c r="P50" s="455" t="e">
        <f>#REF!</f>
        <v>#REF!</v>
      </c>
      <c r="R50" s="644" t="s">
        <v>3283</v>
      </c>
      <c r="S50" s="1628" t="s">
        <v>4440</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4574</v>
      </c>
      <c r="AR50" s="1448"/>
      <c r="AS50" s="1448"/>
      <c r="AT50" s="1802" t="e">
        <f>#REF!+#REF!-#REF!-#REF!</f>
        <v>#REF!</v>
      </c>
    </row>
    <row r="51" spans="1:46" s="115" customFormat="1" ht="10.5" customHeight="1">
      <c r="A51" s="644" t="s">
        <v>3281</v>
      </c>
      <c r="B51" s="1628" t="s">
        <v>4445</v>
      </c>
      <c r="C51" s="1629"/>
      <c r="D51" s="1630"/>
      <c r="E51" s="1630"/>
      <c r="F51" s="1630"/>
      <c r="G51" s="1631">
        <v>2</v>
      </c>
      <c r="H51" s="1632"/>
      <c r="I51" s="1631"/>
      <c r="J51" s="1713">
        <v>2</v>
      </c>
      <c r="K51" s="1713">
        <v>2</v>
      </c>
      <c r="L51" s="1632">
        <v>2</v>
      </c>
      <c r="Q51" s="142"/>
      <c r="R51" s="644" t="s">
        <v>3281</v>
      </c>
      <c r="S51" s="1628" t="s">
        <v>4445</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3284</v>
      </c>
      <c r="B52" s="1628" t="s">
        <v>4027</v>
      </c>
      <c r="C52" s="1629"/>
      <c r="D52" s="1630"/>
      <c r="E52" s="1630"/>
      <c r="F52" s="1630"/>
      <c r="G52" s="1631">
        <v>2</v>
      </c>
      <c r="H52" s="1632"/>
      <c r="I52" s="1631"/>
      <c r="J52" s="1713">
        <v>2</v>
      </c>
      <c r="K52" s="1713">
        <v>2</v>
      </c>
      <c r="L52" s="1632">
        <v>2</v>
      </c>
      <c r="M52" s="4477" t="s">
        <v>4619</v>
      </c>
      <c r="N52" s="4478"/>
      <c r="O52" s="4478"/>
      <c r="P52" s="4478"/>
      <c r="Q52" s="391"/>
      <c r="R52" s="644" t="s">
        <v>3284</v>
      </c>
      <c r="S52" s="1628" t="s">
        <v>4027</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3285</v>
      </c>
      <c r="B53" s="1628" t="s">
        <v>3309</v>
      </c>
      <c r="C53" s="1629"/>
      <c r="D53" s="1630"/>
      <c r="E53" s="1630"/>
      <c r="F53" s="1630"/>
      <c r="G53" s="1631">
        <v>2</v>
      </c>
      <c r="H53" s="1632"/>
      <c r="I53" s="1631"/>
      <c r="J53" s="1713">
        <v>2</v>
      </c>
      <c r="K53" s="1713">
        <v>2</v>
      </c>
      <c r="L53" s="1632">
        <v>2</v>
      </c>
      <c r="M53" s="4477"/>
      <c r="N53" s="4478"/>
      <c r="O53" s="4478"/>
      <c r="P53" s="4478"/>
      <c r="R53" s="644" t="s">
        <v>3285</v>
      </c>
      <c r="S53" s="1628" t="s">
        <v>3309</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3288</v>
      </c>
      <c r="B54" s="1628" t="s">
        <v>3310</v>
      </c>
      <c r="C54" s="1629"/>
      <c r="D54" s="1630"/>
      <c r="E54" s="1630"/>
      <c r="F54" s="1630"/>
      <c r="G54" s="1631">
        <v>4</v>
      </c>
      <c r="H54" s="1632">
        <v>2</v>
      </c>
      <c r="I54" s="1631">
        <v>2</v>
      </c>
      <c r="J54" s="1713">
        <v>4</v>
      </c>
      <c r="K54" s="1713">
        <v>4</v>
      </c>
      <c r="L54" s="1632">
        <v>4</v>
      </c>
      <c r="M54" s="4479"/>
      <c r="N54" s="4480"/>
      <c r="O54" s="4480"/>
      <c r="P54" s="4480"/>
      <c r="R54" s="644" t="s">
        <v>3288</v>
      </c>
      <c r="S54" s="1628" t="s">
        <v>3310</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3289</v>
      </c>
      <c r="B55" s="1628" t="s">
        <v>3311</v>
      </c>
      <c r="C55" s="1629"/>
      <c r="D55" s="1630"/>
      <c r="E55" s="1630"/>
      <c r="F55" s="1630"/>
      <c r="G55" s="1631">
        <v>2</v>
      </c>
      <c r="H55" s="1632"/>
      <c r="I55" s="1631"/>
      <c r="J55" s="1713"/>
      <c r="K55" s="1713"/>
      <c r="L55" s="1632"/>
      <c r="M55" s="4686" t="s">
        <v>4595</v>
      </c>
      <c r="N55" s="4687"/>
      <c r="O55" s="4687"/>
      <c r="P55" s="4688"/>
      <c r="R55" s="644" t="s">
        <v>3289</v>
      </c>
      <c r="S55" s="1628" t="s">
        <v>3311</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3290</v>
      </c>
      <c r="B56" s="1628" t="s">
        <v>4028</v>
      </c>
      <c r="C56" s="1629"/>
      <c r="D56" s="1630"/>
      <c r="E56" s="1630"/>
      <c r="F56" s="1630"/>
      <c r="G56" s="1631">
        <v>10</v>
      </c>
      <c r="H56" s="1632">
        <v>10</v>
      </c>
      <c r="I56" s="1631">
        <v>10</v>
      </c>
      <c r="J56" s="1713">
        <v>10</v>
      </c>
      <c r="K56" s="1713">
        <v>10</v>
      </c>
      <c r="L56" s="1632">
        <v>10</v>
      </c>
      <c r="M56" s="4689"/>
      <c r="N56" s="4690"/>
      <c r="O56" s="4690"/>
      <c r="P56" s="4691"/>
      <c r="R56" s="644" t="s">
        <v>3290</v>
      </c>
      <c r="S56" s="1628" t="s">
        <v>4028</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3291</v>
      </c>
      <c r="B57" s="1628" t="s">
        <v>4441</v>
      </c>
      <c r="C57" s="1629"/>
      <c r="D57" s="1630"/>
      <c r="E57" s="1630"/>
      <c r="F57" s="1630"/>
      <c r="G57" s="1631">
        <v>3</v>
      </c>
      <c r="H57" s="1632">
        <v>3</v>
      </c>
      <c r="I57" s="1631">
        <v>3</v>
      </c>
      <c r="J57" s="1713">
        <v>3</v>
      </c>
      <c r="K57" s="1713">
        <v>3</v>
      </c>
      <c r="L57" s="1632">
        <v>3</v>
      </c>
      <c r="R57" s="644" t="s">
        <v>3291</v>
      </c>
      <c r="S57" s="1628" t="s">
        <v>4441</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3292</v>
      </c>
      <c r="B58" s="1628" t="s">
        <v>4029</v>
      </c>
      <c r="C58" s="1629"/>
      <c r="D58" s="1630"/>
      <c r="E58" s="1630"/>
      <c r="F58" s="1630"/>
      <c r="G58" s="1631"/>
      <c r="H58" s="1632"/>
      <c r="I58" s="1631">
        <v>6</v>
      </c>
      <c r="J58" s="1713">
        <v>6</v>
      </c>
      <c r="K58" s="1713">
        <v>6</v>
      </c>
      <c r="L58" s="1632">
        <v>6</v>
      </c>
      <c r="M58" s="4473" t="s">
        <v>4037</v>
      </c>
      <c r="N58" s="4474"/>
      <c r="O58" s="4474"/>
      <c r="P58" s="4474"/>
      <c r="Q58" s="142"/>
      <c r="R58" s="644" t="s">
        <v>3292</v>
      </c>
      <c r="S58" s="1628" t="s">
        <v>4029</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3293</v>
      </c>
      <c r="B59" s="1628" t="s">
        <v>4442</v>
      </c>
      <c r="C59" s="1629"/>
      <c r="D59" s="1630"/>
      <c r="E59" s="1630"/>
      <c r="F59" s="1630"/>
      <c r="G59" s="1631"/>
      <c r="H59" s="1632"/>
      <c r="I59" s="1631">
        <v>6</v>
      </c>
      <c r="J59" s="1713">
        <v>6</v>
      </c>
      <c r="K59" s="1713">
        <v>6</v>
      </c>
      <c r="L59" s="1632">
        <v>6</v>
      </c>
      <c r="M59" s="4475"/>
      <c r="N59" s="4476"/>
      <c r="O59" s="4476"/>
      <c r="P59" s="4476"/>
      <c r="Q59" s="142"/>
      <c r="R59" s="644" t="s">
        <v>3293</v>
      </c>
      <c r="S59" s="1628" t="s">
        <v>4442</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3679</v>
      </c>
      <c r="B60" s="1628" t="s">
        <v>4443</v>
      </c>
      <c r="C60" s="1629"/>
      <c r="D60" s="1630"/>
      <c r="E60" s="1630"/>
      <c r="F60" s="1630"/>
      <c r="G60" s="1631"/>
      <c r="H60" s="1632"/>
      <c r="I60" s="1631">
        <v>4</v>
      </c>
      <c r="J60" s="1713">
        <v>4</v>
      </c>
      <c r="K60" s="1713">
        <v>4</v>
      </c>
      <c r="L60" s="1632">
        <v>4</v>
      </c>
      <c r="M60" s="4763" t="s">
        <v>4596</v>
      </c>
      <c r="N60" s="4764"/>
      <c r="O60" s="4764"/>
      <c r="P60" s="4765"/>
      <c r="R60" s="644" t="s">
        <v>3679</v>
      </c>
      <c r="S60" s="1628" t="s">
        <v>4443</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4446</v>
      </c>
      <c r="B61" s="1633" t="s">
        <v>4444</v>
      </c>
      <c r="C61" s="1634"/>
      <c r="D61" s="1635"/>
      <c r="E61" s="1635"/>
      <c r="F61" s="1635"/>
      <c r="G61" s="1636"/>
      <c r="H61" s="1637"/>
      <c r="I61" s="1636">
        <v>6</v>
      </c>
      <c r="J61" s="1886">
        <v>4</v>
      </c>
      <c r="K61" s="1886">
        <v>6</v>
      </c>
      <c r="L61" s="1637">
        <v>4</v>
      </c>
      <c r="M61" s="4766"/>
      <c r="N61" s="4767"/>
      <c r="O61" s="4767"/>
      <c r="P61" s="4768"/>
      <c r="Q61" s="142"/>
      <c r="R61" s="644" t="s">
        <v>4446</v>
      </c>
      <c r="S61" s="1633" t="s">
        <v>4444</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4137</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2490</v>
      </c>
      <c r="C64" s="4"/>
      <c r="D64" s="4"/>
      <c r="E64" s="4"/>
      <c r="F64" s="29"/>
      <c r="G64" s="29"/>
      <c r="H64" s="147" t="s">
        <v>3705</v>
      </c>
      <c r="M64" s="119">
        <v>10</v>
      </c>
      <c r="N64" s="84"/>
      <c r="O64" s="851">
        <v>10</v>
      </c>
      <c r="P64" s="851">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4"/>
      <c r="N66" s="48" t="s">
        <v>1836</v>
      </c>
      <c r="P66" s="1512">
        <f>SUM(P67:P69)</f>
        <v>0</v>
      </c>
      <c r="Q66" s="29" t="s">
        <v>4135</v>
      </c>
    </row>
    <row r="67" spans="1:20" s="36" customFormat="1" ht="12.75" customHeight="1">
      <c r="A67" s="107"/>
      <c r="B67" s="1513" t="s">
        <v>1839</v>
      </c>
      <c r="C67" s="81" t="s">
        <v>3684</v>
      </c>
      <c r="D67" s="41"/>
      <c r="E67" s="41"/>
      <c r="F67" s="874"/>
      <c r="H67" s="147" t="s">
        <v>3091</v>
      </c>
      <c r="J67" s="42"/>
      <c r="N67" s="316" t="s">
        <v>1839</v>
      </c>
      <c r="P67" s="885">
        <f>F75</f>
        <v>0</v>
      </c>
    </row>
    <row r="68" spans="1:20" s="36" customFormat="1" ht="12.75" customHeight="1">
      <c r="A68" s="107"/>
      <c r="B68" s="1513" t="s">
        <v>1841</v>
      </c>
      <c r="C68" s="81" t="s">
        <v>4134</v>
      </c>
      <c r="D68" s="41"/>
      <c r="E68" s="41"/>
      <c r="F68" s="874"/>
      <c r="H68" s="147" t="s">
        <v>3682</v>
      </c>
      <c r="J68" s="42"/>
      <c r="N68" s="316" t="s">
        <v>1841</v>
      </c>
      <c r="P68" s="1113">
        <f>J75</f>
        <v>0</v>
      </c>
    </row>
    <row r="69" spans="1:20" s="36" customFormat="1" ht="12.75" customHeight="1">
      <c r="A69" s="107"/>
      <c r="B69" s="1513" t="s">
        <v>2326</v>
      </c>
      <c r="C69" s="81" t="s">
        <v>3683</v>
      </c>
      <c r="D69" s="41"/>
      <c r="E69" s="41"/>
      <c r="F69" s="874"/>
      <c r="H69" s="147" t="s">
        <v>3687</v>
      </c>
      <c r="J69" s="42"/>
      <c r="N69" s="316" t="s">
        <v>2326</v>
      </c>
      <c r="P69" s="1114"/>
    </row>
    <row r="70" spans="1:20" s="36" customFormat="1" ht="12.75" customHeight="1">
      <c r="C70" s="4511" t="s">
        <v>3771</v>
      </c>
      <c r="D70" s="4512"/>
      <c r="E70" s="4512"/>
      <c r="F70" s="4512"/>
      <c r="G70" s="4512"/>
      <c r="H70" s="4512"/>
      <c r="I70" s="4512"/>
      <c r="J70" s="4512"/>
      <c r="K70" s="4512"/>
      <c r="L70" s="4512"/>
      <c r="M70" s="4512"/>
      <c r="N70" s="4512"/>
      <c r="O70" s="4512"/>
      <c r="P70" s="4513"/>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2466</v>
      </c>
      <c r="J72" s="42"/>
      <c r="M72" s="5"/>
      <c r="N72" s="48" t="s">
        <v>1838</v>
      </c>
      <c r="P72" s="1116">
        <f>O75</f>
        <v>0</v>
      </c>
      <c r="Q72" s="29" t="s">
        <v>4135</v>
      </c>
    </row>
    <row r="73" spans="1:20" s="36" customFormat="1" ht="3" customHeight="1">
      <c r="A73" s="455"/>
      <c r="B73" s="452"/>
      <c r="C73" s="453"/>
      <c r="D73" s="108"/>
      <c r="K73" s="673"/>
      <c r="L73" s="673"/>
      <c r="M73" s="457"/>
      <c r="N73" s="316"/>
      <c r="O73" s="676"/>
      <c r="P73" s="676"/>
    </row>
    <row r="74" spans="1:20" s="35" customFormat="1" ht="12.75" customHeight="1">
      <c r="A74" s="4438" t="s">
        <v>3972</v>
      </c>
      <c r="B74" s="4438"/>
      <c r="C74" s="4438"/>
      <c r="D74" s="4438"/>
      <c r="E74" s="4438"/>
      <c r="F74" s="1112" t="s">
        <v>3303</v>
      </c>
      <c r="G74" s="4664" t="s">
        <v>3974</v>
      </c>
      <c r="H74" s="4664"/>
      <c r="I74" s="4664"/>
      <c r="J74" s="1112" t="s">
        <v>3303</v>
      </c>
      <c r="K74" s="4668" t="s">
        <v>3973</v>
      </c>
      <c r="L74" s="4668"/>
      <c r="M74" s="4668"/>
      <c r="N74" s="4668"/>
      <c r="O74" s="4662" t="s">
        <v>3303</v>
      </c>
      <c r="P74" s="4663"/>
      <c r="R74" s="355"/>
      <c r="S74" s="125"/>
    </row>
    <row r="75" spans="1:20" s="35" customFormat="1" ht="12.75" customHeight="1">
      <c r="A75" s="4661"/>
      <c r="B75" s="4661"/>
      <c r="C75" s="4661"/>
      <c r="D75" s="4661"/>
      <c r="E75" s="4661"/>
      <c r="F75" s="57">
        <f>SUM(F76:F87)</f>
        <v>0</v>
      </c>
      <c r="G75" s="4665"/>
      <c r="H75" s="4666"/>
      <c r="I75" s="4667"/>
      <c r="J75" s="57">
        <f>SUM(J76:J87)</f>
        <v>0</v>
      </c>
      <c r="K75" s="4669"/>
      <c r="L75" s="4670"/>
      <c r="M75" s="4670"/>
      <c r="N75" s="4671"/>
      <c r="O75" s="4652">
        <f>SUM(O76:O87)</f>
        <v>0</v>
      </c>
      <c r="P75" s="4653"/>
      <c r="Q75" s="355"/>
      <c r="R75" s="125"/>
    </row>
    <row r="76" spans="1:20" s="35" customFormat="1" ht="24.75" customHeight="1">
      <c r="A76" s="4654">
        <v>1</v>
      </c>
      <c r="B76" s="4655"/>
      <c r="C76" s="4655"/>
      <c r="D76" s="4655"/>
      <c r="E76" s="4656"/>
      <c r="F76" s="664"/>
      <c r="G76" s="4654">
        <v>1</v>
      </c>
      <c r="H76" s="4655"/>
      <c r="I76" s="4656"/>
      <c r="J76" s="667" t="s">
        <v>1607</v>
      </c>
      <c r="K76" s="4657">
        <v>1</v>
      </c>
      <c r="L76" s="4658"/>
      <c r="M76" s="4658"/>
      <c r="N76" s="4658"/>
      <c r="O76" s="4659" t="s">
        <v>1607</v>
      </c>
      <c r="P76" s="4660"/>
      <c r="Q76" s="353" t="s">
        <v>1179</v>
      </c>
      <c r="R76" s="125"/>
    </row>
    <row r="77" spans="1:20" s="35" customFormat="1" ht="24.75" customHeight="1">
      <c r="A77" s="4504">
        <v>2</v>
      </c>
      <c r="B77" s="4505"/>
      <c r="C77" s="4505"/>
      <c r="D77" s="4505"/>
      <c r="E77" s="4506"/>
      <c r="F77" s="665"/>
      <c r="G77" s="4504">
        <v>2</v>
      </c>
      <c r="H77" s="4505"/>
      <c r="I77" s="4506"/>
      <c r="J77" s="665"/>
      <c r="K77" s="4507">
        <v>2</v>
      </c>
      <c r="L77" s="4508"/>
      <c r="M77" s="4508"/>
      <c r="N77" s="4508"/>
      <c r="O77" s="4509"/>
      <c r="P77" s="4510"/>
      <c r="Q77" s="354"/>
      <c r="R77" s="125"/>
    </row>
    <row r="78" spans="1:20" s="35" customFormat="1" ht="24.75" customHeight="1">
      <c r="A78" s="4504">
        <v>3</v>
      </c>
      <c r="B78" s="4505"/>
      <c r="C78" s="4505"/>
      <c r="D78" s="4505"/>
      <c r="E78" s="4506"/>
      <c r="F78" s="665"/>
      <c r="G78" s="4504">
        <v>3</v>
      </c>
      <c r="H78" s="4505"/>
      <c r="I78" s="4506"/>
      <c r="J78" s="917" t="s">
        <v>2570</v>
      </c>
      <c r="K78" s="4507">
        <v>3</v>
      </c>
      <c r="L78" s="4508"/>
      <c r="M78" s="4508"/>
      <c r="N78" s="4508"/>
      <c r="O78" s="4483" t="s">
        <v>2570</v>
      </c>
      <c r="P78" s="4484"/>
      <c r="Q78" s="4481" t="s">
        <v>3685</v>
      </c>
      <c r="R78" s="4482"/>
      <c r="S78" s="1115"/>
      <c r="T78" s="1115"/>
    </row>
    <row r="79" spans="1:20" s="35" customFormat="1" ht="24.75" customHeight="1">
      <c r="A79" s="4504">
        <v>4</v>
      </c>
      <c r="B79" s="4505"/>
      <c r="C79" s="4505"/>
      <c r="D79" s="4505"/>
      <c r="E79" s="4506"/>
      <c r="F79" s="665"/>
      <c r="G79" s="4504">
        <v>4</v>
      </c>
      <c r="H79" s="4505"/>
      <c r="I79" s="4506"/>
      <c r="J79" s="665"/>
      <c r="K79" s="4507">
        <v>4</v>
      </c>
      <c r="L79" s="4508"/>
      <c r="M79" s="4508"/>
      <c r="N79" s="4508"/>
      <c r="O79" s="4483" t="s">
        <v>2570</v>
      </c>
      <c r="P79" s="4484"/>
      <c r="Q79" s="4481"/>
      <c r="R79" s="4482"/>
      <c r="S79" s="1115"/>
      <c r="T79" s="1115"/>
    </row>
    <row r="80" spans="1:20" s="35" customFormat="1" ht="24.75" customHeight="1">
      <c r="A80" s="4504">
        <v>5</v>
      </c>
      <c r="B80" s="4505"/>
      <c r="C80" s="4505"/>
      <c r="D80" s="4505"/>
      <c r="E80" s="4506"/>
      <c r="F80" s="665"/>
      <c r="G80" s="4504">
        <v>5</v>
      </c>
      <c r="H80" s="4505"/>
      <c r="I80" s="4506"/>
      <c r="J80" s="917" t="s">
        <v>3061</v>
      </c>
      <c r="K80" s="4507">
        <v>5</v>
      </c>
      <c r="L80" s="4508"/>
      <c r="M80" s="4508"/>
      <c r="N80" s="4508"/>
      <c r="O80" s="4509"/>
      <c r="P80" s="4510"/>
      <c r="Q80" s="4481"/>
      <c r="R80" s="4482"/>
      <c r="S80" s="1115"/>
      <c r="T80" s="1115"/>
    </row>
    <row r="81" spans="1:19" s="35" customFormat="1" ht="24" customHeight="1">
      <c r="A81" s="4504">
        <v>6</v>
      </c>
      <c r="B81" s="4505"/>
      <c r="C81" s="4505"/>
      <c r="D81" s="4505"/>
      <c r="E81" s="4506"/>
      <c r="F81" s="665"/>
      <c r="G81" s="4504">
        <v>6</v>
      </c>
      <c r="H81" s="4505"/>
      <c r="I81" s="4506"/>
      <c r="J81" s="665"/>
      <c r="K81" s="4507">
        <v>6</v>
      </c>
      <c r="L81" s="4508"/>
      <c r="M81" s="4508"/>
      <c r="N81" s="4508"/>
      <c r="O81" s="4509"/>
      <c r="P81" s="4510"/>
      <c r="Q81" s="4481"/>
      <c r="R81" s="4482"/>
    </row>
    <row r="82" spans="1:19" s="35" customFormat="1" ht="24.75" customHeight="1">
      <c r="A82" s="4504">
        <v>7</v>
      </c>
      <c r="B82" s="4505"/>
      <c r="C82" s="4505"/>
      <c r="D82" s="4505"/>
      <c r="E82" s="4506"/>
      <c r="F82" s="665"/>
      <c r="G82" s="4504">
        <v>7</v>
      </c>
      <c r="H82" s="4505"/>
      <c r="I82" s="4506"/>
      <c r="J82" s="917" t="s">
        <v>3062</v>
      </c>
      <c r="K82" s="4507">
        <v>7</v>
      </c>
      <c r="L82" s="4508"/>
      <c r="M82" s="4508"/>
      <c r="N82" s="4508"/>
      <c r="O82" s="4509"/>
      <c r="P82" s="4510"/>
      <c r="Q82" s="125"/>
      <c r="R82" s="125"/>
    </row>
    <row r="83" spans="1:19" s="35" customFormat="1" ht="24.75" customHeight="1">
      <c r="A83" s="4504">
        <v>8</v>
      </c>
      <c r="B83" s="4505"/>
      <c r="C83" s="4505"/>
      <c r="D83" s="4505"/>
      <c r="E83" s="4506"/>
      <c r="F83" s="665"/>
      <c r="G83" s="4504">
        <v>8</v>
      </c>
      <c r="H83" s="4505"/>
      <c r="I83" s="4506"/>
      <c r="J83" s="665"/>
      <c r="K83" s="4507">
        <v>8</v>
      </c>
      <c r="L83" s="4508"/>
      <c r="M83" s="4508"/>
      <c r="N83" s="4508"/>
      <c r="O83" s="4509"/>
      <c r="P83" s="4510"/>
      <c r="Q83" s="125"/>
      <c r="R83" s="125"/>
    </row>
    <row r="84" spans="1:19" s="35" customFormat="1" ht="24.75" customHeight="1">
      <c r="A84" s="4504">
        <v>9</v>
      </c>
      <c r="B84" s="4505"/>
      <c r="C84" s="4505"/>
      <c r="D84" s="4505"/>
      <c r="E84" s="4506"/>
      <c r="F84" s="665"/>
      <c r="G84" s="4504">
        <v>9</v>
      </c>
      <c r="H84" s="4505"/>
      <c r="I84" s="4506"/>
      <c r="J84" s="917" t="s">
        <v>3063</v>
      </c>
      <c r="K84" s="4507">
        <v>9</v>
      </c>
      <c r="L84" s="4508"/>
      <c r="M84" s="4508"/>
      <c r="N84" s="4508"/>
      <c r="O84" s="4509"/>
      <c r="P84" s="4510"/>
      <c r="Q84" s="125"/>
      <c r="R84" s="125"/>
    </row>
    <row r="85" spans="1:19" s="35" customFormat="1" ht="24.75" customHeight="1">
      <c r="A85" s="4504">
        <v>10</v>
      </c>
      <c r="B85" s="4505"/>
      <c r="C85" s="4505"/>
      <c r="D85" s="4505"/>
      <c r="E85" s="4506"/>
      <c r="F85" s="665"/>
      <c r="G85" s="4504">
        <v>10</v>
      </c>
      <c r="H85" s="4505"/>
      <c r="I85" s="4506"/>
      <c r="J85" s="665"/>
      <c r="K85" s="4507">
        <v>10</v>
      </c>
      <c r="L85" s="4508"/>
      <c r="M85" s="4508"/>
      <c r="N85" s="4508"/>
      <c r="O85" s="4509"/>
      <c r="P85" s="4510"/>
      <c r="Q85" s="125"/>
    </row>
    <row r="86" spans="1:19" s="35" customFormat="1" ht="24.75" customHeight="1">
      <c r="A86" s="4504">
        <v>11</v>
      </c>
      <c r="B86" s="4505"/>
      <c r="C86" s="4505"/>
      <c r="D86" s="4505"/>
      <c r="E86" s="4506"/>
      <c r="F86" s="665"/>
      <c r="G86" s="4504">
        <v>11</v>
      </c>
      <c r="H86" s="4505"/>
      <c r="I86" s="4506"/>
      <c r="J86" s="917" t="s">
        <v>3064</v>
      </c>
      <c r="K86" s="4504">
        <v>11</v>
      </c>
      <c r="L86" s="4505"/>
      <c r="M86" s="4505"/>
      <c r="N86" s="4506"/>
      <c r="O86" s="4509"/>
      <c r="P86" s="4510"/>
      <c r="Q86" s="125"/>
      <c r="R86" s="125"/>
    </row>
    <row r="87" spans="1:19" s="35" customFormat="1" ht="24.75" customHeight="1">
      <c r="A87" s="4736">
        <v>12</v>
      </c>
      <c r="B87" s="4737"/>
      <c r="C87" s="4737"/>
      <c r="D87" s="4737"/>
      <c r="E87" s="4738"/>
      <c r="F87" s="666"/>
      <c r="G87" s="4736">
        <v>12</v>
      </c>
      <c r="H87" s="4737"/>
      <c r="I87" s="4738"/>
      <c r="J87" s="666"/>
      <c r="K87" s="4736">
        <v>12</v>
      </c>
      <c r="L87" s="4737"/>
      <c r="M87" s="4737"/>
      <c r="N87" s="4738"/>
      <c r="O87" s="4739"/>
      <c r="P87" s="4740"/>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51" t="s">
        <v>3799</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3694</v>
      </c>
      <c r="G90" s="67"/>
      <c r="H90" s="29"/>
      <c r="I90" s="38"/>
      <c r="K90" s="404"/>
      <c r="L90" s="668"/>
      <c r="M90" s="119"/>
      <c r="N90" s="5"/>
      <c r="O90" s="3"/>
      <c r="P90" s="3"/>
      <c r="Q90" s="86"/>
      <c r="R90" s="307"/>
    </row>
    <row r="91" spans="1:19" s="36" customFormat="1" ht="13.5" customHeight="1">
      <c r="A91" s="107" t="s">
        <v>1836</v>
      </c>
      <c r="B91" s="153" t="s">
        <v>4038</v>
      </c>
      <c r="E91" s="32"/>
      <c r="G91" s="67"/>
      <c r="H91" s="44" t="s">
        <v>4535</v>
      </c>
      <c r="I91" s="1171" t="e">
        <f>#REF!</f>
        <v>#REF!</v>
      </c>
      <c r="M91" s="119"/>
      <c r="N91" s="5"/>
      <c r="P91" s="1832" t="e">
        <f>IF(AND(O89&gt;0,NOT($M$55="New Supply")), "Ineligible to score in this section, not New Supply!","")</f>
        <v>#REF!</v>
      </c>
      <c r="Q91" s="5"/>
      <c r="R91" s="307"/>
    </row>
    <row r="92" spans="1:19" s="70" customFormat="1" ht="9" customHeight="1">
      <c r="A92" s="107"/>
      <c r="B92" s="4529" t="s">
        <v>3688</v>
      </c>
      <c r="C92" s="4529"/>
      <c r="D92" s="4529"/>
      <c r="E92" s="4529"/>
      <c r="F92" s="4529"/>
      <c r="G92" s="4529"/>
      <c r="H92" s="4529"/>
      <c r="I92" s="4529"/>
      <c r="J92" s="4529"/>
      <c r="K92" s="4529"/>
      <c r="L92" s="4529"/>
      <c r="M92" s="119"/>
      <c r="N92" s="5"/>
      <c r="Q92" s="5"/>
      <c r="R92" s="307"/>
    </row>
    <row r="93" spans="1:19" s="70" customFormat="1" ht="13.5" customHeight="1">
      <c r="B93" s="4529"/>
      <c r="C93" s="4529"/>
      <c r="D93" s="4529"/>
      <c r="E93" s="4529"/>
      <c r="F93" s="4529"/>
      <c r="G93" s="4529"/>
      <c r="H93" s="4529"/>
      <c r="I93" s="4529"/>
      <c r="J93" s="4529"/>
      <c r="K93" s="4529"/>
      <c r="L93" s="4529"/>
      <c r="M93" s="671">
        <v>2</v>
      </c>
      <c r="N93" s="316" t="s">
        <v>1836</v>
      </c>
      <c r="O93" s="677" t="e">
        <f>IF(AND(OR($J$89="9%",$J$89="4%"),$L$89="New Supply"),MIN($M93,O94+O95),0)</f>
        <v>#REF!</v>
      </c>
      <c r="P93" s="677" t="e">
        <f>IF(NOT($J$89="9%"),0,MIN($M93, P94+P95))</f>
        <v>#REF!</v>
      </c>
    </row>
    <row r="94" spans="1:19" s="70" customFormat="1" ht="13.5" customHeight="1">
      <c r="A94" s="107"/>
      <c r="B94" s="1129" t="s">
        <v>1839</v>
      </c>
      <c r="C94" s="1119" t="s">
        <v>3689</v>
      </c>
      <c r="D94" s="29"/>
      <c r="H94" s="29" t="s">
        <v>3690</v>
      </c>
      <c r="I94" s="1118"/>
      <c r="J94" s="1173" t="e">
        <f>#REF!</f>
        <v>#REF!</v>
      </c>
      <c r="L94" s="4557" t="str">
        <f>IF(AND(O94&gt;0,O95&gt;0), "CHOOSE EITHER A OR B, NOT BOTH!", "")</f>
        <v/>
      </c>
      <c r="M94" s="457">
        <v>2</v>
      </c>
      <c r="N94" s="150" t="s">
        <v>1839</v>
      </c>
      <c r="O94" s="405"/>
      <c r="P94" s="413"/>
      <c r="Q94" s="1147" t="str">
        <f>IF(OR($O94=$M94,$O94=0,$O94=""),"","*CHECK!*")</f>
        <v/>
      </c>
      <c r="R94" s="778" t="s">
        <v>3926</v>
      </c>
    </row>
    <row r="95" spans="1:19" s="70" customFormat="1" ht="13.5" customHeight="1">
      <c r="A95" s="395" t="s">
        <v>2918</v>
      </c>
      <c r="B95" s="1129" t="s">
        <v>1841</v>
      </c>
      <c r="C95" s="1119" t="s">
        <v>3691</v>
      </c>
      <c r="D95" s="29"/>
      <c r="I95" s="1118"/>
      <c r="K95" s="29"/>
      <c r="L95" s="4557"/>
      <c r="M95" s="457">
        <v>2</v>
      </c>
      <c r="N95" s="150" t="s">
        <v>1841</v>
      </c>
      <c r="O95" s="406"/>
      <c r="P95" s="414"/>
      <c r="Q95" s="1147" t="str">
        <f>IF(OR($O95=$M95,$O95=0,$O95=""),"","*CHECK!*")</f>
        <v/>
      </c>
      <c r="R95" s="778" t="s">
        <v>3926</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3092</v>
      </c>
      <c r="E97" s="79"/>
      <c r="H97" s="4769" t="s">
        <v>3692</v>
      </c>
      <c r="I97" s="4770"/>
      <c r="J97" s="1122" t="s">
        <v>3693</v>
      </c>
      <c r="M97" s="671">
        <v>3</v>
      </c>
      <c r="N97" s="128" t="s">
        <v>1838</v>
      </c>
      <c r="O97" s="677" t="e">
        <f>IF(AND(O98="Yes", O99="Yes"),$M$97,0)</f>
        <v>#REF!</v>
      </c>
      <c r="P97" s="677" t="e">
        <f>IF(AND(P98="Yes", P99="Yes"),$M$97,0)</f>
        <v>#REF!</v>
      </c>
    </row>
    <row r="98" spans="1:18" s="36" customFormat="1" ht="13.5" customHeight="1">
      <c r="A98" s="345"/>
      <c r="B98" s="1129" t="s">
        <v>1839</v>
      </c>
      <c r="C98" s="1120">
        <v>0.3</v>
      </c>
      <c r="D98" s="735" t="s">
        <v>3093</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3237</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4244"/>
      <c r="B101" s="4245"/>
      <c r="C101" s="4245"/>
      <c r="D101" s="4245"/>
      <c r="E101" s="4245"/>
      <c r="F101" s="4245"/>
      <c r="G101" s="4245"/>
      <c r="H101" s="4245"/>
      <c r="I101" s="4245"/>
      <c r="J101" s="4245"/>
      <c r="K101" s="4245"/>
      <c r="L101" s="4245"/>
      <c r="M101" s="4245"/>
      <c r="N101" s="4245"/>
      <c r="O101" s="4245"/>
      <c r="P101" s="4246"/>
      <c r="Q101" s="353"/>
    </row>
    <row r="102" spans="1:18" ht="7.5" customHeight="1" thickBot="1"/>
    <row r="103" spans="1:18" s="36" customFormat="1" ht="13.5" customHeight="1" thickBot="1">
      <c r="A103" s="120" t="s">
        <v>1663</v>
      </c>
      <c r="B103" s="83" t="s">
        <v>3280</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5">
      <c r="A104" s="35"/>
      <c r="B104" s="241" t="s">
        <v>3170</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2"/>
      <c r="P105" s="1656"/>
    </row>
    <row r="106" spans="1:18" s="70" customFormat="1" ht="12.75" customHeight="1">
      <c r="A106" s="107" t="s">
        <v>1836</v>
      </c>
      <c r="B106" s="141" t="s">
        <v>1732</v>
      </c>
      <c r="C106" s="4"/>
      <c r="D106" s="4"/>
      <c r="F106" s="243"/>
      <c r="H106" s="644" t="s">
        <v>2462</v>
      </c>
      <c r="I106" s="4741" t="s">
        <v>3913</v>
      </c>
      <c r="J106" s="4742"/>
      <c r="K106" s="4742"/>
      <c r="L106" s="4743"/>
      <c r="M106" s="457">
        <v>20</v>
      </c>
      <c r="N106" s="150" t="s">
        <v>1836</v>
      </c>
      <c r="O106" s="1657"/>
      <c r="P106" s="1658"/>
      <c r="Q106" s="1147"/>
      <c r="R106" s="778" t="s">
        <v>3926</v>
      </c>
    </row>
    <row r="107" spans="1:18" s="70" customFormat="1" ht="12.75" customHeight="1">
      <c r="A107" s="107" t="s">
        <v>1838</v>
      </c>
      <c r="B107" s="141" t="s">
        <v>3196</v>
      </c>
      <c r="D107" s="863"/>
      <c r="F107" s="1172"/>
      <c r="H107" s="644" t="s">
        <v>3250</v>
      </c>
      <c r="I107" s="4744"/>
      <c r="J107" s="4651"/>
      <c r="K107" s="4651"/>
      <c r="L107" s="4745"/>
      <c r="M107" s="874" t="s">
        <v>1163</v>
      </c>
      <c r="N107" s="48" t="s">
        <v>1838</v>
      </c>
      <c r="O107" s="1659"/>
      <c r="P107" s="1660"/>
      <c r="R107" s="778" t="s">
        <v>3926</v>
      </c>
    </row>
    <row r="108" spans="1:18" s="36" customFormat="1" ht="12.75" customHeight="1" thickBot="1">
      <c r="A108" s="35"/>
      <c r="B108" s="920" t="s">
        <v>3158</v>
      </c>
      <c r="C108" s="35"/>
      <c r="D108" s="41"/>
      <c r="E108" s="41"/>
      <c r="F108" s="41"/>
      <c r="G108" s="41"/>
      <c r="H108" s="29"/>
      <c r="I108" s="4746"/>
      <c r="J108" s="4747"/>
      <c r="K108" s="4747"/>
      <c r="L108" s="4748"/>
      <c r="M108" s="39"/>
      <c r="N108" s="47"/>
      <c r="O108" s="3"/>
      <c r="P108" s="24"/>
    </row>
    <row r="109" spans="1:18" s="36" customFormat="1" ht="90" customHeight="1" thickTop="1" thickBot="1">
      <c r="A109" s="4561"/>
      <c r="B109" s="4562"/>
      <c r="C109" s="4562"/>
      <c r="D109" s="4562"/>
      <c r="E109" s="4562"/>
      <c r="F109" s="4562"/>
      <c r="G109" s="4562"/>
      <c r="H109" s="4562"/>
      <c r="I109" s="4562"/>
      <c r="J109" s="4562"/>
      <c r="K109" s="4562"/>
      <c r="L109" s="4562"/>
      <c r="M109" s="4562"/>
      <c r="N109" s="4562"/>
      <c r="O109" s="4562"/>
      <c r="P109" s="4563"/>
      <c r="Q109" s="354" t="s">
        <v>1179</v>
      </c>
      <c r="R109" s="354"/>
    </row>
    <row r="110" spans="1:18" s="36" customFormat="1" ht="11.65"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4244"/>
      <c r="B111" s="4245"/>
      <c r="C111" s="4245"/>
      <c r="D111" s="4245"/>
      <c r="E111" s="4245"/>
      <c r="F111" s="4245"/>
      <c r="G111" s="4245"/>
      <c r="H111" s="4245"/>
      <c r="I111" s="4245"/>
      <c r="J111" s="4245"/>
      <c r="K111" s="4245"/>
      <c r="L111" s="4245"/>
      <c r="M111" s="4245"/>
      <c r="N111" s="4245"/>
      <c r="O111" s="4245"/>
      <c r="P111" s="4246"/>
      <c r="Q111" s="353"/>
      <c r="R111" s="354"/>
    </row>
    <row r="112" spans="1:18" ht="7.5" customHeight="1" thickBot="1">
      <c r="M112" s="26"/>
      <c r="N112" s="39"/>
      <c r="O112" s="119"/>
      <c r="P112" s="119"/>
    </row>
    <row r="113" spans="1:21" s="36" customFormat="1" ht="13.5" customHeight="1" thickBot="1">
      <c r="A113" s="120" t="s">
        <v>495</v>
      </c>
      <c r="B113" s="83" t="s">
        <v>2407</v>
      </c>
      <c r="D113" s="34"/>
      <c r="H113" s="1452" t="s">
        <v>4041</v>
      </c>
      <c r="I113" s="1525" t="s">
        <v>4037</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3238</v>
      </c>
      <c r="D114" s="34"/>
      <c r="H114" s="141"/>
      <c r="L114" s="1819" t="str">
        <f>IF(AND(O113&gt;0,NOT($M$55="New Supply")), "Ineligible to score in this section, not New Supply!","")</f>
        <v/>
      </c>
      <c r="M114" s="119"/>
      <c r="N114" s="48"/>
      <c r="O114" s="775" t="s">
        <v>3066</v>
      </c>
      <c r="P114" s="775" t="s">
        <v>3067</v>
      </c>
      <c r="Q114" s="86"/>
      <c r="R114" s="862"/>
      <c r="S114" s="862"/>
      <c r="T114" s="862"/>
      <c r="U114" s="862"/>
    </row>
    <row r="115" spans="1:21" s="36" customFormat="1" ht="11.25" customHeight="1">
      <c r="A115" s="120"/>
      <c r="B115" s="306" t="s">
        <v>1839</v>
      </c>
      <c r="C115" s="29" t="s">
        <v>3695</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3696</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4043</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4458</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4459</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4462</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3239</v>
      </c>
      <c r="D123" s="34"/>
      <c r="F123" s="4693" t="s">
        <v>3132</v>
      </c>
      <c r="G123" s="4693"/>
      <c r="H123" s="4693"/>
      <c r="I123" s="4693"/>
      <c r="J123" s="4693" t="s">
        <v>3133</v>
      </c>
      <c r="K123" s="4693"/>
      <c r="L123" s="4693"/>
      <c r="M123" s="4693"/>
      <c r="N123" s="48"/>
      <c r="O123" s="4694" t="s">
        <v>3761</v>
      </c>
      <c r="P123" s="4695"/>
      <c r="Q123" s="86"/>
      <c r="R123" s="862"/>
      <c r="S123" s="862"/>
      <c r="T123" s="862"/>
      <c r="U123" s="862"/>
    </row>
    <row r="124" spans="1:21" s="36" customFormat="1" ht="12" customHeight="1">
      <c r="B124" s="1731"/>
      <c r="C124" s="1118" t="s">
        <v>4461</v>
      </c>
      <c r="E124" s="223"/>
      <c r="F124" s="4698"/>
      <c r="G124" s="4699"/>
      <c r="H124" s="4696"/>
      <c r="I124" s="4697"/>
      <c r="J124" s="4698"/>
      <c r="K124" s="4699"/>
      <c r="L124" s="4696"/>
      <c r="M124" s="4697"/>
      <c r="N124" s="48"/>
      <c r="Q124" s="86"/>
      <c r="R124" s="862"/>
      <c r="S124" s="862"/>
      <c r="T124" s="862"/>
      <c r="U124" s="862"/>
    </row>
    <row r="125" spans="1:21" s="36" customFormat="1" ht="12" customHeight="1">
      <c r="A125" s="1731"/>
      <c r="B125" s="1731"/>
      <c r="C125" s="1731"/>
      <c r="D125" s="236"/>
      <c r="E125" s="1730" t="s">
        <v>4044</v>
      </c>
      <c r="F125" s="4559"/>
      <c r="G125" s="4560"/>
      <c r="H125" s="4549"/>
      <c r="I125" s="4550"/>
      <c r="J125" s="4559"/>
      <c r="K125" s="4560"/>
      <c r="L125" s="4549"/>
      <c r="M125" s="4550"/>
      <c r="N125" s="48"/>
      <c r="O125" s="1220"/>
      <c r="P125" s="899"/>
      <c r="Q125" s="86"/>
      <c r="R125" s="862"/>
      <c r="S125" s="862"/>
      <c r="T125" s="862"/>
      <c r="U125" s="862"/>
    </row>
    <row r="126" spans="1:21" s="36" customFormat="1" ht="12" customHeight="1">
      <c r="A126" s="4571" t="s">
        <v>4563</v>
      </c>
      <c r="B126" s="4571"/>
      <c r="C126" s="1118" t="s">
        <v>4460</v>
      </c>
      <c r="E126" s="223"/>
      <c r="F126" s="4564"/>
      <c r="G126" s="4565"/>
      <c r="H126" s="4485"/>
      <c r="I126" s="4486"/>
      <c r="J126" s="4564"/>
      <c r="K126" s="4565"/>
      <c r="L126" s="4485"/>
      <c r="M126" s="4486"/>
      <c r="N126" s="48"/>
      <c r="O126" s="48"/>
      <c r="P126" s="48"/>
      <c r="Q126" s="86"/>
      <c r="R126" s="862"/>
      <c r="S126" s="862"/>
      <c r="T126" s="862"/>
      <c r="U126" s="862"/>
    </row>
    <row r="127" spans="1:21" s="36" customFormat="1" ht="12" customHeight="1">
      <c r="A127" s="4571"/>
      <c r="B127" s="4571"/>
      <c r="C127" s="236"/>
      <c r="D127" s="236"/>
      <c r="E127" s="1730" t="s">
        <v>3278</v>
      </c>
      <c r="F127" s="3299"/>
      <c r="G127" s="4558"/>
      <c r="H127" s="4544"/>
      <c r="I127" s="4545"/>
      <c r="J127" s="3299"/>
      <c r="K127" s="4558"/>
      <c r="L127" s="4544"/>
      <c r="M127" s="4545"/>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5" customHeight="1">
      <c r="A129" s="1815" t="s">
        <v>4586</v>
      </c>
      <c r="B129" s="83"/>
      <c r="D129" s="34"/>
      <c r="I129" s="4567" t="str">
        <f>IF(AND(O131&gt;0,O138&gt;0),"Pick A or B, not both!","")</f>
        <v/>
      </c>
      <c r="J129" s="4567"/>
      <c r="K129" s="4567" t="str">
        <f>IF(AND(P131&gt;0,P138&gt;0),"Pick A or B, not both!","")</f>
        <v/>
      </c>
      <c r="L129" s="4567"/>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5" customHeight="1">
      <c r="A131" s="112" t="s">
        <v>1836</v>
      </c>
      <c r="B131" s="141" t="s">
        <v>3155</v>
      </c>
      <c r="D131" s="34"/>
      <c r="F131" s="920" t="s">
        <v>4567</v>
      </c>
      <c r="M131" s="119">
        <v>6</v>
      </c>
      <c r="N131" s="316" t="s">
        <v>1836</v>
      </c>
      <c r="O131" s="1518">
        <f>IF(OR($J$113="Atlanta Metro",$J$113="Other Metro"),MIN($M131,O133+O134),0)</f>
        <v>0</v>
      </c>
      <c r="P131" s="1518">
        <f>IF(OR($J$113="Atlanta Metro",$J$113="Other Metro"),MIN($M131,P133+P134),0)</f>
        <v>0</v>
      </c>
      <c r="Q131" s="86"/>
    </row>
    <row r="132" spans="1:21" s="36" customFormat="1" ht="12.65" customHeight="1">
      <c r="A132" s="112"/>
      <c r="B132" s="29" t="s">
        <v>4045</v>
      </c>
      <c r="D132" s="34"/>
      <c r="F132" s="38"/>
      <c r="M132" s="119"/>
      <c r="N132" s="316"/>
      <c r="O132" s="176"/>
      <c r="P132" s="420"/>
      <c r="Q132" s="86"/>
    </row>
    <row r="133" spans="1:21" s="331" customFormat="1" ht="25.5" customHeight="1">
      <c r="B133" s="349" t="s">
        <v>1839</v>
      </c>
      <c r="C133" s="4692" t="s">
        <v>4561</v>
      </c>
      <c r="D133" s="4692"/>
      <c r="E133" s="4692"/>
      <c r="F133" s="4692"/>
      <c r="G133" s="4692"/>
      <c r="H133" s="4692"/>
      <c r="I133" s="4692"/>
      <c r="J133" s="4692"/>
      <c r="K133" s="4692"/>
      <c r="L133" s="4692"/>
      <c r="M133" s="1740">
        <v>6</v>
      </c>
      <c r="N133" s="373" t="s">
        <v>1839</v>
      </c>
      <c r="O133" s="1799"/>
      <c r="P133" s="1800"/>
      <c r="Q133" s="1147"/>
      <c r="R133" s="778" t="s">
        <v>3926</v>
      </c>
    </row>
    <row r="134" spans="1:21" s="331" customFormat="1" ht="12" customHeight="1">
      <c r="A134" s="455" t="s">
        <v>1273</v>
      </c>
      <c r="B134" s="349" t="s">
        <v>1841</v>
      </c>
      <c r="C134" s="3664" t="s">
        <v>4562</v>
      </c>
      <c r="D134" s="3664"/>
      <c r="E134" s="3664"/>
      <c r="F134" s="3664"/>
      <c r="G134" s="849"/>
      <c r="J134" s="4700" t="s">
        <v>4558</v>
      </c>
      <c r="K134" s="4701"/>
      <c r="L134" s="4702"/>
      <c r="M134" s="457">
        <v>5</v>
      </c>
      <c r="N134" s="347" t="s">
        <v>1841</v>
      </c>
      <c r="O134" s="1812"/>
      <c r="P134" s="1813"/>
      <c r="Q134" s="1702" t="s">
        <v>4554</v>
      </c>
      <c r="R134" s="1112" t="s">
        <v>4157</v>
      </c>
      <c r="S134" s="1112" t="s">
        <v>4042</v>
      </c>
    </row>
    <row r="135" spans="1:21" s="331" customFormat="1" ht="12" customHeight="1">
      <c r="B135" s="349"/>
      <c r="C135" s="3664"/>
      <c r="D135" s="3664"/>
      <c r="E135" s="3664"/>
      <c r="F135" s="3664"/>
      <c r="G135" s="849"/>
      <c r="H135" s="3421" t="s">
        <v>4556</v>
      </c>
      <c r="I135" s="3421"/>
      <c r="J135" s="4703"/>
      <c r="K135" s="4704"/>
      <c r="L135" s="4705"/>
      <c r="M135" s="4380" t="str">
        <f>IF(AND(O134&gt;0,O133&gt;0),"Pick A1 or A2!","")</f>
        <v/>
      </c>
      <c r="N135" s="4380"/>
      <c r="O135" s="4380"/>
      <c r="P135" s="4380"/>
      <c r="Q135" s="781"/>
      <c r="R135" s="1455">
        <v>0.25</v>
      </c>
      <c r="S135" s="1455">
        <v>5</v>
      </c>
    </row>
    <row r="136" spans="1:21" s="331" customFormat="1" ht="12" customHeight="1">
      <c r="B136" s="349"/>
      <c r="C136" s="3664"/>
      <c r="D136" s="3664"/>
      <c r="E136" s="3664"/>
      <c r="F136" s="3664"/>
      <c r="G136" s="849"/>
      <c r="H136" s="1661"/>
      <c r="I136" s="1793"/>
      <c r="J136" s="4703"/>
      <c r="K136" s="4704"/>
      <c r="L136" s="4705"/>
      <c r="Q136" s="781"/>
      <c r="R136" s="1455">
        <v>0.5</v>
      </c>
      <c r="S136" s="1455">
        <v>4.5</v>
      </c>
    </row>
    <row r="137" spans="1:21" s="331" customFormat="1" ht="12" customHeight="1">
      <c r="B137" s="349"/>
      <c r="C137" s="3664"/>
      <c r="D137" s="3664"/>
      <c r="E137" s="3664"/>
      <c r="F137" s="3664"/>
      <c r="G137" s="849"/>
      <c r="J137" s="4703"/>
      <c r="K137" s="4704"/>
      <c r="L137" s="4705"/>
      <c r="M137" s="70"/>
      <c r="N137" s="70"/>
      <c r="O137" s="70"/>
      <c r="P137" s="70"/>
      <c r="Q137" s="396"/>
      <c r="R137" s="1456">
        <v>1</v>
      </c>
      <c r="S137" s="1456">
        <v>4</v>
      </c>
    </row>
    <row r="138" spans="1:21" s="331" customFormat="1" ht="12" customHeight="1">
      <c r="A138" s="112" t="s">
        <v>1838</v>
      </c>
      <c r="B138" s="880" t="s">
        <v>3156</v>
      </c>
      <c r="C138" s="501"/>
      <c r="D138" s="501"/>
      <c r="F138" s="1791" t="s">
        <v>4553</v>
      </c>
      <c r="J138" s="4734" t="s">
        <v>3153</v>
      </c>
      <c r="K138" s="4735"/>
      <c r="L138" s="1729" t="s">
        <v>3154</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4555</v>
      </c>
      <c r="R138" s="1794">
        <v>0.25</v>
      </c>
      <c r="S138" s="1794">
        <v>3</v>
      </c>
    </row>
    <row r="139" spans="1:21" s="36" customFormat="1" ht="12" customHeight="1">
      <c r="A139" s="120"/>
      <c r="B139" s="1534" t="s">
        <v>1839</v>
      </c>
      <c r="C139" s="3664" t="s">
        <v>4568</v>
      </c>
      <c r="D139" s="3664"/>
      <c r="E139" s="3664"/>
      <c r="F139" s="3664"/>
      <c r="G139" s="849"/>
      <c r="H139" s="3421" t="s">
        <v>4557</v>
      </c>
      <c r="I139" s="3421"/>
      <c r="J139" s="4551" t="s">
        <v>4573</v>
      </c>
      <c r="K139" s="4552"/>
      <c r="L139" s="4553"/>
      <c r="M139" s="457">
        <v>3</v>
      </c>
      <c r="N139" s="347" t="s">
        <v>1839</v>
      </c>
      <c r="O139" s="4527"/>
      <c r="P139" s="4530"/>
      <c r="Q139" s="781" t="str">
        <f>IF(OR($O141=$M141,$O141=0,$O141=""),"","*CHECK!*")</f>
        <v/>
      </c>
      <c r="R139" s="1455">
        <v>0.5</v>
      </c>
      <c r="S139" s="1455">
        <v>2</v>
      </c>
      <c r="U139" s="331"/>
    </row>
    <row r="140" spans="1:21" s="36" customFormat="1" ht="12" customHeight="1">
      <c r="A140" s="120"/>
      <c r="B140" s="874"/>
      <c r="C140" s="3664"/>
      <c r="D140" s="3664"/>
      <c r="E140" s="3664"/>
      <c r="F140" s="3664"/>
      <c r="G140" s="70"/>
      <c r="H140" s="1661"/>
      <c r="I140" s="1793"/>
      <c r="J140" s="4514" t="s">
        <v>4456</v>
      </c>
      <c r="K140" s="4515"/>
      <c r="L140" s="4516"/>
      <c r="M140" s="70"/>
      <c r="O140" s="4528"/>
      <c r="P140" s="4531"/>
      <c r="Q140" s="86"/>
      <c r="R140" s="1456">
        <v>1</v>
      </c>
      <c r="S140" s="1456">
        <v>1</v>
      </c>
      <c r="U140" s="331"/>
    </row>
    <row r="141" spans="1:21" s="36" customFormat="1" ht="11.25" customHeight="1">
      <c r="A141" s="455" t="s">
        <v>1273</v>
      </c>
      <c r="B141" s="1534" t="s">
        <v>1841</v>
      </c>
      <c r="C141" s="3664" t="s">
        <v>4560</v>
      </c>
      <c r="D141" s="3664"/>
      <c r="E141" s="3664"/>
      <c r="F141" s="3664"/>
      <c r="G141" s="3664"/>
      <c r="H141" s="3664"/>
      <c r="I141" s="1792"/>
      <c r="J141" s="4517"/>
      <c r="K141" s="4518"/>
      <c r="L141" s="4519"/>
      <c r="M141" s="457">
        <v>1</v>
      </c>
      <c r="N141" s="347" t="s">
        <v>1841</v>
      </c>
      <c r="O141" s="4751"/>
      <c r="P141" s="4570"/>
      <c r="U141" s="331"/>
    </row>
    <row r="142" spans="1:21" s="36" customFormat="1" ht="11.25" customHeight="1">
      <c r="B142" s="1795"/>
      <c r="C142" s="3664"/>
      <c r="D142" s="3664"/>
      <c r="E142" s="3664"/>
      <c r="F142" s="3664"/>
      <c r="G142" s="3664"/>
      <c r="H142" s="3664"/>
      <c r="I142" s="1792"/>
      <c r="J142" s="4520"/>
      <c r="K142" s="4521"/>
      <c r="L142" s="4522"/>
      <c r="O142" s="4751"/>
      <c r="P142" s="4570"/>
      <c r="T142" s="331"/>
      <c r="U142" s="331"/>
    </row>
    <row r="143" spans="1:21" s="331" customFormat="1" ht="12" customHeight="1">
      <c r="A143" s="1533" t="s">
        <v>1273</v>
      </c>
      <c r="B143" s="1534" t="s">
        <v>2326</v>
      </c>
      <c r="C143" s="3664" t="s">
        <v>4559</v>
      </c>
      <c r="D143" s="3664"/>
      <c r="E143" s="3664"/>
      <c r="F143" s="3664"/>
      <c r="G143" s="3664"/>
      <c r="H143" s="3664"/>
      <c r="I143" s="4526"/>
      <c r="J143" s="4514" t="s">
        <v>4457</v>
      </c>
      <c r="K143" s="4515"/>
      <c r="L143" s="4516"/>
      <c r="M143" s="1740">
        <v>2</v>
      </c>
      <c r="N143" s="373" t="s">
        <v>2326</v>
      </c>
      <c r="O143" s="4568"/>
      <c r="P143" s="4749"/>
      <c r="Q143" s="781"/>
      <c r="R143" s="778"/>
    </row>
    <row r="144" spans="1:21" s="36" customFormat="1" ht="36.75" customHeight="1">
      <c r="C144" s="3664"/>
      <c r="D144" s="3664"/>
      <c r="E144" s="3664"/>
      <c r="F144" s="3664"/>
      <c r="G144" s="3664"/>
      <c r="H144" s="3664"/>
      <c r="I144" s="4526"/>
      <c r="J144" s="4523"/>
      <c r="K144" s="4524"/>
      <c r="L144" s="4525"/>
      <c r="O144" s="4569"/>
      <c r="P144" s="4750"/>
    </row>
    <row r="145" spans="1:19" s="36" customFormat="1" ht="12.65" customHeight="1">
      <c r="A145" s="29" t="s">
        <v>3279</v>
      </c>
      <c r="B145" s="141"/>
      <c r="E145" s="34"/>
      <c r="K145" s="41"/>
      <c r="M145" s="53"/>
      <c r="N145" s="53"/>
      <c r="O145" s="53"/>
      <c r="P145" s="53"/>
      <c r="Q145" s="307"/>
      <c r="R145" s="307"/>
    </row>
    <row r="146" spans="1:19" s="36" customFormat="1" ht="11.25" customHeight="1" thickBot="1">
      <c r="A146" s="35"/>
      <c r="B146" s="920" t="s">
        <v>3158</v>
      </c>
      <c r="C146" s="35"/>
      <c r="D146" s="41"/>
      <c r="E146" s="41"/>
      <c r="F146" s="41"/>
      <c r="G146" s="41"/>
      <c r="H146" s="29"/>
      <c r="K146" s="41"/>
      <c r="M146" s="39"/>
      <c r="N146" s="47"/>
      <c r="O146" s="3"/>
      <c r="P146" s="24"/>
    </row>
    <row r="147" spans="1:19" s="36" customFormat="1" ht="29.25" customHeight="1" thickTop="1" thickBot="1">
      <c r="A147" s="4561"/>
      <c r="B147" s="4562"/>
      <c r="C147" s="4562"/>
      <c r="D147" s="4562"/>
      <c r="E147" s="4562"/>
      <c r="F147" s="4562"/>
      <c r="G147" s="4562"/>
      <c r="H147" s="4562"/>
      <c r="I147" s="4562"/>
      <c r="J147" s="4562"/>
      <c r="K147" s="4562"/>
      <c r="L147" s="4562"/>
      <c r="M147" s="4562"/>
      <c r="N147" s="4562"/>
      <c r="O147" s="4562"/>
      <c r="P147" s="4563"/>
      <c r="Q147" s="354" t="s">
        <v>1179</v>
      </c>
      <c r="R147" s="354"/>
    </row>
    <row r="148" spans="1:19" s="70" customFormat="1" ht="11.65"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4244"/>
      <c r="B149" s="4245"/>
      <c r="C149" s="4245"/>
      <c r="D149" s="4245"/>
      <c r="E149" s="4245"/>
      <c r="F149" s="4245"/>
      <c r="G149" s="4245"/>
      <c r="H149" s="4245"/>
      <c r="I149" s="4245"/>
      <c r="J149" s="4245"/>
      <c r="K149" s="4245"/>
      <c r="L149" s="4245"/>
      <c r="M149" s="4245"/>
      <c r="N149" s="4245"/>
      <c r="O149" s="4245"/>
      <c r="P149" s="4246"/>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4046</v>
      </c>
      <c r="C152" s="870"/>
      <c r="D152" s="870"/>
      <c r="E152" s="870"/>
      <c r="G152" s="1454" t="s">
        <v>3697</v>
      </c>
      <c r="H152" s="850" t="str">
        <f>'Part VII-Threshold Criteria OLD'!$J$35</f>
        <v>&lt;&lt; Select PROPOSED Tenancy &gt;&gt;</v>
      </c>
      <c r="M152" s="119">
        <v>3</v>
      </c>
      <c r="N152" s="55"/>
      <c r="O152" s="1519"/>
      <c r="P152" s="1520"/>
      <c r="Q152" s="1147" t="str">
        <f>IF(OR($O152&lt;=$M152,$O152=0,$O152=""),"","*CHECK!*")</f>
        <v/>
      </c>
      <c r="R152" s="1522" t="s">
        <v>415</v>
      </c>
      <c r="S152" s="778" t="s">
        <v>3926</v>
      </c>
    </row>
    <row r="153" spans="1:19" ht="18.75" customHeight="1">
      <c r="C153" s="1448" t="s">
        <v>4604</v>
      </c>
      <c r="F153" s="1448"/>
      <c r="G153" s="1448"/>
      <c r="H153" s="1448"/>
      <c r="I153" s="1554"/>
      <c r="J153" s="1555"/>
      <c r="K153" s="1556"/>
      <c r="M153" s="36"/>
      <c r="N153"/>
      <c r="O153"/>
      <c r="P153" s="1852"/>
    </row>
    <row r="154" spans="1:19" ht="11.25" customHeight="1">
      <c r="C154" s="1448" t="s">
        <v>4603</v>
      </c>
      <c r="F154" s="1448"/>
      <c r="G154" s="1448"/>
      <c r="H154" s="1448"/>
      <c r="I154" s="1554"/>
      <c r="J154" s="4546" t="s">
        <v>4705</v>
      </c>
      <c r="K154" s="4547"/>
      <c r="L154" s="4547"/>
      <c r="M154" s="4548"/>
      <c r="N154"/>
      <c r="O154"/>
      <c r="P154"/>
    </row>
    <row r="155" spans="1:19" ht="12.75" customHeight="1">
      <c r="B155" s="429"/>
      <c r="C155" s="429"/>
      <c r="D155" s="429"/>
      <c r="F155" s="4303" t="s">
        <v>4518</v>
      </c>
      <c r="G155" s="4303"/>
      <c r="H155" s="4303" t="s">
        <v>4163</v>
      </c>
      <c r="I155" s="4303"/>
      <c r="J155" s="4532" t="s">
        <v>4519</v>
      </c>
      <c r="K155" s="4533"/>
      <c r="L155" s="4535" t="s">
        <v>4704</v>
      </c>
      <c r="M155" s="4536"/>
      <c r="N155" s="44"/>
      <c r="O155" s="1758"/>
      <c r="P155" s="1759"/>
    </row>
    <row r="156" spans="1:19" ht="30.75" customHeight="1">
      <c r="B156" s="429"/>
      <c r="C156" s="429"/>
      <c r="D156" s="429"/>
      <c r="F156" s="4303"/>
      <c r="G156" s="4303"/>
      <c r="H156" s="4303"/>
      <c r="I156" s="4303"/>
      <c r="J156" s="4534"/>
      <c r="K156" s="4533"/>
      <c r="L156" s="4303"/>
      <c r="M156" s="4537"/>
      <c r="N156" s="44"/>
      <c r="O156" s="1760"/>
      <c r="P156" s="1759"/>
    </row>
    <row r="157" spans="1:19" ht="12" customHeight="1">
      <c r="B157" s="81" t="s">
        <v>4520</v>
      </c>
      <c r="C157" s="872"/>
      <c r="D157" s="36"/>
      <c r="F157" s="4304"/>
      <c r="G157" s="4304"/>
      <c r="H157" s="4304"/>
      <c r="I157" s="4304"/>
      <c r="J157" s="4534"/>
      <c r="K157" s="4533"/>
      <c r="L157" s="4304"/>
      <c r="M157" s="4538"/>
      <c r="N157" s="44"/>
      <c r="O157" s="1760"/>
      <c r="P157" s="1759"/>
    </row>
    <row r="158" spans="1:19">
      <c r="B158" s="4539"/>
      <c r="C158" s="4540"/>
      <c r="D158" s="4540"/>
      <c r="E158" s="4541"/>
      <c r="F158" s="4539"/>
      <c r="G158" s="4541"/>
      <c r="H158" s="4539"/>
      <c r="I158" s="4541"/>
      <c r="J158" s="4542"/>
      <c r="K158" s="4543"/>
      <c r="L158" s="4542"/>
      <c r="M158" s="4543"/>
      <c r="N158" s="4497"/>
      <c r="O158" s="4498"/>
    </row>
    <row r="159" spans="1:19">
      <c r="B159" s="4499"/>
      <c r="C159" s="4500"/>
      <c r="D159" s="4500"/>
      <c r="E159" s="4501"/>
      <c r="F159" s="4499"/>
      <c r="G159" s="4501"/>
      <c r="H159" s="4499"/>
      <c r="I159" s="4501"/>
      <c r="J159" s="4502"/>
      <c r="K159" s="4503"/>
      <c r="L159" s="4502"/>
      <c r="M159" s="4503"/>
      <c r="N159" s="4487"/>
      <c r="O159" s="4488"/>
    </row>
    <row r="160" spans="1:19">
      <c r="B160" s="4499"/>
      <c r="C160" s="4500"/>
      <c r="D160" s="4500"/>
      <c r="E160" s="4501"/>
      <c r="F160" s="4499"/>
      <c r="G160" s="4501"/>
      <c r="H160" s="4499"/>
      <c r="I160" s="4501"/>
      <c r="J160" s="4502"/>
      <c r="K160" s="4503"/>
      <c r="L160" s="4502"/>
      <c r="M160" s="4503"/>
      <c r="N160" s="4487"/>
      <c r="O160" s="4488"/>
    </row>
    <row r="161" spans="1:26">
      <c r="B161" s="4499"/>
      <c r="C161" s="4500"/>
      <c r="D161" s="4500"/>
      <c r="E161" s="4501"/>
      <c r="F161" s="4499"/>
      <c r="G161" s="4501"/>
      <c r="H161" s="4499"/>
      <c r="I161" s="4501"/>
      <c r="J161" s="4502"/>
      <c r="K161" s="4503"/>
      <c r="L161" s="4502"/>
      <c r="M161" s="4503"/>
      <c r="N161" s="4487"/>
      <c r="O161" s="4488"/>
    </row>
    <row r="162" spans="1:26">
      <c r="B162" s="4499"/>
      <c r="C162" s="4500"/>
      <c r="D162" s="4500"/>
      <c r="E162" s="4501"/>
      <c r="F162" s="4499"/>
      <c r="G162" s="4501"/>
      <c r="H162" s="4499"/>
      <c r="I162" s="4501"/>
      <c r="J162" s="4502"/>
      <c r="K162" s="4503"/>
      <c r="L162" s="4502"/>
      <c r="M162" s="4503"/>
      <c r="N162" s="4487"/>
      <c r="O162" s="4488"/>
    </row>
    <row r="163" spans="1:26">
      <c r="B163" s="4490"/>
      <c r="C163" s="4491"/>
      <c r="D163" s="4491"/>
      <c r="E163" s="4492"/>
      <c r="F163" s="4490"/>
      <c r="G163" s="4492"/>
      <c r="H163" s="4490"/>
      <c r="I163" s="4492"/>
      <c r="J163" s="4493"/>
      <c r="K163" s="4494"/>
      <c r="L163" s="4493"/>
      <c r="M163" s="4494"/>
      <c r="N163" s="4495"/>
      <c r="O163" s="4496"/>
    </row>
    <row r="164" spans="1:26" s="36" customFormat="1" ht="10.5" customHeight="1" thickBot="1">
      <c r="A164" s="35"/>
      <c r="B164" s="920" t="s">
        <v>3158</v>
      </c>
      <c r="C164" s="35"/>
      <c r="D164" s="41"/>
      <c r="E164" s="41"/>
      <c r="F164" s="41"/>
      <c r="G164" s="41"/>
      <c r="H164" s="29"/>
      <c r="I164" s="29"/>
      <c r="J164" s="29"/>
      <c r="K164" s="29"/>
      <c r="M164" s="39"/>
      <c r="N164" s="47"/>
      <c r="O164" s="3"/>
      <c r="P164" s="24"/>
    </row>
    <row r="165" spans="1:26" s="36" customFormat="1" ht="21.75" customHeight="1" thickTop="1" thickBot="1">
      <c r="A165" s="4561"/>
      <c r="B165" s="4562"/>
      <c r="C165" s="4562"/>
      <c r="D165" s="4562"/>
      <c r="E165" s="4562"/>
      <c r="F165" s="4562"/>
      <c r="G165" s="4562"/>
      <c r="H165" s="4562"/>
      <c r="I165" s="4562"/>
      <c r="J165" s="4562"/>
      <c r="K165" s="4562"/>
      <c r="L165" s="4562"/>
      <c r="M165" s="4562"/>
      <c r="N165" s="4562"/>
      <c r="O165" s="4562"/>
      <c r="P165" s="4563"/>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4412"/>
      <c r="B167" s="4413"/>
      <c r="C167" s="4413"/>
      <c r="D167" s="4413"/>
      <c r="E167" s="4413"/>
      <c r="F167" s="4413"/>
      <c r="G167" s="4413"/>
      <c r="H167" s="4413"/>
      <c r="I167" s="4413"/>
      <c r="J167" s="4413"/>
      <c r="K167" s="4413"/>
      <c r="L167" s="4413"/>
      <c r="M167" s="4413"/>
      <c r="N167" s="4413"/>
      <c r="O167" s="4413"/>
      <c r="P167" s="4414"/>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3252</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4070</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4162</v>
      </c>
      <c r="D172" s="141"/>
      <c r="E172" s="141"/>
      <c r="F172" s="141"/>
      <c r="G172" s="141"/>
      <c r="H172" s="141"/>
      <c r="I172" s="141"/>
      <c r="J172" s="141"/>
      <c r="K172" s="141"/>
      <c r="L172" s="141"/>
      <c r="M172" s="457">
        <v>2</v>
      </c>
      <c r="N172" s="128" t="s">
        <v>1611</v>
      </c>
      <c r="O172" s="1492"/>
      <c r="P172" s="1541"/>
      <c r="Q172" s="1147" t="str">
        <f>IF(OR($O172=$M172,$O172=0,$O172=""),"","*CHECK!*")</f>
        <v/>
      </c>
      <c r="R172" s="778" t="s">
        <v>3926</v>
      </c>
      <c r="S172" s="1530"/>
      <c r="T172" s="1530"/>
      <c r="U172" s="1530"/>
    </row>
    <row r="173" spans="1:26" s="317" customFormat="1" ht="12" customHeight="1">
      <c r="B173" s="128" t="s">
        <v>2234</v>
      </c>
      <c r="C173" s="4243" t="s">
        <v>4564</v>
      </c>
      <c r="D173" s="4243"/>
      <c r="E173" s="4243"/>
      <c r="F173" s="4243"/>
      <c r="G173" s="4243"/>
      <c r="H173" s="4243"/>
      <c r="I173" s="4243"/>
      <c r="J173" s="4243"/>
      <c r="K173" s="4243"/>
      <c r="L173" s="128"/>
      <c r="M173" s="4566" t="s">
        <v>3988</v>
      </c>
      <c r="N173" s="4566"/>
      <c r="O173" s="4566"/>
      <c r="P173" s="4566"/>
      <c r="S173" s="1530"/>
      <c r="T173" s="1530"/>
      <c r="U173" s="1530"/>
      <c r="V173" s="333"/>
      <c r="W173" s="333"/>
      <c r="X173" s="333"/>
      <c r="Y173" s="333"/>
      <c r="Z173" s="333"/>
    </row>
    <row r="174" spans="1:26" s="36" customFormat="1" ht="12.75" customHeight="1">
      <c r="A174" s="305"/>
      <c r="B174" s="49"/>
      <c r="C174" s="4243"/>
      <c r="D174" s="4243"/>
      <c r="E174" s="4243"/>
      <c r="F174" s="4243"/>
      <c r="G174" s="4243"/>
      <c r="H174" s="4243"/>
      <c r="I174" s="4243"/>
      <c r="J174" s="4243"/>
      <c r="K174" s="4243"/>
      <c r="L174" s="128" t="s">
        <v>2234</v>
      </c>
      <c r="M174" s="4554" t="s">
        <v>3203</v>
      </c>
      <c r="N174" s="4555"/>
      <c r="O174" s="4555"/>
      <c r="P174" s="4556"/>
      <c r="S174" s="1530"/>
      <c r="T174" s="1530"/>
      <c r="U174" s="1530"/>
    </row>
    <row r="175" spans="1:26" s="26" customFormat="1" ht="12.75" customHeight="1">
      <c r="B175" s="49" t="s">
        <v>2235</v>
      </c>
      <c r="C175" s="29" t="s">
        <v>3830</v>
      </c>
      <c r="D175" s="29"/>
      <c r="E175" s="29"/>
      <c r="F175" s="29"/>
      <c r="G175" s="29"/>
      <c r="H175" s="29"/>
      <c r="L175" s="49" t="s">
        <v>2235</v>
      </c>
      <c r="M175" s="4551" t="s">
        <v>3203</v>
      </c>
      <c r="N175" s="4552"/>
      <c r="O175" s="4552"/>
      <c r="P175" s="4553"/>
      <c r="S175" s="1530"/>
      <c r="T175" s="1530"/>
      <c r="U175" s="1530"/>
      <c r="V175" s="72"/>
      <c r="W175" s="72"/>
      <c r="X175" s="72"/>
      <c r="Y175" s="72"/>
      <c r="Z175" s="72"/>
    </row>
    <row r="176" spans="1:26" s="26" customFormat="1" ht="12.75" customHeight="1">
      <c r="B176" s="49" t="s">
        <v>2236</v>
      </c>
      <c r="C176" s="29" t="s">
        <v>4068</v>
      </c>
      <c r="D176" s="29"/>
      <c r="E176" s="29"/>
      <c r="F176" s="29"/>
      <c r="G176" s="29"/>
      <c r="H176" s="29"/>
      <c r="L176" s="49" t="s">
        <v>2236</v>
      </c>
      <c r="M176" s="4551" t="s">
        <v>3203</v>
      </c>
      <c r="N176" s="4552"/>
      <c r="O176" s="4552"/>
      <c r="P176" s="4553"/>
      <c r="Q176" s="1248">
        <f>IF(K176="Yes",1,0)</f>
        <v>0</v>
      </c>
      <c r="S176" s="1530"/>
      <c r="T176" s="1530"/>
      <c r="U176" s="1530"/>
      <c r="V176" s="1248" t="e">
        <f>IF(#REF!="Yes",1,0)</f>
        <v>#REF!</v>
      </c>
      <c r="W176" s="72"/>
      <c r="X176" s="72"/>
      <c r="Y176" s="72"/>
      <c r="Z176" s="72"/>
    </row>
    <row r="177" spans="1:26" s="26" customFormat="1" ht="12.75" customHeight="1">
      <c r="A177" s="48"/>
      <c r="B177" s="49" t="s">
        <v>2237</v>
      </c>
      <c r="C177" s="29" t="s">
        <v>4069</v>
      </c>
      <c r="D177" s="29"/>
      <c r="E177" s="29"/>
      <c r="F177" s="29"/>
      <c r="G177" s="29"/>
      <c r="L177" s="49" t="s">
        <v>2237</v>
      </c>
      <c r="M177" s="4603" t="s">
        <v>3203</v>
      </c>
      <c r="N177" s="4604"/>
      <c r="O177" s="4604"/>
      <c r="P177" s="4605"/>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4145</v>
      </c>
      <c r="D179" s="108"/>
      <c r="E179" s="108"/>
      <c r="F179" s="108"/>
      <c r="G179" s="108"/>
      <c r="H179" s="108"/>
      <c r="I179" s="108"/>
      <c r="K179" s="918"/>
      <c r="L179" s="918"/>
      <c r="R179" s="1530"/>
      <c r="S179" s="1530"/>
      <c r="T179" s="1530"/>
      <c r="U179" s="1530"/>
    </row>
    <row r="180" spans="1:26">
      <c r="A180" s="395"/>
      <c r="B180" s="128" t="s">
        <v>2234</v>
      </c>
      <c r="C180" s="4243" t="s">
        <v>4072</v>
      </c>
      <c r="D180" s="4243"/>
      <c r="E180" s="4243"/>
      <c r="F180" s="4243"/>
      <c r="G180" s="4243"/>
      <c r="H180" s="4243"/>
      <c r="I180" s="4243"/>
      <c r="J180" s="4243"/>
      <c r="K180" s="4243"/>
      <c r="L180" s="4243"/>
      <c r="M180" s="1740">
        <v>1</v>
      </c>
      <c r="N180" s="128" t="s">
        <v>3944</v>
      </c>
      <c r="O180" s="1538"/>
      <c r="P180" s="1542"/>
      <c r="Q180" s="1147" t="str">
        <f>IF(OR($O180=$M180,$O180=0,$O180=""),"","*CHECK!*")</f>
        <v/>
      </c>
      <c r="R180" s="778" t="s">
        <v>3926</v>
      </c>
    </row>
    <row r="181" spans="1:26" ht="36.75" customHeight="1">
      <c r="A181" s="395"/>
      <c r="B181" s="117" t="s">
        <v>2235</v>
      </c>
      <c r="C181" s="4243" t="s">
        <v>4073</v>
      </c>
      <c r="D181" s="4243"/>
      <c r="E181" s="4243"/>
      <c r="F181" s="4243"/>
      <c r="G181" s="4243"/>
      <c r="H181" s="4243"/>
      <c r="I181" s="4243"/>
      <c r="J181" s="4243"/>
      <c r="K181" s="4243"/>
      <c r="L181" s="4243"/>
      <c r="M181" s="1740">
        <v>1</v>
      </c>
      <c r="N181" s="128" t="s">
        <v>4154</v>
      </c>
      <c r="O181" s="1559"/>
      <c r="P181" s="1560"/>
      <c r="Q181" s="1147" t="str">
        <f>IF(OR($O181=$M181,$O181=0,$O181=""),"","*CHECK!*")</f>
        <v/>
      </c>
      <c r="R181" s="778" t="s">
        <v>3926</v>
      </c>
    </row>
    <row r="182" spans="1:26" ht="12" customHeight="1">
      <c r="A182" s="395"/>
      <c r="B182" s="1510" t="s">
        <v>2236</v>
      </c>
      <c r="C182" s="44" t="s">
        <v>4156</v>
      </c>
      <c r="D182" s="100"/>
      <c r="E182" s="100"/>
      <c r="F182" s="100"/>
      <c r="G182" s="100"/>
      <c r="H182" s="100"/>
      <c r="I182" s="100"/>
      <c r="J182" s="100"/>
      <c r="K182" s="100"/>
      <c r="L182" s="100"/>
      <c r="M182" s="457">
        <v>1</v>
      </c>
      <c r="N182" s="48" t="s">
        <v>4155</v>
      </c>
      <c r="O182" s="1539"/>
      <c r="P182" s="1543"/>
      <c r="Q182" s="1147" t="str">
        <f>IF(OR($O182=$M182,$O182=0,$O182=""),"","*CHECK!*")</f>
        <v/>
      </c>
      <c r="R182" s="778" t="s">
        <v>3926</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3698</v>
      </c>
      <c r="D184" s="26"/>
      <c r="F184" s="1125"/>
      <c r="K184" s="898"/>
      <c r="L184" s="307" t="str">
        <f>IF(OR($O184=$M184,$O184=0,$O184=1,$O184=""),"","* * Check Score! * *")</f>
        <v/>
      </c>
      <c r="M184" s="457">
        <v>2</v>
      </c>
      <c r="N184" s="48" t="s">
        <v>1838</v>
      </c>
      <c r="O184" s="458"/>
      <c r="P184" s="650"/>
      <c r="Q184" s="781" t="str">
        <f>IF(OR($O184=$M184,$O184=0,$O184=""),"","*CHECK!*")</f>
        <v/>
      </c>
      <c r="R184" s="778" t="s">
        <v>3926</v>
      </c>
    </row>
    <row r="185" spans="1:26" s="70" customFormat="1" ht="10.5" customHeight="1" thickBot="1">
      <c r="A185" s="35"/>
      <c r="B185" s="920" t="s">
        <v>3158</v>
      </c>
      <c r="C185" s="35"/>
      <c r="D185" s="41"/>
      <c r="E185" s="41"/>
      <c r="F185" s="41"/>
      <c r="G185" s="41"/>
      <c r="H185" s="29"/>
      <c r="I185" s="29"/>
      <c r="J185" s="29"/>
      <c r="K185" s="29"/>
      <c r="M185" s="39"/>
      <c r="N185" s="5"/>
      <c r="O185" s="3"/>
      <c r="P185" s="119"/>
    </row>
    <row r="186" spans="1:26" s="36" customFormat="1" ht="21.75" customHeight="1" thickTop="1" thickBot="1">
      <c r="A186" s="4561"/>
      <c r="B186" s="4562"/>
      <c r="C186" s="4562"/>
      <c r="D186" s="4562"/>
      <c r="E186" s="4562"/>
      <c r="F186" s="4562"/>
      <c r="G186" s="4562"/>
      <c r="H186" s="4562"/>
      <c r="I186" s="4562"/>
      <c r="J186" s="4562"/>
      <c r="K186" s="4562"/>
      <c r="L186" s="4562"/>
      <c r="M186" s="4562"/>
      <c r="N186" s="4562"/>
      <c r="O186" s="4562"/>
      <c r="P186" s="4563"/>
      <c r="Q186" s="354" t="s">
        <v>1179</v>
      </c>
    </row>
    <row r="187" spans="1:26" s="70" customFormat="1" ht="11.65"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4412"/>
      <c r="B188" s="4413"/>
      <c r="C188" s="4413"/>
      <c r="D188" s="4413"/>
      <c r="E188" s="4413"/>
      <c r="F188" s="4413"/>
      <c r="G188" s="4413"/>
      <c r="H188" s="4413"/>
      <c r="I188" s="4413"/>
      <c r="J188" s="4413"/>
      <c r="K188" s="4413"/>
      <c r="L188" s="4413"/>
      <c r="M188" s="4413"/>
      <c r="N188" s="4413"/>
      <c r="O188" s="4413"/>
      <c r="P188" s="4414"/>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3253</v>
      </c>
      <c r="C190" s="870"/>
      <c r="D190" s="870"/>
      <c r="E190" s="870"/>
      <c r="F190" s="870"/>
      <c r="G190" s="870"/>
      <c r="H190" s="870"/>
      <c r="I190" s="870"/>
      <c r="J190" s="870"/>
      <c r="K190" s="870"/>
      <c r="L190" s="870"/>
      <c r="M190" s="119">
        <v>3</v>
      </c>
      <c r="N190" s="55"/>
      <c r="O190" s="52"/>
      <c r="P190" s="866"/>
      <c r="Q190" s="86" t="s">
        <v>415</v>
      </c>
      <c r="R190" s="778" t="s">
        <v>2453</v>
      </c>
    </row>
    <row r="191" spans="1:26" s="36" customFormat="1" ht="13.5" customHeight="1">
      <c r="A191" s="120"/>
      <c r="B191" s="81" t="s">
        <v>3554</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4146</v>
      </c>
      <c r="C192" s="870"/>
      <c r="D192" s="870"/>
      <c r="E192" s="870"/>
      <c r="F192" s="870"/>
      <c r="G192" s="870"/>
      <c r="H192" s="870"/>
      <c r="L192" s="1126"/>
      <c r="M192" s="119"/>
      <c r="N192" s="119"/>
      <c r="O192" s="119"/>
      <c r="P192" s="119"/>
      <c r="Q192" s="86"/>
      <c r="R192" s="1531"/>
      <c r="S192" s="1531"/>
      <c r="T192" s="1531"/>
      <c r="U192" s="1531"/>
    </row>
    <row r="193" spans="1:24" ht="11.65" customHeight="1">
      <c r="A193" s="107" t="s">
        <v>697</v>
      </c>
      <c r="B193" s="141" t="s">
        <v>4104</v>
      </c>
      <c r="D193" s="26"/>
      <c r="G193" s="369"/>
      <c r="N193"/>
      <c r="O193" s="31"/>
      <c r="P193" s="31"/>
      <c r="Q193" s="241"/>
    </row>
    <row r="194" spans="1:24" s="1251" customFormat="1" ht="12.75" customHeight="1">
      <c r="B194" s="349" t="s">
        <v>1839</v>
      </c>
      <c r="C194" s="4243" t="s">
        <v>4101</v>
      </c>
      <c r="D194" s="4243"/>
      <c r="E194" s="4243"/>
      <c r="F194" s="4243"/>
      <c r="G194" s="4243"/>
      <c r="H194" s="4243"/>
      <c r="I194" s="4243"/>
      <c r="J194" s="4243"/>
      <c r="K194" s="4243"/>
      <c r="L194" s="4243"/>
      <c r="M194" s="867" t="s">
        <v>697</v>
      </c>
      <c r="N194" s="316" t="s">
        <v>1839</v>
      </c>
      <c r="O194" s="877"/>
      <c r="P194" s="876"/>
      <c r="Q194" s="930"/>
      <c r="V194" s="1502"/>
      <c r="W194" s="1502"/>
    </row>
    <row r="195" spans="1:24" s="26" customFormat="1" ht="12.75" customHeight="1">
      <c r="A195" s="395"/>
      <c r="B195" s="349" t="s">
        <v>1841</v>
      </c>
      <c r="C195" s="33" t="s">
        <v>4102</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4243" t="s">
        <v>4105</v>
      </c>
      <c r="D196" s="4243"/>
      <c r="E196" s="4243"/>
      <c r="F196" s="4243"/>
      <c r="G196" s="4243"/>
      <c r="H196" s="4243"/>
      <c r="I196" s="4243"/>
      <c r="J196" s="4243"/>
      <c r="K196" s="4243"/>
      <c r="L196" s="4243"/>
      <c r="M196" s="456"/>
      <c r="N196" s="316" t="s">
        <v>2326</v>
      </c>
      <c r="O196" s="879"/>
      <c r="P196" s="878"/>
      <c r="Q196" s="783"/>
      <c r="V196" s="925"/>
      <c r="W196" s="925"/>
    </row>
    <row r="197" spans="1:24" ht="11.65" customHeight="1">
      <c r="A197" s="107" t="s">
        <v>1957</v>
      </c>
      <c r="B197" s="141" t="s">
        <v>4103</v>
      </c>
      <c r="D197" s="26"/>
      <c r="G197" s="369"/>
      <c r="N197"/>
      <c r="O197" s="31"/>
      <c r="P197" s="31"/>
      <c r="Q197" s="241"/>
    </row>
    <row r="198" spans="1:24" s="1251" customFormat="1" ht="23.25" customHeight="1">
      <c r="B198" s="349" t="s">
        <v>1839</v>
      </c>
      <c r="C198" s="4243" t="s">
        <v>4106</v>
      </c>
      <c r="D198" s="4243"/>
      <c r="E198" s="4243"/>
      <c r="F198" s="4243"/>
      <c r="G198" s="4243"/>
      <c r="H198" s="4243"/>
      <c r="I198" s="4243"/>
      <c r="J198" s="4243"/>
      <c r="K198" s="4243"/>
      <c r="L198" s="4243"/>
      <c r="M198" s="867" t="s">
        <v>1957</v>
      </c>
      <c r="N198" s="316" t="s">
        <v>1839</v>
      </c>
      <c r="O198" s="877"/>
      <c r="P198" s="876"/>
      <c r="Q198" s="930"/>
      <c r="V198" s="1502"/>
      <c r="W198" s="1502"/>
    </row>
    <row r="199" spans="1:24" s="26" customFormat="1" ht="23.25" customHeight="1">
      <c r="A199" s="395"/>
      <c r="B199" s="349" t="s">
        <v>1841</v>
      </c>
      <c r="C199" s="4243" t="s">
        <v>4147</v>
      </c>
      <c r="D199" s="4243"/>
      <c r="E199" s="4243"/>
      <c r="F199" s="4243"/>
      <c r="G199" s="4243"/>
      <c r="H199" s="4243"/>
      <c r="I199" s="4243"/>
      <c r="J199" s="4243"/>
      <c r="K199" s="4243"/>
      <c r="L199" s="4243"/>
      <c r="M199" s="103"/>
      <c r="N199" s="316" t="s">
        <v>1841</v>
      </c>
      <c r="O199" s="879"/>
      <c r="P199" s="878"/>
      <c r="Q199" s="783"/>
      <c r="V199" s="925"/>
      <c r="W199" s="925"/>
    </row>
    <row r="200" spans="1:24" s="36" customFormat="1" ht="12" customHeight="1" thickBot="1">
      <c r="A200" s="35"/>
      <c r="B200" s="920" t="s">
        <v>3158</v>
      </c>
      <c r="C200" s="35"/>
      <c r="D200" s="41"/>
      <c r="E200" s="41"/>
      <c r="F200" s="41"/>
      <c r="G200" s="41"/>
      <c r="H200" s="29"/>
      <c r="I200" s="29"/>
      <c r="M200" s="39"/>
      <c r="N200" s="47"/>
      <c r="O200" s="3"/>
      <c r="P200" s="24"/>
    </row>
    <row r="201" spans="1:24" s="36" customFormat="1" ht="45.65" customHeight="1" thickTop="1" thickBot="1">
      <c r="A201" s="4624"/>
      <c r="B201" s="4625"/>
      <c r="C201" s="4625"/>
      <c r="D201" s="4625"/>
      <c r="E201" s="4625"/>
      <c r="F201" s="4625"/>
      <c r="G201" s="4625"/>
      <c r="H201" s="4625"/>
      <c r="I201" s="4625"/>
      <c r="J201" s="4625"/>
      <c r="K201" s="4625"/>
      <c r="L201" s="4625"/>
      <c r="M201" s="4625"/>
      <c r="N201" s="4625"/>
      <c r="O201" s="4625"/>
      <c r="P201" s="4626"/>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15" customHeight="1">
      <c r="A203" s="4511"/>
      <c r="B203" s="4512"/>
      <c r="C203" s="4512"/>
      <c r="D203" s="4512"/>
      <c r="E203" s="4512"/>
      <c r="F203" s="4512"/>
      <c r="G203" s="4512"/>
      <c r="H203" s="4512"/>
      <c r="I203" s="4512"/>
      <c r="J203" s="4512"/>
      <c r="K203" s="4512"/>
      <c r="L203" s="4512"/>
      <c r="M203" s="4512"/>
      <c r="N203" s="4512"/>
      <c r="O203" s="4512"/>
      <c r="P203" s="4513"/>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3699</v>
      </c>
      <c r="D207" s="38"/>
      <c r="E207" s="38"/>
      <c r="K207" s="1249"/>
      <c r="M207" s="457">
        <v>5</v>
      </c>
      <c r="N207" s="48" t="s">
        <v>1836</v>
      </c>
      <c r="O207" s="458"/>
      <c r="P207" s="650"/>
      <c r="Q207" s="1147" t="str">
        <f>IF(O207&lt;=M207,"","*CHECK!*")</f>
        <v/>
      </c>
      <c r="R207" s="778" t="s">
        <v>3926</v>
      </c>
      <c r="S207" s="1532"/>
      <c r="T207" s="1532"/>
      <c r="U207" s="1532"/>
    </row>
    <row r="208" spans="1:24" ht="12.75" customHeight="1">
      <c r="B208" s="1503"/>
      <c r="C208" s="29" t="s">
        <v>4148</v>
      </c>
      <c r="D208" s="70"/>
      <c r="E208" s="38"/>
      <c r="F208" s="38"/>
      <c r="G208" s="70"/>
      <c r="H208" s="70"/>
      <c r="I208" s="70"/>
      <c r="J208" s="4580" t="s">
        <v>3121</v>
      </c>
      <c r="K208" s="4581"/>
      <c r="L208" s="4582"/>
      <c r="M208" s="4583"/>
      <c r="N208" s="53"/>
      <c r="R208" s="86"/>
      <c r="S208" s="70"/>
    </row>
    <row r="209" spans="1:27" ht="12.75" customHeight="1">
      <c r="C209" s="670" t="s">
        <v>4149</v>
      </c>
      <c r="D209" s="44"/>
      <c r="J209" s="4645"/>
      <c r="K209" s="4646"/>
      <c r="L209" s="4646"/>
      <c r="M209" s="4647"/>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4107</v>
      </c>
      <c r="C211" s="29"/>
      <c r="K211" s="48"/>
      <c r="L211" s="48"/>
      <c r="M211" s="457">
        <v>5</v>
      </c>
      <c r="N211" s="48" t="s">
        <v>1838</v>
      </c>
      <c r="O211" s="458"/>
      <c r="P211" s="650"/>
      <c r="Q211" s="1147" t="str">
        <f>IF(O211&lt;=M211,"","*CHECK!*")</f>
        <v/>
      </c>
      <c r="R211" s="778" t="s">
        <v>3926</v>
      </c>
      <c r="S211" s="1532"/>
      <c r="T211" s="1532"/>
      <c r="U211" s="1532"/>
    </row>
    <row r="212" spans="1:27">
      <c r="C212" s="1540" t="s">
        <v>4113</v>
      </c>
      <c r="E212" s="4759" t="s">
        <v>4112</v>
      </c>
      <c r="F212" s="4759"/>
      <c r="G212" s="4759"/>
      <c r="H212" s="4759"/>
      <c r="I212" s="1139" t="s">
        <v>4139</v>
      </c>
      <c r="J212" s="4759" t="s">
        <v>4112</v>
      </c>
      <c r="K212" s="4759"/>
      <c r="L212" s="4759"/>
      <c r="M212" s="4759"/>
      <c r="N212"/>
      <c r="O212"/>
      <c r="P212"/>
    </row>
    <row r="213" spans="1:27" ht="13.5" customHeight="1">
      <c r="B213" s="399"/>
      <c r="C213" s="29" t="s">
        <v>4110</v>
      </c>
      <c r="E213" s="4760"/>
      <c r="F213" s="4761"/>
      <c r="G213" s="4761"/>
      <c r="H213" s="4762"/>
      <c r="I213" s="1761" t="s">
        <v>905</v>
      </c>
      <c r="J213" s="4642"/>
      <c r="K213" s="4643"/>
      <c r="L213" s="4643"/>
      <c r="M213" s="4644"/>
      <c r="N213"/>
      <c r="Q213" s="24"/>
      <c r="R213" s="24"/>
      <c r="S213" s="24"/>
      <c r="T213" s="24"/>
      <c r="U213" s="24"/>
      <c r="V213" s="24"/>
      <c r="W213" s="24"/>
      <c r="X213" s="24"/>
      <c r="Y213" s="24"/>
      <c r="Z213" s="24"/>
      <c r="AA213" s="1762"/>
    </row>
    <row r="214" spans="1:27" ht="13.5" customHeight="1">
      <c r="C214" s="29" t="s">
        <v>4111</v>
      </c>
      <c r="E214" s="4633"/>
      <c r="F214" s="4634"/>
      <c r="G214" s="4634"/>
      <c r="H214" s="4635"/>
      <c r="I214" s="1797"/>
      <c r="J214" s="4648"/>
      <c r="K214" s="4649"/>
      <c r="L214" s="4649"/>
      <c r="M214" s="4650"/>
      <c r="N214" s="1147" t="str">
        <f>IF(P211&lt;=N211,"","*CHECK!*")</f>
        <v/>
      </c>
      <c r="Q214" s="24"/>
      <c r="R214" s="24"/>
      <c r="S214" s="24"/>
      <c r="T214" s="24"/>
      <c r="U214" s="24"/>
      <c r="V214" s="24"/>
      <c r="W214" s="24"/>
      <c r="X214" s="24"/>
      <c r="Y214" s="24"/>
      <c r="Z214" s="24"/>
      <c r="AA214" s="1762"/>
    </row>
    <row r="215" spans="1:27" ht="13.5" customHeight="1">
      <c r="B215" s="399"/>
      <c r="C215" s="29" t="s">
        <v>4108</v>
      </c>
      <c r="E215" s="4633"/>
      <c r="F215" s="4634"/>
      <c r="G215" s="4634"/>
      <c r="H215" s="4635"/>
      <c r="I215" s="1797"/>
      <c r="J215" s="4648"/>
      <c r="K215" s="4649"/>
      <c r="L215" s="4649"/>
      <c r="M215" s="4650"/>
      <c r="N215"/>
      <c r="Q215" s="24"/>
      <c r="R215" s="24"/>
      <c r="S215" s="24"/>
      <c r="T215" s="24"/>
      <c r="U215" s="24"/>
      <c r="V215" s="24"/>
      <c r="W215" s="24"/>
      <c r="X215" s="24"/>
      <c r="Y215" s="24"/>
      <c r="Z215" s="24"/>
      <c r="AA215" s="1762"/>
    </row>
    <row r="216" spans="1:27" ht="13.5" customHeight="1">
      <c r="B216" s="44"/>
      <c r="C216" s="29" t="s">
        <v>4109</v>
      </c>
      <c r="E216" s="4630"/>
      <c r="F216" s="4631"/>
      <c r="G216" s="4631"/>
      <c r="H216" s="4632"/>
      <c r="I216" s="1798"/>
      <c r="J216" s="4639"/>
      <c r="K216" s="4640"/>
      <c r="L216" s="4640"/>
      <c r="M216" s="4641"/>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3158</v>
      </c>
      <c r="C219" s="35"/>
      <c r="D219" s="41"/>
      <c r="E219" s="41"/>
      <c r="F219" s="41"/>
      <c r="G219" s="41"/>
      <c r="H219" s="29"/>
      <c r="I219" s="29"/>
      <c r="J219" s="29"/>
      <c r="K219" s="29"/>
      <c r="M219" s="39"/>
      <c r="N219" s="47"/>
      <c r="O219" s="3"/>
      <c r="P219" s="24"/>
    </row>
    <row r="220" spans="1:27" s="36" customFormat="1" ht="34.9" customHeight="1" thickTop="1" thickBot="1">
      <c r="A220" s="4561"/>
      <c r="B220" s="4562"/>
      <c r="C220" s="4562"/>
      <c r="D220" s="4562"/>
      <c r="E220" s="4562"/>
      <c r="F220" s="4562"/>
      <c r="G220" s="4562"/>
      <c r="H220" s="4562"/>
      <c r="I220" s="4562"/>
      <c r="J220" s="4562"/>
      <c r="K220" s="4562"/>
      <c r="L220" s="4562"/>
      <c r="M220" s="4562"/>
      <c r="N220" s="4562"/>
      <c r="O220" s="4562"/>
      <c r="P220" s="4563"/>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511"/>
      <c r="B223" s="4512"/>
      <c r="C223" s="4512"/>
      <c r="D223" s="4512"/>
      <c r="E223" s="4512"/>
      <c r="F223" s="4512"/>
      <c r="G223" s="4512"/>
      <c r="H223" s="4512"/>
      <c r="I223" s="4512"/>
      <c r="J223" s="4512"/>
      <c r="K223" s="4512"/>
      <c r="L223" s="4512"/>
      <c r="M223" s="4512"/>
      <c r="N223" s="4512"/>
      <c r="O223" s="4512"/>
      <c r="P223" s="451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3904</v>
      </c>
      <c r="C225" s="44"/>
      <c r="G225" s="1525" t="s">
        <v>4142</v>
      </c>
      <c r="H225" s="1453" t="e">
        <f>IF(OR($M$34="9% Credit Competitive Round only", $M$34="9% Credit &amp; HOME"),"9%",IF(OR($M$34="4% Credit/TE Bond", $M$34="4% Credit/TE Bond &amp; HOME", $M$34="4% Credit/TE Bond &amp; HOME NOFA", $M$34="4% Credit &amp; NHTF", $M$34="4% Credit &amp; NHTF &amp; HOME"),"4%",""))</f>
        <v>#REF!</v>
      </c>
      <c r="J225" s="1525" t="s">
        <v>362</v>
      </c>
      <c r="K225" s="4621" t="str">
        <f>M55</f>
        <v>&lt;&lt; Select Activity Type &gt;&gt;</v>
      </c>
      <c r="L225" s="4622"/>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4143</v>
      </c>
      <c r="D226" s="32"/>
      <c r="E226" s="29"/>
      <c r="F226" s="119"/>
      <c r="G226" s="874" t="s">
        <v>3069</v>
      </c>
      <c r="H226" s="1127" t="e">
        <f>IF(#REF!=0,0,#REF!/#REF!)</f>
        <v>#REF!</v>
      </c>
      <c r="J226" s="369" t="s">
        <v>3833</v>
      </c>
      <c r="K226" s="4637" t="e">
        <f>#REF!</f>
        <v>#REF!</v>
      </c>
      <c r="L226" s="4638"/>
      <c r="M226" s="31"/>
      <c r="N226" s="119"/>
      <c r="O226" s="24"/>
      <c r="P226" s="3"/>
    </row>
    <row r="227" spans="1:24" ht="12" customHeight="1">
      <c r="A227" s="671" t="s">
        <v>1836</v>
      </c>
      <c r="B227" s="67" t="s">
        <v>3831</v>
      </c>
      <c r="C227" s="44"/>
      <c r="E227" s="236" t="s">
        <v>3832</v>
      </c>
      <c r="M227" s="457">
        <v>1</v>
      </c>
      <c r="N227" s="48" t="s">
        <v>1836</v>
      </c>
      <c r="O227" s="1252"/>
      <c r="P227" s="1253"/>
      <c r="Q227" s="781" t="str">
        <f>IF(OR($O227=$M227,$O227=0,$O227=""),"","*CHECK!*")</f>
        <v/>
      </c>
      <c r="R227" s="778" t="s">
        <v>3926</v>
      </c>
    </row>
    <row r="228" spans="1:24" ht="12" customHeight="1">
      <c r="A228" s="671" t="s">
        <v>1838</v>
      </c>
      <c r="B228" s="67" t="s">
        <v>3689</v>
      </c>
      <c r="C228" s="44"/>
      <c r="E228" s="236" t="s">
        <v>3909</v>
      </c>
      <c r="M228" s="865">
        <v>1</v>
      </c>
      <c r="N228" s="48" t="s">
        <v>1838</v>
      </c>
      <c r="O228" s="406"/>
      <c r="P228" s="414"/>
      <c r="Q228" s="781" t="str">
        <f>IF(OR($O228=$M228,$O228=0,$O228=""),"","*CHECK!*")</f>
        <v/>
      </c>
      <c r="R228" s="778" t="s">
        <v>3926</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511"/>
      <c r="B231" s="4512"/>
      <c r="C231" s="4512"/>
      <c r="D231" s="4512"/>
      <c r="E231" s="4512"/>
      <c r="F231" s="4512"/>
      <c r="G231" s="4512"/>
      <c r="H231" s="4512"/>
      <c r="I231" s="4512"/>
      <c r="J231" s="4512"/>
      <c r="K231" s="4512"/>
      <c r="L231" s="4512"/>
      <c r="M231" s="4512"/>
      <c r="N231" s="4512"/>
      <c r="O231" s="4512"/>
      <c r="P231" s="451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3180</v>
      </c>
      <c r="D235" s="371"/>
      <c r="E235" s="371"/>
      <c r="F235" s="371"/>
      <c r="G235" s="371"/>
      <c r="H235" s="371"/>
      <c r="L235" s="371"/>
      <c r="M235" s="4628"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3181</v>
      </c>
      <c r="D236" s="371"/>
      <c r="L236" s="371"/>
      <c r="M236" s="4628"/>
      <c r="N236" s="48" t="s">
        <v>1838</v>
      </c>
      <c r="O236" s="176"/>
      <c r="P236" s="420"/>
      <c r="Q236" s="791"/>
      <c r="R236" s="1532"/>
      <c r="S236" s="1532"/>
      <c r="T236" s="1532"/>
      <c r="U236" s="1532"/>
      <c r="V236" s="1532"/>
    </row>
    <row r="237" spans="1:24" s="36" customFormat="1" ht="10.5" customHeight="1" thickBot="1">
      <c r="A237" s="35"/>
      <c r="B237" s="920" t="s">
        <v>3158</v>
      </c>
      <c r="C237" s="35"/>
      <c r="D237" s="41"/>
      <c r="E237" s="41"/>
      <c r="F237" s="41"/>
      <c r="G237" s="41"/>
      <c r="H237" s="29"/>
      <c r="I237" s="29"/>
      <c r="J237" s="29"/>
      <c r="K237" s="29"/>
      <c r="M237" s="39"/>
      <c r="N237" s="47"/>
      <c r="O237" s="3"/>
      <c r="P237" s="24"/>
      <c r="R237" s="1532"/>
      <c r="S237" s="1532"/>
      <c r="T237" s="1532"/>
      <c r="U237" s="1532"/>
      <c r="V237" s="1532"/>
    </row>
    <row r="238" spans="1:24" s="36" customFormat="1" ht="34.9" customHeight="1" thickTop="1" thickBot="1">
      <c r="A238" s="4561"/>
      <c r="B238" s="4562"/>
      <c r="C238" s="4562"/>
      <c r="D238" s="4562"/>
      <c r="E238" s="4562"/>
      <c r="F238" s="4562"/>
      <c r="G238" s="4562"/>
      <c r="H238" s="4562"/>
      <c r="I238" s="4562"/>
      <c r="J238" s="4562"/>
      <c r="K238" s="4562"/>
      <c r="L238" s="4562"/>
      <c r="M238" s="4562"/>
      <c r="N238" s="4562"/>
      <c r="O238" s="4562"/>
      <c r="P238" s="4563"/>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511"/>
      <c r="B240" s="4512"/>
      <c r="C240" s="4512"/>
      <c r="D240" s="4512"/>
      <c r="E240" s="4512"/>
      <c r="F240" s="4512"/>
      <c r="G240" s="4512"/>
      <c r="H240" s="4512"/>
      <c r="I240" s="4512"/>
      <c r="J240" s="4512"/>
      <c r="K240" s="4512"/>
      <c r="L240" s="4512"/>
      <c r="M240" s="4512"/>
      <c r="N240" s="4512"/>
      <c r="O240" s="4512"/>
      <c r="P240" s="451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3906</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3926</v>
      </c>
      <c r="S242" s="822"/>
      <c r="T242" s="822"/>
      <c r="U242" s="822"/>
      <c r="V242" s="822"/>
      <c r="W242" s="843"/>
      <c r="X242" s="843"/>
    </row>
    <row r="243" spans="1:27" s="79" customFormat="1" ht="10.5">
      <c r="A243" s="349"/>
      <c r="B243" s="108" t="s">
        <v>4150</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4151</v>
      </c>
      <c r="E244" s="33" t="s">
        <v>3225</v>
      </c>
      <c r="G244" s="1545"/>
      <c r="H244" s="48" t="s">
        <v>573</v>
      </c>
      <c r="I244" s="4755"/>
      <c r="J244" s="4755"/>
      <c r="L244" s="1564" t="s">
        <v>4153</v>
      </c>
      <c r="M244" s="4756"/>
      <c r="N244" s="4756"/>
    </row>
    <row r="245" spans="1:27" s="32" customFormat="1" ht="11.25" customHeight="1">
      <c r="A245" s="306"/>
      <c r="B245" s="349" t="s">
        <v>1841</v>
      </c>
      <c r="C245" s="29" t="s">
        <v>4152</v>
      </c>
      <c r="E245" s="33" t="s">
        <v>3225</v>
      </c>
      <c r="G245" s="1546"/>
      <c r="H245" s="48" t="s">
        <v>573</v>
      </c>
      <c r="I245" s="4629"/>
      <c r="J245" s="4629"/>
      <c r="L245" s="1564" t="s">
        <v>4153</v>
      </c>
      <c r="M245" s="4636"/>
      <c r="N245" s="463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3158</v>
      </c>
      <c r="C247" s="35"/>
      <c r="D247" s="41"/>
      <c r="E247" s="41"/>
      <c r="F247" s="41"/>
      <c r="G247" s="41"/>
      <c r="H247" s="29"/>
      <c r="I247" s="29"/>
      <c r="J247" s="29"/>
      <c r="K247" s="29"/>
      <c r="M247" s="39"/>
      <c r="N247" s="47"/>
      <c r="O247" s="3"/>
      <c r="P247" s="24"/>
    </row>
    <row r="248" spans="1:27" s="36" customFormat="1" ht="21.75" customHeight="1" thickTop="1" thickBot="1">
      <c r="A248" s="4561"/>
      <c r="B248" s="4562"/>
      <c r="C248" s="4562"/>
      <c r="D248" s="4562"/>
      <c r="E248" s="4562"/>
      <c r="F248" s="4562"/>
      <c r="G248" s="4562"/>
      <c r="H248" s="4562"/>
      <c r="I248" s="4562"/>
      <c r="J248" s="4562"/>
      <c r="K248" s="4562"/>
      <c r="L248" s="4562"/>
      <c r="M248" s="4562"/>
      <c r="N248" s="4562"/>
      <c r="O248" s="4562"/>
      <c r="P248" s="4563"/>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4412"/>
      <c r="B250" s="4413"/>
      <c r="C250" s="4413"/>
      <c r="D250" s="4413"/>
      <c r="E250" s="4413"/>
      <c r="F250" s="4413"/>
      <c r="G250" s="4413"/>
      <c r="H250" s="4413"/>
      <c r="I250" s="4413"/>
      <c r="J250" s="4413"/>
      <c r="K250" s="4413"/>
      <c r="L250" s="4413"/>
      <c r="M250" s="4413"/>
      <c r="N250" s="4413"/>
      <c r="O250" s="4413"/>
      <c r="P250" s="441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3834</v>
      </c>
      <c r="D252" s="34"/>
      <c r="E252" s="44" t="s">
        <v>4159</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3926</v>
      </c>
      <c r="S252" s="1547"/>
      <c r="T252" s="1547"/>
      <c r="U252" s="1547"/>
      <c r="V252" s="1547"/>
      <c r="W252" s="843"/>
      <c r="X252" s="843"/>
    </row>
    <row r="253" spans="1:27" s="26" customFormat="1" ht="11.25" customHeight="1">
      <c r="A253" s="107" t="s">
        <v>1836</v>
      </c>
      <c r="B253" s="141" t="s">
        <v>4158</v>
      </c>
      <c r="M253" s="457">
        <v>5</v>
      </c>
      <c r="N253" s="48" t="s">
        <v>1836</v>
      </c>
      <c r="O253" s="1548"/>
      <c r="P253" s="884"/>
      <c r="Q253" s="781" t="str">
        <f>IF(OR($O253=$M253,$O253=$M253-1,$O253=0,$O253=""),"","*CHECK!*")</f>
        <v/>
      </c>
      <c r="R253" s="778" t="s">
        <v>3926</v>
      </c>
      <c r="S253" s="1547"/>
      <c r="T253" s="1547"/>
      <c r="U253" s="1547"/>
      <c r="V253" s="1547"/>
    </row>
    <row r="254" spans="1:27" s="26" customFormat="1" ht="11.25" customHeight="1">
      <c r="A254" s="107" t="s">
        <v>1838</v>
      </c>
      <c r="B254" s="141" t="s">
        <v>4160</v>
      </c>
      <c r="M254" s="457">
        <v>3</v>
      </c>
      <c r="N254" s="48" t="s">
        <v>1838</v>
      </c>
      <c r="O254" s="405"/>
      <c r="P254" s="413"/>
      <c r="Q254" s="781" t="str">
        <f>IF(OR($O254=$M254,$O254=$M254-1,$O254=0,$O254=""),"","*CHECK!*")</f>
        <v/>
      </c>
      <c r="R254" s="778" t="s">
        <v>3926</v>
      </c>
    </row>
    <row r="255" spans="1:27">
      <c r="A255" s="107" t="s">
        <v>697</v>
      </c>
      <c r="B255" s="141" t="s">
        <v>4161</v>
      </c>
      <c r="E255" s="33" t="s">
        <v>4123</v>
      </c>
      <c r="I255" s="1250"/>
      <c r="L255" s="1507"/>
      <c r="M255" s="457">
        <v>3</v>
      </c>
      <c r="N255" s="48" t="s">
        <v>697</v>
      </c>
      <c r="O255" s="406"/>
      <c r="P255" s="414"/>
      <c r="Q255" s="781" t="str">
        <f>IF(OR($O255=$M255,$O255=$M255-1,$O255=0,$O255=""),"","*CHECK!*")</f>
        <v/>
      </c>
      <c r="R255" s="778" t="s">
        <v>3926</v>
      </c>
    </row>
    <row r="256" spans="1:27" s="36" customFormat="1" ht="10.5" customHeight="1" thickBot="1">
      <c r="A256" s="35"/>
      <c r="B256" s="920" t="s">
        <v>3158</v>
      </c>
      <c r="C256" s="35"/>
      <c r="D256" s="41"/>
      <c r="E256" s="41"/>
      <c r="F256" s="41"/>
      <c r="G256" s="41"/>
      <c r="H256" s="29"/>
      <c r="I256" s="29"/>
      <c r="J256" s="29"/>
      <c r="K256" s="29"/>
      <c r="M256" s="39"/>
      <c r="N256" s="47"/>
      <c r="O256" s="3"/>
      <c r="P256" s="24"/>
    </row>
    <row r="257" spans="1:21" s="36" customFormat="1" ht="21.75" customHeight="1" thickTop="1" thickBot="1">
      <c r="A257" s="4561"/>
      <c r="B257" s="4562"/>
      <c r="C257" s="4562"/>
      <c r="D257" s="4562"/>
      <c r="E257" s="4562"/>
      <c r="F257" s="4562"/>
      <c r="G257" s="4562"/>
      <c r="H257" s="4562"/>
      <c r="I257" s="4562"/>
      <c r="J257" s="4562"/>
      <c r="K257" s="4562"/>
      <c r="L257" s="4562"/>
      <c r="M257" s="4562"/>
      <c r="N257" s="4562"/>
      <c r="O257" s="4562"/>
      <c r="P257" s="4563"/>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4412"/>
      <c r="B259" s="4413"/>
      <c r="C259" s="4413"/>
      <c r="D259" s="4413"/>
      <c r="E259" s="4413"/>
      <c r="F259" s="4413"/>
      <c r="G259" s="4413"/>
      <c r="H259" s="4413"/>
      <c r="I259" s="4413"/>
      <c r="J259" s="4413"/>
      <c r="K259" s="4413"/>
      <c r="L259" s="4413"/>
      <c r="M259" s="4413"/>
      <c r="N259" s="4413"/>
      <c r="O259" s="4413"/>
      <c r="P259" s="4414"/>
      <c r="Q259" s="353"/>
    </row>
    <row r="260" spans="1:21" ht="6" customHeight="1" thickBot="1">
      <c r="T260" s="828"/>
      <c r="U260" s="828"/>
    </row>
    <row r="261" spans="1:21" s="36" customFormat="1" ht="13.5" customHeight="1" thickBot="1">
      <c r="A261" s="121" t="s">
        <v>2075</v>
      </c>
      <c r="B261" s="83" t="s">
        <v>2509</v>
      </c>
      <c r="D261" s="34"/>
      <c r="E261" s="34"/>
      <c r="F261" s="34"/>
      <c r="H261" s="33"/>
      <c r="J261" s="874"/>
      <c r="K261" s="41"/>
      <c r="L261" s="48" t="s">
        <v>3927</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4503</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4504</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4505</v>
      </c>
      <c r="D265" s="46"/>
      <c r="E265" s="46"/>
      <c r="F265" s="37"/>
      <c r="G265"/>
      <c r="K265" s="48"/>
      <c r="M265" s="457">
        <v>1</v>
      </c>
      <c r="N265" s="150" t="s">
        <v>2326</v>
      </c>
      <c r="O265" s="176"/>
      <c r="P265" s="420"/>
      <c r="R265" s="236"/>
      <c r="T265" s="828"/>
      <c r="U265" s="828"/>
    </row>
    <row r="266" spans="1:21" s="36" customFormat="1" ht="11.25" customHeight="1">
      <c r="A266" s="107" t="s">
        <v>1838</v>
      </c>
      <c r="B266" s="141" t="s">
        <v>3826</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4401" t="s">
        <v>4506</v>
      </c>
      <c r="C267" s="4401"/>
      <c r="D267" s="4401"/>
      <c r="E267" s="4401"/>
      <c r="F267" s="4401"/>
      <c r="G267" s="4401"/>
      <c r="H267" s="4401"/>
      <c r="I267" s="4401"/>
      <c r="J267" s="4401"/>
      <c r="K267" s="4401"/>
      <c r="L267" s="4401"/>
      <c r="M267" s="5"/>
      <c r="N267" s="48"/>
      <c r="O267" s="921"/>
      <c r="P267" s="922"/>
      <c r="Q267" s="236"/>
      <c r="R267" s="307"/>
      <c r="T267" s="828"/>
      <c r="U267" s="828"/>
    </row>
    <row r="268" spans="1:21" s="36" customFormat="1" ht="11.25" customHeight="1">
      <c r="A268" s="107" t="s">
        <v>697</v>
      </c>
      <c r="B268" s="141" t="s">
        <v>3701</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43" t="s">
        <v>4507</v>
      </c>
      <c r="C269" s="4243"/>
      <c r="D269" s="4243"/>
      <c r="E269" s="4243"/>
      <c r="F269" s="4243"/>
      <c r="G269" s="4243"/>
      <c r="H269" s="4243"/>
      <c r="I269" s="4243"/>
      <c r="J269" s="4243"/>
      <c r="K269" s="4243"/>
      <c r="L269" s="4243"/>
      <c r="M269" s="5"/>
      <c r="N269" s="48"/>
      <c r="O269" s="879"/>
      <c r="P269" s="878"/>
      <c r="Q269" s="236"/>
      <c r="R269" s="307"/>
      <c r="T269" s="828"/>
      <c r="U269" s="828"/>
    </row>
    <row r="270" spans="1:21" s="36" customFormat="1" ht="22.5" customHeight="1">
      <c r="B270" s="4243" t="s">
        <v>4124</v>
      </c>
      <c r="C270" s="4243"/>
      <c r="D270" s="4243"/>
      <c r="E270" s="4243"/>
      <c r="F270" s="4243"/>
      <c r="G270" s="4243"/>
      <c r="H270" s="4243"/>
      <c r="I270" s="4243"/>
      <c r="J270" s="4243"/>
      <c r="K270" s="4243"/>
      <c r="L270" s="4243"/>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4412"/>
      <c r="B272" s="4413"/>
      <c r="C272" s="4413"/>
      <c r="D272" s="4413"/>
      <c r="E272" s="4413"/>
      <c r="F272" s="4413"/>
      <c r="G272" s="4413"/>
      <c r="H272" s="4413"/>
      <c r="I272" s="4413"/>
      <c r="J272" s="4413"/>
      <c r="K272" s="4413"/>
      <c r="L272" s="4413"/>
      <c r="M272" s="4413"/>
      <c r="N272" s="4413"/>
      <c r="O272" s="4413"/>
      <c r="P272" s="441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4463</v>
      </c>
      <c r="D274" s="38"/>
      <c r="E274" s="38"/>
      <c r="G274" s="1527"/>
      <c r="H274" s="147"/>
      <c r="I274" s="1525" t="s">
        <v>4037</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4464</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4465</v>
      </c>
      <c r="D277" s="371"/>
      <c r="L277" s="371"/>
      <c r="M277" s="865">
        <v>2</v>
      </c>
      <c r="N277" s="48" t="s">
        <v>1838</v>
      </c>
      <c r="O277" s="176"/>
      <c r="P277" s="420"/>
      <c r="Q277" s="791">
        <f>IF(L277="Yes",1,0)</f>
        <v>0</v>
      </c>
      <c r="R277" s="1532"/>
      <c r="S277" s="1532"/>
      <c r="T277" s="1532"/>
      <c r="U277" s="1532"/>
      <c r="V277" s="1532"/>
    </row>
    <row r="278" spans="1:24" ht="11.25" customHeight="1">
      <c r="B278" s="241" t="s">
        <v>4566</v>
      </c>
      <c r="D278" s="371"/>
      <c r="L278" s="371"/>
      <c r="M278" s="865"/>
      <c r="N278" s="865"/>
      <c r="O278" s="865"/>
      <c r="P278" s="865"/>
      <c r="Q278" s="791"/>
      <c r="R278" s="1532"/>
      <c r="S278" s="1532"/>
      <c r="T278" s="1532"/>
      <c r="U278" s="1532"/>
      <c r="V278" s="1532"/>
    </row>
    <row r="279" spans="1:24" ht="38.25" customHeight="1">
      <c r="B279" s="4606"/>
      <c r="C279" s="4607"/>
      <c r="D279" s="4607"/>
      <c r="E279" s="4607"/>
      <c r="F279" s="4607"/>
      <c r="G279" s="4607"/>
      <c r="H279" s="4607"/>
      <c r="I279" s="4607"/>
      <c r="J279" s="4607"/>
      <c r="K279" s="4607"/>
      <c r="L279" s="4607"/>
      <c r="M279" s="4607"/>
      <c r="N279" s="4607"/>
      <c r="O279" s="4607"/>
      <c r="P279" s="4608"/>
      <c r="Q279" s="791"/>
      <c r="R279" s="1532"/>
      <c r="S279" s="1532"/>
      <c r="T279" s="1532"/>
      <c r="U279" s="1532"/>
      <c r="V279" s="1532"/>
    </row>
    <row r="280" spans="1:24" s="36" customFormat="1" ht="10.5" customHeight="1" thickBot="1">
      <c r="A280" s="35"/>
      <c r="B280" s="920" t="s">
        <v>3158</v>
      </c>
      <c r="C280" s="35"/>
      <c r="D280" s="41"/>
      <c r="E280" s="41"/>
      <c r="F280" s="41"/>
      <c r="G280" s="41"/>
      <c r="H280" s="29"/>
      <c r="I280" s="29"/>
      <c r="J280" s="29"/>
      <c r="K280" s="29"/>
      <c r="M280" s="39"/>
      <c r="N280" s="47"/>
      <c r="O280" s="3"/>
      <c r="P280" s="24"/>
      <c r="R280" s="1532"/>
      <c r="S280" s="1532"/>
      <c r="T280" s="1532"/>
      <c r="U280" s="1532"/>
      <c r="V280" s="1532"/>
    </row>
    <row r="281" spans="1:24" s="36" customFormat="1" ht="34.9" customHeight="1" thickTop="1" thickBot="1">
      <c r="A281" s="4561"/>
      <c r="B281" s="4562"/>
      <c r="C281" s="4562"/>
      <c r="D281" s="4562"/>
      <c r="E281" s="4562"/>
      <c r="F281" s="4562"/>
      <c r="G281" s="4562"/>
      <c r="H281" s="4562"/>
      <c r="I281" s="4562"/>
      <c r="J281" s="4562"/>
      <c r="K281" s="4562"/>
      <c r="L281" s="4562"/>
      <c r="M281" s="4562"/>
      <c r="N281" s="4562"/>
      <c r="O281" s="4562"/>
      <c r="P281" s="4563"/>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511"/>
      <c r="B283" s="4512"/>
      <c r="C283" s="4512"/>
      <c r="D283" s="4512"/>
      <c r="E283" s="4512"/>
      <c r="F283" s="4512"/>
      <c r="G283" s="4512"/>
      <c r="H283" s="4512"/>
      <c r="I283" s="4512"/>
      <c r="J283" s="4512"/>
      <c r="K283" s="4512"/>
      <c r="L283" s="4512"/>
      <c r="M283" s="4512"/>
      <c r="N283" s="4512"/>
      <c r="O283" s="4512"/>
      <c r="P283" s="451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4468</v>
      </c>
      <c r="D285" s="38"/>
      <c r="E285" s="38"/>
      <c r="G285" s="1527"/>
      <c r="H285" s="147"/>
      <c r="I285" s="147" t="s">
        <v>4585</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4579</v>
      </c>
      <c r="D286" s="38"/>
      <c r="E286" s="38"/>
      <c r="G286" s="147"/>
      <c r="J286" s="1244"/>
      <c r="M286" s="455"/>
      <c r="Q286" s="86"/>
      <c r="R286" s="1532"/>
      <c r="S286" s="1532"/>
      <c r="T286" s="1532"/>
      <c r="U286" s="1532"/>
      <c r="V286" s="1532"/>
      <c r="W286" s="36"/>
      <c r="X286" s="36"/>
    </row>
    <row r="287" spans="1:24" s="70" customFormat="1" ht="11.25" customHeight="1">
      <c r="A287" s="120"/>
      <c r="C287" s="29" t="s">
        <v>4576</v>
      </c>
      <c r="G287" s="147"/>
      <c r="I287" s="4591"/>
      <c r="J287" s="4592"/>
      <c r="K287" s="4593"/>
      <c r="L287" s="4594"/>
      <c r="M287" s="455"/>
      <c r="O287" s="1808"/>
      <c r="P287" s="1809"/>
      <c r="Q287" s="86"/>
      <c r="R287" s="1532"/>
      <c r="S287" s="1532"/>
      <c r="T287" s="1532"/>
      <c r="U287" s="1532"/>
      <c r="V287" s="1532"/>
      <c r="W287" s="36"/>
      <c r="X287" s="36"/>
    </row>
    <row r="288" spans="1:24" s="70" customFormat="1" ht="11.25" customHeight="1">
      <c r="A288" s="120"/>
      <c r="C288" s="29" t="s">
        <v>4575</v>
      </c>
      <c r="G288" s="147"/>
      <c r="I288" s="4595"/>
      <c r="J288" s="4596"/>
      <c r="M288" s="455"/>
      <c r="O288" s="1808"/>
      <c r="P288" s="1809"/>
      <c r="Q288" s="86"/>
      <c r="R288" s="1532"/>
      <c r="S288" s="1532"/>
      <c r="T288" s="1532"/>
      <c r="U288" s="1532"/>
      <c r="V288" s="1532"/>
      <c r="W288" s="36"/>
      <c r="X288" s="36"/>
    </row>
    <row r="289" spans="1:24" s="70" customFormat="1" ht="11.25" customHeight="1">
      <c r="A289" s="120"/>
      <c r="C289" s="29" t="s">
        <v>4577</v>
      </c>
      <c r="G289" s="147"/>
      <c r="I289" s="4597" t="s">
        <v>4578</v>
      </c>
      <c r="J289" s="4598"/>
      <c r="K289" s="4599"/>
      <c r="L289" s="4600"/>
      <c r="M289" s="455"/>
      <c r="O289" s="4601" t="s">
        <v>3066</v>
      </c>
      <c r="P289" s="4601" t="s">
        <v>3067</v>
      </c>
      <c r="Q289" s="86"/>
      <c r="R289" s="1532"/>
      <c r="S289" s="1532"/>
      <c r="T289" s="1532"/>
      <c r="U289" s="1532"/>
      <c r="V289" s="1532"/>
      <c r="W289" s="36"/>
      <c r="X289" s="36"/>
    </row>
    <row r="290" spans="1:24" s="36" customFormat="1" ht="11.25" customHeight="1">
      <c r="A290" s="120"/>
      <c r="B290" s="29" t="s">
        <v>4472</v>
      </c>
      <c r="D290" s="34"/>
      <c r="H290" s="141"/>
      <c r="M290" s="119"/>
      <c r="N290" s="48"/>
      <c r="O290" s="4602"/>
      <c r="P290" s="4602"/>
      <c r="Q290" s="86"/>
      <c r="R290" s="862"/>
      <c r="S290" s="862"/>
      <c r="T290" s="862"/>
      <c r="U290" s="862"/>
    </row>
    <row r="291" spans="1:24" s="36" customFormat="1" ht="11.25" customHeight="1">
      <c r="A291" s="1807"/>
      <c r="B291" s="128" t="s">
        <v>2234</v>
      </c>
      <c r="C291" s="29" t="s">
        <v>4471</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4584</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4473</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4469</v>
      </c>
      <c r="D295" s="371"/>
      <c r="E295" s="371"/>
      <c r="G295" s="371" t="s">
        <v>4477</v>
      </c>
      <c r="H295" s="371"/>
      <c r="L295" s="371"/>
      <c r="M295" s="865">
        <v>2</v>
      </c>
      <c r="N295" s="48" t="s">
        <v>1836</v>
      </c>
      <c r="O295" s="882"/>
      <c r="P295" s="866"/>
      <c r="Q295" s="1733" t="str">
        <f>IF(OR(O295=0,O295="",O295=$M295),"","Check!")</f>
        <v/>
      </c>
      <c r="R295" s="850" t="s">
        <v>2453</v>
      </c>
      <c r="S295" s="1532"/>
      <c r="T295" s="1532"/>
      <c r="U295" s="1532"/>
      <c r="V295" s="1532"/>
    </row>
    <row r="296" spans="1:24" s="331" customFormat="1" ht="21.75" customHeight="1">
      <c r="A296" s="1511"/>
      <c r="B296" s="349" t="s">
        <v>1839</v>
      </c>
      <c r="C296" s="4243" t="s">
        <v>4478</v>
      </c>
      <c r="D296" s="4243"/>
      <c r="E296" s="4243"/>
      <c r="F296" s="4243"/>
      <c r="G296" s="4243"/>
      <c r="H296" s="4243"/>
      <c r="I296" s="4243"/>
      <c r="J296" s="4243"/>
      <c r="K296" s="4243"/>
      <c r="L296" s="4243"/>
      <c r="M296" s="4243"/>
      <c r="N296" s="150" t="s">
        <v>1839</v>
      </c>
      <c r="O296" s="1215"/>
      <c r="P296" s="1216"/>
      <c r="Q296" s="330"/>
      <c r="R296" s="1732"/>
      <c r="S296" s="1732"/>
      <c r="T296" s="1732"/>
      <c r="U296" s="1732"/>
    </row>
    <row r="297" spans="1:24" s="331" customFormat="1" ht="21.75" customHeight="1" thickBot="1">
      <c r="A297" s="1511"/>
      <c r="B297" s="349" t="s">
        <v>1841</v>
      </c>
      <c r="C297" s="4243" t="s">
        <v>4479</v>
      </c>
      <c r="D297" s="4243"/>
      <c r="E297" s="4243"/>
      <c r="F297" s="4243"/>
      <c r="G297" s="4243"/>
      <c r="H297" s="4243"/>
      <c r="I297" s="4243"/>
      <c r="J297" s="4243"/>
      <c r="K297" s="4243"/>
      <c r="L297" s="4243"/>
      <c r="M297" s="4243"/>
      <c r="N297" s="150" t="s">
        <v>1841</v>
      </c>
      <c r="O297" s="879"/>
      <c r="P297" s="878"/>
      <c r="Q297" s="330"/>
      <c r="R297" s="1732"/>
      <c r="S297" s="1732"/>
      <c r="T297" s="1732"/>
      <c r="U297" s="1732"/>
    </row>
    <row r="298" spans="1:24" ht="11.25" customHeight="1" thickBot="1">
      <c r="A298" s="671" t="s">
        <v>1838</v>
      </c>
      <c r="B298" s="868" t="s">
        <v>4470</v>
      </c>
      <c r="D298" s="371"/>
      <c r="G298" s="44" t="s">
        <v>4480</v>
      </c>
      <c r="L298" s="371"/>
      <c r="M298" s="865">
        <v>2</v>
      </c>
      <c r="N298" s="48" t="s">
        <v>1838</v>
      </c>
      <c r="O298" s="882"/>
      <c r="P298" s="866"/>
      <c r="Q298" s="1733" t="str">
        <f>IF(OR(O298=0,O298="",O298=$M298),"","Check!")</f>
        <v/>
      </c>
      <c r="R298" s="850" t="s">
        <v>2453</v>
      </c>
      <c r="S298" s="1532"/>
      <c r="T298" s="1532"/>
      <c r="U298" s="1532"/>
      <c r="V298" s="1532"/>
    </row>
    <row r="299" spans="1:24" s="331" customFormat="1" ht="10.5" customHeight="1">
      <c r="A299" s="1511"/>
      <c r="B299" s="349" t="s">
        <v>1839</v>
      </c>
      <c r="C299" s="4243" t="s">
        <v>4481</v>
      </c>
      <c r="D299" s="4243"/>
      <c r="E299" s="4243"/>
      <c r="F299" s="4243"/>
      <c r="G299" s="4243"/>
      <c r="H299" s="4243"/>
      <c r="I299" s="4243"/>
      <c r="J299" s="4243"/>
      <c r="K299" s="4243"/>
      <c r="L299" s="4243"/>
      <c r="M299" s="4243"/>
      <c r="N299" s="150" t="s">
        <v>1839</v>
      </c>
      <c r="O299" s="1215"/>
      <c r="P299" s="1216"/>
      <c r="Q299" s="330"/>
      <c r="R299" s="1732"/>
      <c r="S299" s="1732"/>
      <c r="T299" s="1732"/>
      <c r="U299" s="1732"/>
    </row>
    <row r="300" spans="1:24" s="331" customFormat="1" ht="10.5" customHeight="1">
      <c r="A300" s="1511"/>
      <c r="B300" s="349" t="s">
        <v>1841</v>
      </c>
      <c r="C300" s="4243" t="s">
        <v>4482</v>
      </c>
      <c r="D300" s="4243"/>
      <c r="E300" s="4243"/>
      <c r="F300" s="4243"/>
      <c r="G300" s="4243"/>
      <c r="H300" s="4243"/>
      <c r="I300" s="4243"/>
      <c r="J300" s="4243"/>
      <c r="K300" s="4243"/>
      <c r="L300" s="4243"/>
      <c r="M300" s="4243"/>
      <c r="N300" s="150" t="s">
        <v>1841</v>
      </c>
      <c r="O300" s="879"/>
      <c r="P300" s="878"/>
      <c r="Q300" s="330"/>
      <c r="R300" s="1732"/>
      <c r="S300" s="1732"/>
      <c r="T300" s="1732"/>
      <c r="U300" s="1732"/>
    </row>
    <row r="301" spans="1:24" s="331" customFormat="1" ht="10.5" customHeight="1">
      <c r="A301" s="1511"/>
      <c r="B301" s="349" t="s">
        <v>2326</v>
      </c>
      <c r="C301" s="670" t="s">
        <v>4580</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4483</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4484</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4243" t="s">
        <v>4485</v>
      </c>
      <c r="D304" s="4243"/>
      <c r="E304" s="4243"/>
      <c r="F304" s="4243"/>
      <c r="G304" s="4243"/>
      <c r="H304" s="4243"/>
      <c r="I304" s="4243"/>
      <c r="J304" s="4243"/>
      <c r="K304" s="4243"/>
      <c r="L304" s="4243"/>
      <c r="M304" s="4243"/>
      <c r="N304" s="150" t="s">
        <v>1149</v>
      </c>
      <c r="O304" s="879"/>
      <c r="P304" s="878"/>
      <c r="Q304" s="330"/>
      <c r="R304" s="1732"/>
      <c r="S304" s="1732"/>
      <c r="T304" s="1732"/>
      <c r="U304" s="1732"/>
    </row>
    <row r="305" spans="1:22" s="36" customFormat="1" ht="10.5" customHeight="1" thickBot="1">
      <c r="A305" s="35"/>
      <c r="B305" s="920" t="s">
        <v>3158</v>
      </c>
      <c r="C305" s="35"/>
      <c r="D305" s="41"/>
      <c r="E305" s="41"/>
      <c r="F305" s="41"/>
      <c r="G305" s="41"/>
      <c r="H305" s="29"/>
      <c r="I305" s="29"/>
      <c r="J305" s="29"/>
      <c r="K305" s="29"/>
      <c r="M305" s="39"/>
      <c r="N305" s="47"/>
      <c r="O305" s="3"/>
      <c r="P305" s="24"/>
      <c r="R305" s="1532"/>
      <c r="S305" s="1532"/>
      <c r="T305" s="1532"/>
      <c r="U305" s="1532"/>
      <c r="V305" s="1532"/>
    </row>
    <row r="306" spans="1:22" s="36" customFormat="1" ht="34.9" customHeight="1" thickTop="1" thickBot="1">
      <c r="A306" s="4561"/>
      <c r="B306" s="4562"/>
      <c r="C306" s="4562"/>
      <c r="D306" s="4562"/>
      <c r="E306" s="4562"/>
      <c r="F306" s="4562"/>
      <c r="G306" s="4562"/>
      <c r="H306" s="4562"/>
      <c r="I306" s="4562"/>
      <c r="J306" s="4562"/>
      <c r="K306" s="4562"/>
      <c r="L306" s="4562"/>
      <c r="M306" s="4562"/>
      <c r="N306" s="4562"/>
      <c r="O306" s="4562"/>
      <c r="P306" s="4563"/>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511"/>
      <c r="B308" s="4512"/>
      <c r="C308" s="4512"/>
      <c r="D308" s="4512"/>
      <c r="E308" s="4512"/>
      <c r="F308" s="4512"/>
      <c r="G308" s="4512"/>
      <c r="H308" s="4512"/>
      <c r="I308" s="4512"/>
      <c r="J308" s="4512"/>
      <c r="K308" s="4512"/>
      <c r="L308" s="4512"/>
      <c r="M308" s="4512"/>
      <c r="N308" s="4512"/>
      <c r="O308" s="4512"/>
      <c r="P308" s="451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4474</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4475</v>
      </c>
      <c r="D311" s="371"/>
      <c r="E311" s="371" t="s">
        <v>4486</v>
      </c>
      <c r="F311" s="371"/>
      <c r="G311" s="371"/>
      <c r="H311" s="371"/>
      <c r="I311" s="4752"/>
      <c r="J311" s="4753"/>
      <c r="K311" s="4753"/>
      <c r="L311" s="4754"/>
      <c r="M311" s="865">
        <v>2</v>
      </c>
      <c r="N311" s="48" t="s">
        <v>1836</v>
      </c>
      <c r="O311" s="1252"/>
      <c r="P311" s="1253"/>
      <c r="Q311" s="1733" t="str">
        <f>IF(OR(O311=0,O311="",O311=$M311),"","Check!")</f>
        <v/>
      </c>
      <c r="R311" s="850" t="s">
        <v>2453</v>
      </c>
      <c r="S311" s="1532"/>
      <c r="T311" s="1532"/>
      <c r="U311" s="1532"/>
      <c r="V311" s="1532"/>
    </row>
    <row r="312" spans="1:22" ht="11.25" customHeight="1">
      <c r="A312" s="671" t="s">
        <v>1838</v>
      </c>
      <c r="B312" s="868" t="s">
        <v>4476</v>
      </c>
      <c r="D312" s="371"/>
      <c r="L312" s="371"/>
      <c r="M312" s="865">
        <v>2</v>
      </c>
      <c r="N312" s="48" t="s">
        <v>1838</v>
      </c>
      <c r="O312" s="406"/>
      <c r="P312" s="414"/>
      <c r="Q312" s="1733" t="str">
        <f>IF(OR(O312=0,O312="",O312=$M312),"","Check!")</f>
        <v/>
      </c>
      <c r="R312" s="850" t="s">
        <v>2453</v>
      </c>
      <c r="S312" s="1532"/>
      <c r="T312" s="1532"/>
      <c r="U312" s="1532"/>
      <c r="V312" s="1532"/>
    </row>
    <row r="313" spans="1:22" s="36" customFormat="1" ht="10.5" customHeight="1" thickBot="1">
      <c r="A313" s="35"/>
      <c r="B313" s="920" t="s">
        <v>3158</v>
      </c>
      <c r="C313" s="35"/>
      <c r="D313" s="41"/>
      <c r="E313" s="41"/>
      <c r="F313" s="41"/>
      <c r="G313" s="41"/>
      <c r="H313" s="29"/>
      <c r="I313" s="29"/>
      <c r="J313" s="29"/>
      <c r="K313" s="29"/>
      <c r="M313" s="39"/>
      <c r="N313" s="47"/>
      <c r="O313" s="3"/>
      <c r="P313" s="24"/>
      <c r="R313" s="1532"/>
      <c r="S313" s="1532"/>
      <c r="T313" s="1532"/>
      <c r="U313" s="1532"/>
      <c r="V313" s="1532"/>
    </row>
    <row r="314" spans="1:22" s="36" customFormat="1" ht="34.9" customHeight="1" thickTop="1" thickBot="1">
      <c r="A314" s="4561"/>
      <c r="B314" s="4562"/>
      <c r="C314" s="4562"/>
      <c r="D314" s="4562"/>
      <c r="E314" s="4562"/>
      <c r="F314" s="4562"/>
      <c r="G314" s="4562"/>
      <c r="H314" s="4562"/>
      <c r="I314" s="4562"/>
      <c r="J314" s="4562"/>
      <c r="K314" s="4562"/>
      <c r="L314" s="4562"/>
      <c r="M314" s="4562"/>
      <c r="N314" s="4562"/>
      <c r="O314" s="4562"/>
      <c r="P314" s="4563"/>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511"/>
      <c r="B316" s="4512"/>
      <c r="C316" s="4512"/>
      <c r="D316" s="4512"/>
      <c r="E316" s="4512"/>
      <c r="F316" s="4512"/>
      <c r="G316" s="4512"/>
      <c r="H316" s="4512"/>
      <c r="I316" s="4512"/>
      <c r="J316" s="4512"/>
      <c r="K316" s="4512"/>
      <c r="L316" s="4512"/>
      <c r="M316" s="4512"/>
      <c r="N316" s="4512"/>
      <c r="O316" s="4512"/>
      <c r="P316" s="451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3284</v>
      </c>
      <c r="B318" s="83" t="s">
        <v>3255</v>
      </c>
      <c r="C318" s="67"/>
      <c r="D318" s="44"/>
      <c r="E318" s="29"/>
      <c r="G318" s="44"/>
      <c r="I318" s="1525" t="s">
        <v>4142</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4125</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3256</v>
      </c>
      <c r="C320" s="67"/>
      <c r="D320" s="44"/>
      <c r="E320" s="29"/>
      <c r="G320" s="1373"/>
      <c r="I320" s="33" t="s">
        <v>3945</v>
      </c>
      <c r="K320" s="1508">
        <f>'Part VIII Scoring Criteria OLD'!P42</f>
        <v>0</v>
      </c>
      <c r="M320" s="457">
        <v>2</v>
      </c>
      <c r="N320" s="48" t="s">
        <v>1836</v>
      </c>
      <c r="P320" s="415"/>
      <c r="Q320" s="86"/>
      <c r="R320" s="850" t="s">
        <v>2453</v>
      </c>
    </row>
    <row r="321" spans="1:19" s="70" customFormat="1" ht="10.5" customHeight="1">
      <c r="A321" s="671"/>
      <c r="B321" s="306" t="s">
        <v>1839</v>
      </c>
      <c r="C321" s="29" t="s">
        <v>3716</v>
      </c>
      <c r="D321" s="26"/>
      <c r="N321" s="347" t="s">
        <v>3717</v>
      </c>
      <c r="O321" s="175"/>
      <c r="P321" s="418"/>
      <c r="R321" s="307"/>
    </row>
    <row r="322" spans="1:19" s="70" customFormat="1" ht="10.5" customHeight="1">
      <c r="A322" s="671"/>
      <c r="B322" s="306"/>
      <c r="C322" s="29" t="s">
        <v>4466</v>
      </c>
      <c r="D322" s="26"/>
      <c r="N322" s="347" t="s">
        <v>3718</v>
      </c>
      <c r="O322" s="299"/>
      <c r="P322" s="419"/>
      <c r="R322" s="307"/>
    </row>
    <row r="323" spans="1:19" s="70" customFormat="1" ht="10.5" customHeight="1">
      <c r="A323" s="671"/>
      <c r="B323" s="306" t="s">
        <v>1841</v>
      </c>
      <c r="C323" s="29" t="s">
        <v>3261</v>
      </c>
      <c r="D323" s="26"/>
      <c r="N323" s="347" t="s">
        <v>1841</v>
      </c>
      <c r="O323" s="299"/>
      <c r="P323" s="419"/>
      <c r="R323" s="307"/>
    </row>
    <row r="324" spans="1:19" s="70" customFormat="1" ht="10.5" customHeight="1">
      <c r="A324" s="671"/>
      <c r="B324" s="306" t="s">
        <v>2326</v>
      </c>
      <c r="C324" s="29" t="s">
        <v>3719</v>
      </c>
      <c r="D324" s="26"/>
      <c r="N324" s="347" t="s">
        <v>2326</v>
      </c>
      <c r="O324" s="299"/>
      <c r="P324" s="419"/>
      <c r="R324" s="307"/>
    </row>
    <row r="325" spans="1:19" s="70" customFormat="1" ht="10.5" customHeight="1">
      <c r="A325" s="918"/>
      <c r="B325" s="306" t="s">
        <v>1149</v>
      </c>
      <c r="C325" s="29" t="s">
        <v>3262</v>
      </c>
      <c r="D325" s="26"/>
      <c r="N325" s="347" t="s">
        <v>1149</v>
      </c>
      <c r="O325" s="176"/>
      <c r="P325" s="419"/>
      <c r="R325" s="307"/>
    </row>
    <row r="326" spans="1:19" s="36" customFormat="1" ht="12" customHeight="1">
      <c r="A326" s="671" t="s">
        <v>1838</v>
      </c>
      <c r="B326" s="141" t="s">
        <v>3257</v>
      </c>
      <c r="C326" s="67"/>
      <c r="D326" s="44"/>
      <c r="E326" s="29"/>
      <c r="G326" s="1373"/>
      <c r="I326" s="379"/>
      <c r="L326" s="903"/>
      <c r="M326" s="457">
        <v>2</v>
      </c>
      <c r="N326" s="48" t="s">
        <v>1838</v>
      </c>
      <c r="P326" s="415"/>
      <c r="Q326" s="86"/>
      <c r="R326" s="850" t="s">
        <v>2453</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4467</v>
      </c>
      <c r="D328" s="26"/>
      <c r="N328" s="347" t="s">
        <v>3718</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4412"/>
      <c r="B332" s="4413"/>
      <c r="C332" s="4413"/>
      <c r="D332" s="4413"/>
      <c r="E332" s="4413"/>
      <c r="F332" s="4413"/>
      <c r="G332" s="4413"/>
      <c r="H332" s="4413"/>
      <c r="I332" s="4413"/>
      <c r="J332" s="4413"/>
      <c r="K332" s="4413"/>
      <c r="L332" s="4413"/>
      <c r="M332" s="4413"/>
      <c r="N332" s="4413"/>
      <c r="O332" s="4413"/>
      <c r="P332" s="4414"/>
      <c r="Q332" s="353"/>
    </row>
    <row r="333" spans="1:19" ht="2.25" customHeight="1" thickBot="1"/>
    <row r="334" spans="1:19" s="36" customFormat="1" ht="13.5" customHeight="1" thickBot="1">
      <c r="A334" s="121" t="s">
        <v>3285</v>
      </c>
      <c r="B334" s="83" t="s">
        <v>1553</v>
      </c>
      <c r="D334" s="67"/>
      <c r="E334" s="67"/>
      <c r="G334" s="29"/>
      <c r="M334" s="119">
        <v>2</v>
      </c>
      <c r="N334" s="320"/>
      <c r="O334" s="882"/>
      <c r="P334" s="866"/>
      <c r="Q334" s="86" t="s">
        <v>415</v>
      </c>
      <c r="R334" s="1549" t="s">
        <v>3926</v>
      </c>
      <c r="S334" s="1549"/>
    </row>
    <row r="335" spans="1:19" s="36" customFormat="1" ht="11.25" customHeight="1">
      <c r="A335" s="107"/>
      <c r="B335" s="89" t="s">
        <v>3070</v>
      </c>
      <c r="D335" s="67"/>
      <c r="E335" s="67"/>
      <c r="G335" s="29"/>
      <c r="I335" s="3563" t="s">
        <v>3959</v>
      </c>
      <c r="J335" s="3564"/>
      <c r="K335" s="3564"/>
      <c r="L335" s="3565"/>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3158</v>
      </c>
      <c r="C337" s="35"/>
      <c r="D337" s="41"/>
      <c r="E337" s="41"/>
      <c r="F337" s="41"/>
      <c r="G337" s="41"/>
      <c r="H337" s="29"/>
      <c r="I337" s="29"/>
      <c r="J337" s="29"/>
      <c r="K337" s="29"/>
      <c r="M337" s="39"/>
      <c r="N337" s="5"/>
      <c r="O337" s="3"/>
      <c r="P337" s="119"/>
    </row>
    <row r="338" spans="1:20" s="36" customFormat="1" ht="10.9" customHeight="1" thickTop="1" thickBot="1">
      <c r="A338" s="4561"/>
      <c r="B338" s="4562"/>
      <c r="C338" s="4562"/>
      <c r="D338" s="4562"/>
      <c r="E338" s="4562"/>
      <c r="F338" s="4562"/>
      <c r="G338" s="4562"/>
      <c r="H338" s="4562"/>
      <c r="I338" s="4562"/>
      <c r="J338" s="4562"/>
      <c r="K338" s="4562"/>
      <c r="L338" s="4562"/>
      <c r="M338" s="4562"/>
      <c r="N338" s="4562"/>
      <c r="O338" s="4562"/>
      <c r="P338" s="4563"/>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4412"/>
      <c r="B340" s="4413"/>
      <c r="C340" s="4413"/>
      <c r="D340" s="4413"/>
      <c r="E340" s="4413"/>
      <c r="F340" s="4413"/>
      <c r="G340" s="4413"/>
      <c r="H340" s="4413"/>
      <c r="I340" s="4413"/>
      <c r="J340" s="4413"/>
      <c r="K340" s="4413"/>
      <c r="L340" s="4413"/>
      <c r="M340" s="4413"/>
      <c r="N340" s="4413"/>
      <c r="O340" s="4413"/>
      <c r="P340" s="4414"/>
      <c r="Q340" s="353"/>
    </row>
    <row r="341" spans="1:20" ht="3" customHeight="1" thickBot="1"/>
    <row r="342" spans="1:20" s="36" customFormat="1" ht="13.5" customHeight="1" thickBot="1">
      <c r="A342" s="120" t="s">
        <v>3288</v>
      </c>
      <c r="B342" s="83" t="s">
        <v>3259</v>
      </c>
      <c r="D342" s="67"/>
      <c r="E342" s="67"/>
      <c r="F342" s="29"/>
      <c r="G342" s="29"/>
      <c r="H342" s="29"/>
      <c r="J342" s="1856" t="s">
        <v>4036</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4488</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627" t="str">
        <f>IF(OR(O344="No",O344="",O345="No",O345="",O346="No",O346="",O347="No",O347=""),"Unmet criterion results in no points!","")</f>
        <v>Unmet criterion results in no points!</v>
      </c>
      <c r="M344" s="4627"/>
      <c r="N344" s="49" t="s">
        <v>2234</v>
      </c>
      <c r="O344" s="175"/>
      <c r="P344" s="418"/>
      <c r="R344" s="4623" t="str">
        <f>IF(OR(P344="No",P344="",P345="No",P345="",P346="No",P346="",P347="No",P347=""),"Unmet criterion results in no points!","")</f>
        <v>Unmet criterion results in no points!</v>
      </c>
      <c r="S344" s="4623" t="e">
        <f>IF(OR(V344="No",V344="",V345="No",V345="",V346="No",V346="",V347="No",V347="",#REF!="No",#REF!="",#REF!="No",#REF!=""),"Unmet criterion results in no points!","")</f>
        <v>#REF!</v>
      </c>
    </row>
    <row r="345" spans="1:20" s="79" customFormat="1" ht="12.75" customHeight="1">
      <c r="B345" s="49" t="s">
        <v>2235</v>
      </c>
      <c r="C345" s="29" t="s">
        <v>3192</v>
      </c>
      <c r="L345" s="4627"/>
      <c r="M345" s="4627"/>
      <c r="N345" s="49" t="s">
        <v>2235</v>
      </c>
      <c r="O345" s="299"/>
      <c r="P345" s="419"/>
      <c r="R345" s="4623"/>
      <c r="S345" s="4623"/>
    </row>
    <row r="346" spans="1:20" s="79" customFormat="1" ht="12.75" customHeight="1">
      <c r="B346" s="49" t="s">
        <v>2236</v>
      </c>
      <c r="C346" s="29" t="s">
        <v>3191</v>
      </c>
      <c r="L346" s="4627"/>
      <c r="M346" s="4627"/>
      <c r="N346" s="49" t="s">
        <v>2236</v>
      </c>
      <c r="O346" s="299"/>
      <c r="P346" s="419"/>
      <c r="R346" s="4623"/>
      <c r="S346" s="4623"/>
    </row>
    <row r="347" spans="1:20" s="79" customFormat="1" ht="33.75" customHeight="1">
      <c r="B347" s="117" t="s">
        <v>2237</v>
      </c>
      <c r="C347" s="4243" t="s">
        <v>4487</v>
      </c>
      <c r="D347" s="4243"/>
      <c r="E347" s="4243"/>
      <c r="F347" s="4243"/>
      <c r="G347" s="4243"/>
      <c r="H347" s="4243"/>
      <c r="I347" s="4243"/>
      <c r="J347" s="4243"/>
      <c r="K347" s="4243"/>
      <c r="L347" s="4243"/>
      <c r="M347" s="4243"/>
      <c r="N347" s="117" t="s">
        <v>2237</v>
      </c>
      <c r="O347" s="879"/>
      <c r="P347" s="878"/>
    </row>
    <row r="348" spans="1:20" ht="3" customHeight="1" thickBot="1">
      <c r="C348" s="4243"/>
      <c r="D348" s="4243"/>
      <c r="E348" s="4243"/>
      <c r="F348" s="4243"/>
      <c r="G348" s="4243"/>
      <c r="H348" s="4243"/>
      <c r="I348" s="4243"/>
      <c r="J348" s="4243"/>
      <c r="K348" s="4243"/>
      <c r="L348" s="4243"/>
      <c r="M348" s="4243"/>
    </row>
    <row r="349" spans="1:20" ht="12.75" customHeight="1" thickBot="1">
      <c r="A349" s="789" t="s">
        <v>1836</v>
      </c>
      <c r="B349" s="141" t="s">
        <v>3260</v>
      </c>
      <c r="L349" s="307" t="str">
        <f>IF(O349&lt;=M349,"","* * Check Score! * *")</f>
        <v/>
      </c>
      <c r="M349" s="457">
        <v>3</v>
      </c>
      <c r="N349" s="48" t="s">
        <v>1836</v>
      </c>
      <c r="O349" s="1528"/>
      <c r="P349" s="1529"/>
      <c r="Q349" s="781" t="str">
        <f>IF(O349&lt;=M349,"","*CHECK!*")</f>
        <v/>
      </c>
      <c r="R349" s="392" t="s">
        <v>3926</v>
      </c>
      <c r="S349" s="392"/>
      <c r="T349" s="1353"/>
    </row>
    <row r="350" spans="1:20" ht="12.75" customHeight="1">
      <c r="A350" s="789"/>
      <c r="B350" s="670" t="s">
        <v>4598</v>
      </c>
      <c r="C350" s="108"/>
      <c r="D350" s="108"/>
      <c r="E350" s="108"/>
      <c r="F350" s="108"/>
      <c r="G350" s="108"/>
      <c r="H350" s="108"/>
      <c r="I350" s="108"/>
      <c r="N350"/>
      <c r="O350" s="1328"/>
      <c r="P350" s="1327"/>
      <c r="R350" s="392"/>
      <c r="S350" s="392"/>
      <c r="T350" s="1353"/>
    </row>
    <row r="351" spans="1:20" ht="12.75" customHeight="1">
      <c r="A351" s="789"/>
      <c r="B351" s="1828" t="s">
        <v>4597</v>
      </c>
      <c r="C351" s="108"/>
      <c r="D351" s="108"/>
      <c r="E351" s="108"/>
      <c r="F351" s="108"/>
      <c r="G351" s="108"/>
      <c r="H351" s="108"/>
      <c r="I351" s="108"/>
      <c r="J351" s="4620" t="s">
        <v>1843</v>
      </c>
      <c r="K351" s="4620"/>
      <c r="M351" s="4620" t="s">
        <v>1843</v>
      </c>
      <c r="N351" s="4620"/>
      <c r="O351" s="4620"/>
      <c r="P351" s="4620"/>
      <c r="R351" s="1728"/>
      <c r="S351" s="1728"/>
      <c r="T351" s="1353"/>
    </row>
    <row r="352" spans="1:20" s="36" customFormat="1" ht="12.75" customHeight="1">
      <c r="A352" s="151"/>
      <c r="B352" s="150" t="s">
        <v>4489</v>
      </c>
      <c r="C352" s="29" t="s">
        <v>1386</v>
      </c>
      <c r="I352" s="49" t="s">
        <v>2234</v>
      </c>
      <c r="J352" s="4711"/>
      <c r="K352" s="4712"/>
      <c r="L352" s="49" t="s">
        <v>2234</v>
      </c>
      <c r="M352" s="4577"/>
      <c r="N352" s="4578"/>
      <c r="O352" s="4578"/>
      <c r="P352" s="4579"/>
      <c r="R352" s="307"/>
    </row>
    <row r="353" spans="1:18" ht="12.75" customHeight="1">
      <c r="A353" s="152"/>
      <c r="B353" s="117" t="s">
        <v>2235</v>
      </c>
      <c r="C353" s="29" t="s">
        <v>3072</v>
      </c>
      <c r="I353" s="117" t="s">
        <v>2235</v>
      </c>
      <c r="J353" s="4572"/>
      <c r="K353" s="4573"/>
      <c r="L353" s="117" t="s">
        <v>2235</v>
      </c>
      <c r="M353" s="4574"/>
      <c r="N353" s="4575"/>
      <c r="O353" s="4575"/>
      <c r="P353" s="4576"/>
      <c r="R353" s="307"/>
    </row>
    <row r="354" spans="1:18" ht="12.75" customHeight="1">
      <c r="B354" s="49" t="s">
        <v>2236</v>
      </c>
      <c r="C354" s="29" t="s">
        <v>3827</v>
      </c>
      <c r="I354" s="49" t="s">
        <v>2236</v>
      </c>
      <c r="J354" s="4572"/>
      <c r="K354" s="4573"/>
      <c r="L354" s="49" t="s">
        <v>2236</v>
      </c>
      <c r="M354" s="4574"/>
      <c r="N354" s="4575"/>
      <c r="O354" s="4575"/>
      <c r="P354" s="4576"/>
      <c r="R354" s="307"/>
    </row>
    <row r="355" spans="1:18" ht="12.75" customHeight="1">
      <c r="A355" s="152"/>
      <c r="B355" s="49" t="s">
        <v>2237</v>
      </c>
      <c r="C355" s="29" t="s">
        <v>2988</v>
      </c>
      <c r="I355" s="49" t="s">
        <v>2237</v>
      </c>
      <c r="J355" s="4572"/>
      <c r="K355" s="4573"/>
      <c r="L355" s="49" t="s">
        <v>2237</v>
      </c>
      <c r="M355" s="4574"/>
      <c r="N355" s="4575"/>
      <c r="O355" s="4575"/>
      <c r="P355" s="4576"/>
      <c r="R355" s="307"/>
    </row>
    <row r="356" spans="1:18" s="36" customFormat="1" ht="12.75" customHeight="1">
      <c r="A356" s="151"/>
      <c r="B356" s="117" t="s">
        <v>2238</v>
      </c>
      <c r="C356" s="29" t="s">
        <v>2467</v>
      </c>
      <c r="I356" s="117" t="s">
        <v>2238</v>
      </c>
      <c r="J356" s="4572"/>
      <c r="K356" s="4573"/>
      <c r="L356" s="117" t="s">
        <v>2238</v>
      </c>
      <c r="M356" s="4574"/>
      <c r="N356" s="4575"/>
      <c r="O356" s="4575"/>
      <c r="P356" s="4576"/>
      <c r="R356" s="307"/>
    </row>
    <row r="357" spans="1:18" ht="12.75" customHeight="1">
      <c r="B357" s="49" t="s">
        <v>2254</v>
      </c>
      <c r="C357" s="29" t="s">
        <v>1385</v>
      </c>
      <c r="I357" s="49" t="s">
        <v>2254</v>
      </c>
      <c r="J357" s="4572"/>
      <c r="K357" s="4573"/>
      <c r="L357" s="49" t="s">
        <v>2254</v>
      </c>
      <c r="M357" s="4574"/>
      <c r="N357" s="4575"/>
      <c r="O357" s="4575"/>
      <c r="P357" s="4576"/>
      <c r="R357" s="307"/>
    </row>
    <row r="358" spans="1:18" ht="12.75" customHeight="1">
      <c r="B358" s="49" t="s">
        <v>2255</v>
      </c>
      <c r="C358" s="29" t="s">
        <v>4126</v>
      </c>
      <c r="I358" s="49" t="s">
        <v>2255</v>
      </c>
      <c r="J358" s="4572"/>
      <c r="K358" s="4573"/>
      <c r="L358" s="49" t="s">
        <v>2255</v>
      </c>
      <c r="M358" s="1504"/>
      <c r="N358" s="1505"/>
      <c r="O358" s="1505"/>
      <c r="P358" s="1506"/>
      <c r="R358" s="307"/>
    </row>
    <row r="359" spans="1:18" ht="12.75" customHeight="1">
      <c r="A359" s="152"/>
      <c r="B359" s="48" t="s">
        <v>2256</v>
      </c>
      <c r="C359" s="29" t="s">
        <v>3071</v>
      </c>
      <c r="I359" s="48" t="s">
        <v>2256</v>
      </c>
      <c r="J359" s="4572"/>
      <c r="K359" s="4573"/>
      <c r="L359" s="48" t="s">
        <v>2256</v>
      </c>
      <c r="M359" s="4574"/>
      <c r="N359" s="4575"/>
      <c r="O359" s="4575"/>
      <c r="P359" s="4576"/>
      <c r="R359" s="307"/>
    </row>
    <row r="360" spans="1:18" ht="12.75" customHeight="1">
      <c r="B360" s="48" t="s">
        <v>2257</v>
      </c>
      <c r="C360" s="29" t="s">
        <v>4490</v>
      </c>
      <c r="I360" s="48" t="s">
        <v>2257</v>
      </c>
      <c r="J360" s="4572"/>
      <c r="K360" s="4573"/>
      <c r="L360" s="48" t="s">
        <v>2257</v>
      </c>
      <c r="M360" s="4574"/>
      <c r="N360" s="4575"/>
      <c r="O360" s="4575"/>
      <c r="P360" s="4576"/>
      <c r="R360" s="307"/>
    </row>
    <row r="361" spans="1:18" ht="12.75" customHeight="1">
      <c r="B361" s="48" t="s">
        <v>3073</v>
      </c>
      <c r="C361" s="29" t="s">
        <v>3702</v>
      </c>
      <c r="I361" s="48" t="s">
        <v>3073</v>
      </c>
      <c r="J361" s="4572"/>
      <c r="K361" s="4573"/>
      <c r="L361" s="48" t="s">
        <v>3073</v>
      </c>
      <c r="M361" s="4574"/>
      <c r="N361" s="4575"/>
      <c r="O361" s="4575"/>
      <c r="P361" s="4576"/>
      <c r="R361" s="307"/>
    </row>
    <row r="362" spans="1:18" ht="12.75" customHeight="1" thickBot="1">
      <c r="B362" s="48" t="s">
        <v>4127</v>
      </c>
      <c r="C362" s="29" t="s">
        <v>4128</v>
      </c>
      <c r="I362" s="48" t="s">
        <v>4127</v>
      </c>
      <c r="J362" s="4572"/>
      <c r="K362" s="4573"/>
      <c r="L362" s="48" t="s">
        <v>4127</v>
      </c>
      <c r="M362" s="4613"/>
      <c r="N362" s="4614"/>
      <c r="O362" s="4614"/>
      <c r="P362" s="4615"/>
      <c r="R362" s="307"/>
    </row>
    <row r="363" spans="1:18" ht="12.75" customHeight="1" thickBot="1">
      <c r="B363" s="902" t="s">
        <v>4491</v>
      </c>
      <c r="H363" s="89" t="s">
        <v>2406</v>
      </c>
      <c r="J363" s="4707">
        <f>SUM(J352:K362)</f>
        <v>0</v>
      </c>
      <c r="K363" s="4708"/>
      <c r="M363" s="4707">
        <f>SUM($M352:$M362)</f>
        <v>0</v>
      </c>
      <c r="N363" s="4710"/>
      <c r="O363" s="4710"/>
      <c r="P363" s="4708"/>
      <c r="R363" s="307"/>
    </row>
    <row r="364" spans="1:18" ht="6" customHeight="1">
      <c r="M364" s="392"/>
      <c r="N364" s="392"/>
      <c r="O364" s="115"/>
      <c r="P364" s="392"/>
    </row>
    <row r="365" spans="1:18" s="36" customFormat="1" ht="12" customHeight="1">
      <c r="A365" s="35"/>
      <c r="B365" s="1129" t="s">
        <v>1841</v>
      </c>
      <c r="C365" s="399" t="s">
        <v>2405</v>
      </c>
      <c r="D365" s="230"/>
      <c r="E365" s="230"/>
      <c r="F365" s="33" t="s">
        <v>4129</v>
      </c>
      <c r="H365"/>
      <c r="I365"/>
      <c r="J365" s="4589" t="e">
        <f>#REF!</f>
        <v>#REF!</v>
      </c>
      <c r="K365" s="4590"/>
      <c r="L365" s="429"/>
      <c r="M365" s="392"/>
      <c r="N365" s="392"/>
      <c r="O365" s="864"/>
      <c r="P365" s="392"/>
    </row>
    <row r="366" spans="1:18" ht="13.5" customHeight="1">
      <c r="C366" s="230"/>
      <c r="D366" s="230"/>
      <c r="E366" s="230"/>
      <c r="F366" s="348" t="s">
        <v>4130</v>
      </c>
      <c r="J366" s="4587" t="e">
        <f>IF(J365=0,0,J363/J365)</f>
        <v>#REF!</v>
      </c>
      <c r="K366" s="4588"/>
      <c r="M366" s="4713" t="e">
        <f>IF($J365=0,0,$M363/$J365)</f>
        <v>#REF!</v>
      </c>
      <c r="N366" s="4714"/>
      <c r="O366" s="4714"/>
      <c r="P366" s="4715"/>
    </row>
    <row r="367" spans="1:18" s="36" customFormat="1" ht="12.75" customHeight="1">
      <c r="C367" s="230"/>
      <c r="D367" s="230"/>
      <c r="E367" s="230"/>
      <c r="F367" s="44" t="s">
        <v>4131</v>
      </c>
      <c r="I367"/>
      <c r="J367" s="4584">
        <f>IF(L344="", IF($J366&gt;=30000, 3,IF($J366&gt;=20000, 2,IF($J366&gt;=10000,1,0))),0)</f>
        <v>0</v>
      </c>
      <c r="K367" s="4586"/>
      <c r="L367" s="397"/>
      <c r="M367" s="4584">
        <f>IF(R344="", IF($M366&gt;=30000, 3,IF($M366&gt;=20000, 2,IF($M366&gt;=10000,1,0))),0)</f>
        <v>0</v>
      </c>
      <c r="N367" s="4585"/>
      <c r="O367" s="4585"/>
      <c r="P367" s="4586"/>
    </row>
    <row r="368" spans="1:18" ht="9" customHeight="1" thickBot="1"/>
    <row r="369" spans="1:22" s="70" customFormat="1" ht="12.75" customHeight="1" thickBot="1">
      <c r="A369" s="671" t="s">
        <v>1838</v>
      </c>
      <c r="B369" s="153" t="s">
        <v>3074</v>
      </c>
      <c r="D369" s="32"/>
      <c r="E369" s="29"/>
      <c r="F369" s="119"/>
      <c r="H369" s="29"/>
      <c r="I369" s="119"/>
      <c r="J369" s="33"/>
      <c r="K369" s="33"/>
      <c r="L369" s="307" t="str">
        <f>IF(OR($O369=$M369,$O369=0,$O369=""),"","* * Check Score! * *")</f>
        <v/>
      </c>
      <c r="M369" s="457">
        <v>1</v>
      </c>
      <c r="N369" s="48" t="s">
        <v>1838</v>
      </c>
      <c r="O369" s="882"/>
      <c r="P369" s="866"/>
      <c r="Q369" s="778" t="s">
        <v>3926</v>
      </c>
      <c r="V369" s="828"/>
    </row>
    <row r="370" spans="1:22" s="36" customFormat="1" ht="22.5" customHeight="1">
      <c r="A370" s="107"/>
      <c r="B370" s="349" t="s">
        <v>1839</v>
      </c>
      <c r="C370" s="4243" t="s">
        <v>4492</v>
      </c>
      <c r="D370" s="4243"/>
      <c r="E370" s="4243"/>
      <c r="F370" s="4243"/>
      <c r="G370" s="4243"/>
      <c r="H370" s="4243"/>
      <c r="I370" s="4243"/>
      <c r="J370" s="4243"/>
      <c r="K370" s="4243"/>
      <c r="L370" s="4243"/>
      <c r="M370" s="4243"/>
      <c r="N370" s="373" t="s">
        <v>1839</v>
      </c>
      <c r="O370" s="821"/>
      <c r="P370" s="1493"/>
      <c r="V370" s="828"/>
    </row>
    <row r="371" spans="1:22" s="36" customFormat="1" ht="12.75" customHeight="1">
      <c r="A371" s="107"/>
      <c r="B371" s="306" t="s">
        <v>1841</v>
      </c>
      <c r="C371" s="29" t="s">
        <v>3186</v>
      </c>
      <c r="D371" s="29"/>
      <c r="E371" s="29"/>
      <c r="F371" s="29"/>
      <c r="G371" s="29"/>
      <c r="H371" s="29"/>
      <c r="I371" s="29"/>
      <c r="J371" s="29"/>
      <c r="K371" s="29"/>
      <c r="M371" s="29"/>
      <c r="N371" s="347" t="s">
        <v>1841</v>
      </c>
      <c r="O371" s="299"/>
      <c r="P371" s="419"/>
      <c r="V371" s="828"/>
    </row>
    <row r="372" spans="1:22" ht="12.75" customHeight="1">
      <c r="B372" s="306" t="s">
        <v>2326</v>
      </c>
      <c r="C372" s="44" t="s">
        <v>3703</v>
      </c>
      <c r="N372" s="347" t="s">
        <v>2326</v>
      </c>
      <c r="O372" s="176"/>
      <c r="P372" s="420"/>
    </row>
    <row r="373" spans="1:22" ht="12" customHeight="1" thickBot="1">
      <c r="B373" s="920" t="s">
        <v>3158</v>
      </c>
    </row>
    <row r="374" spans="1:22" s="36" customFormat="1" ht="21.75" customHeight="1" thickTop="1" thickBot="1">
      <c r="A374" s="4561"/>
      <c r="B374" s="4562"/>
      <c r="C374" s="4562"/>
      <c r="D374" s="4562"/>
      <c r="E374" s="4562"/>
      <c r="F374" s="4562"/>
      <c r="G374" s="4562"/>
      <c r="H374" s="4562"/>
      <c r="I374" s="4562"/>
      <c r="J374" s="4562"/>
      <c r="K374" s="4562"/>
      <c r="L374" s="4562"/>
      <c r="M374" s="4562"/>
      <c r="N374" s="4562"/>
      <c r="O374" s="4562"/>
      <c r="P374" s="4563"/>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4412"/>
      <c r="B376" s="4413"/>
      <c r="C376" s="4413"/>
      <c r="D376" s="4413"/>
      <c r="E376" s="4413"/>
      <c r="F376" s="4413"/>
      <c r="G376" s="4413"/>
      <c r="H376" s="4413"/>
      <c r="I376" s="4413"/>
      <c r="J376" s="4413"/>
      <c r="K376" s="4413"/>
      <c r="L376" s="4413"/>
      <c r="M376" s="4413"/>
      <c r="N376" s="4413"/>
      <c r="O376" s="4413"/>
      <c r="P376" s="4414"/>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3289</v>
      </c>
      <c r="B378" s="83" t="s">
        <v>2463</v>
      </c>
      <c r="D378" s="33"/>
      <c r="G378" s="46" t="s">
        <v>3982</v>
      </c>
      <c r="I378" s="1454" t="s">
        <v>4142</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2989</v>
      </c>
      <c r="D380" s="3563" t="s">
        <v>3762</v>
      </c>
      <c r="E380" s="3564"/>
      <c r="F380" s="3564"/>
      <c r="G380" s="3564"/>
      <c r="H380" s="3564"/>
      <c r="I380" s="3565"/>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3828</v>
      </c>
      <c r="C382" s="108"/>
      <c r="D382" s="108"/>
      <c r="E382" s="108"/>
      <c r="F382" s="108"/>
      <c r="G382" s="108"/>
      <c r="H382" s="108"/>
      <c r="I382" s="108"/>
      <c r="M382" s="1740">
        <v>2</v>
      </c>
      <c r="N382" s="128" t="s">
        <v>1836</v>
      </c>
      <c r="O382" s="458"/>
      <c r="P382" s="1014"/>
      <c r="Q382" s="781" t="str">
        <f>IF(OR($O382=$M382,$O382=0,$O382=""),"","*CHECK!*")</f>
        <v/>
      </c>
      <c r="R382" s="778" t="s">
        <v>3926</v>
      </c>
    </row>
    <row r="383" spans="1:22" s="331" customFormat="1" ht="12" customHeight="1">
      <c r="A383" s="330"/>
      <c r="B383" s="4401" t="s">
        <v>4493</v>
      </c>
      <c r="C383" s="4401"/>
      <c r="D383" s="4401"/>
      <c r="E383" s="4401"/>
      <c r="F383" s="4401"/>
      <c r="G383" s="4401"/>
      <c r="H383" s="4401"/>
      <c r="I383" s="4401"/>
      <c r="J383" s="4401"/>
      <c r="K383" s="4401"/>
      <c r="L383" s="4401"/>
      <c r="M383" s="4612" t="s">
        <v>3763</v>
      </c>
      <c r="N383" s="4612"/>
      <c r="Q383" s="147"/>
    </row>
    <row r="384" spans="1:22" s="331" customFormat="1" ht="12" customHeight="1">
      <c r="B384" s="4401"/>
      <c r="C384" s="4401"/>
      <c r="D384" s="4401"/>
      <c r="E384" s="4401"/>
      <c r="F384" s="4401"/>
      <c r="G384" s="4401"/>
      <c r="H384" s="4401"/>
      <c r="I384" s="4401"/>
      <c r="J384" s="4401"/>
      <c r="K384" s="4401"/>
      <c r="L384" s="4401"/>
      <c r="M384" s="4612"/>
      <c r="N384" s="4612"/>
      <c r="O384" s="4618" t="e">
        <f>#REF!</f>
        <v>#REF!</v>
      </c>
      <c r="P384" s="4619"/>
      <c r="Q384" s="147"/>
    </row>
    <row r="385" spans="1:19" s="331" customFormat="1" ht="12" customHeight="1">
      <c r="B385" s="4401"/>
      <c r="C385" s="4401"/>
      <c r="D385" s="4401"/>
      <c r="E385" s="4401"/>
      <c r="F385" s="4401"/>
      <c r="G385" s="4401"/>
      <c r="H385" s="4401"/>
      <c r="I385" s="4401"/>
      <c r="J385" s="4401"/>
      <c r="K385" s="4401"/>
      <c r="L385" s="4401"/>
      <c r="M385" s="241" t="s">
        <v>2511</v>
      </c>
      <c r="N385" s="332"/>
      <c r="O385" s="4616" t="e">
        <f>#REF!</f>
        <v>#REF!</v>
      </c>
      <c r="P385" s="4617"/>
      <c r="Q385" s="147"/>
    </row>
    <row r="386" spans="1:19" s="331" customFormat="1" ht="12" customHeight="1">
      <c r="B386" s="4609"/>
      <c r="C386" s="4609"/>
      <c r="D386" s="4609"/>
      <c r="E386" s="4609"/>
      <c r="F386" s="4609"/>
      <c r="G386" s="4609"/>
      <c r="H386" s="4609"/>
      <c r="I386" s="4609"/>
      <c r="J386" s="4609"/>
      <c r="K386" s="4609"/>
      <c r="L386" s="4609"/>
      <c r="M386" s="1130" t="s">
        <v>2512</v>
      </c>
      <c r="N386" s="332"/>
      <c r="O386" s="4610" t="e">
        <f>IF(O385=0,0,O384/O385)</f>
        <v>#REF!</v>
      </c>
      <c r="P386" s="4611"/>
      <c r="Q386" s="147"/>
    </row>
    <row r="387" spans="1:19" s="36" customFormat="1" ht="105.75" customHeight="1">
      <c r="A387" s="410"/>
      <c r="B387" s="4390" t="s">
        <v>3327</v>
      </c>
      <c r="C387" s="4391"/>
      <c r="D387" s="4391"/>
      <c r="E387" s="4391"/>
      <c r="F387" s="4391"/>
      <c r="G387" s="4391"/>
      <c r="H387" s="4391"/>
      <c r="I387" s="4391"/>
      <c r="J387" s="4391"/>
      <c r="K387" s="4391"/>
      <c r="L387" s="4391"/>
      <c r="M387" s="4391"/>
      <c r="N387" s="4391"/>
      <c r="O387" s="4391"/>
      <c r="P387" s="4392"/>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3326</v>
      </c>
      <c r="B389" s="100" t="s">
        <v>3829</v>
      </c>
      <c r="C389" s="108"/>
      <c r="H389" s="108"/>
      <c r="M389" s="332">
        <v>2</v>
      </c>
      <c r="N389" s="128" t="s">
        <v>1838</v>
      </c>
      <c r="O389" s="458"/>
      <c r="P389" s="1014"/>
      <c r="Q389" s="781" t="str">
        <f>IF(OR($O389=$M389,$O389=0,$O389=""),"","*CHECK!*")</f>
        <v/>
      </c>
      <c r="R389" s="778" t="s">
        <v>3926</v>
      </c>
    </row>
    <row r="390" spans="1:19" s="331" customFormat="1" ht="11.25" customHeight="1">
      <c r="A390" s="411"/>
      <c r="B390" s="108" t="s">
        <v>4494</v>
      </c>
      <c r="C390" s="108"/>
      <c r="D390" s="108"/>
      <c r="E390" s="108"/>
      <c r="F390" s="108"/>
      <c r="G390" s="108"/>
      <c r="H390" s="108"/>
      <c r="I390" s="108"/>
      <c r="J390" s="108"/>
      <c r="K390" s="108"/>
      <c r="L390" s="108"/>
      <c r="Q390" s="147"/>
    </row>
    <row r="391" spans="1:19" s="331" customFormat="1" ht="11.25" customHeight="1">
      <c r="A391" s="411"/>
      <c r="E391" s="1734"/>
      <c r="G391" s="1175" t="s">
        <v>3704</v>
      </c>
      <c r="H391" s="1736" t="e">
        <f>#REF!</f>
        <v>#REF!</v>
      </c>
      <c r="I391" s="930" t="s">
        <v>2511</v>
      </c>
      <c r="J391" s="409" t="e">
        <f>#REF!</f>
        <v>#REF!</v>
      </c>
      <c r="K391" s="1738" t="s">
        <v>2512</v>
      </c>
      <c r="L391" s="1737" t="e">
        <f>IF(J391=0,0,H391/J391)</f>
        <v>#REF!</v>
      </c>
      <c r="N391" s="1735"/>
      <c r="Q391" s="147"/>
    </row>
    <row r="392" spans="1:19" s="36" customFormat="1" ht="11.25" customHeight="1" thickBot="1">
      <c r="A392" s="35"/>
      <c r="B392" s="920" t="s">
        <v>3158</v>
      </c>
      <c r="C392" s="35"/>
      <c r="D392" s="41"/>
      <c r="E392" s="41"/>
      <c r="F392" s="41"/>
      <c r="G392" s="41"/>
      <c r="H392" s="29"/>
      <c r="I392" s="29"/>
      <c r="J392" s="29"/>
      <c r="K392" s="29"/>
      <c r="M392" s="39"/>
      <c r="N392" s="47"/>
      <c r="O392" s="3"/>
      <c r="P392" s="24"/>
    </row>
    <row r="393" spans="1:19" s="36" customFormat="1" ht="73.5" customHeight="1" thickTop="1" thickBot="1">
      <c r="A393" s="4561"/>
      <c r="B393" s="4562"/>
      <c r="C393" s="4562"/>
      <c r="D393" s="4562"/>
      <c r="E393" s="4562"/>
      <c r="F393" s="4562"/>
      <c r="G393" s="4562"/>
      <c r="H393" s="4562"/>
      <c r="I393" s="4562"/>
      <c r="J393" s="4562"/>
      <c r="K393" s="4562"/>
      <c r="L393" s="4562"/>
      <c r="M393" s="4562"/>
      <c r="N393" s="4562"/>
      <c r="O393" s="4562"/>
      <c r="P393" s="4563"/>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15" customHeight="1">
      <c r="A395" s="4412"/>
      <c r="B395" s="4413"/>
      <c r="C395" s="4413"/>
      <c r="D395" s="4413"/>
      <c r="E395" s="4413"/>
      <c r="F395" s="4413"/>
      <c r="G395" s="4413"/>
      <c r="H395" s="4413"/>
      <c r="I395" s="4413"/>
      <c r="J395" s="4413"/>
      <c r="K395" s="4413"/>
      <c r="L395" s="4413"/>
      <c r="M395" s="4413"/>
      <c r="N395" s="4413"/>
      <c r="O395" s="4413"/>
      <c r="P395" s="4414"/>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3290</v>
      </c>
      <c r="B397" s="83" t="s">
        <v>3905</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63">
        <v>10</v>
      </c>
      <c r="P399" s="1763">
        <v>10</v>
      </c>
      <c r="Q399" s="86"/>
    </row>
    <row r="400" spans="1:19" s="70" customFormat="1" ht="12.75" customHeight="1">
      <c r="A400" s="121"/>
      <c r="B400" s="66" t="s">
        <v>3095</v>
      </c>
      <c r="D400" s="38"/>
      <c r="E400" s="38"/>
      <c r="F400" s="32"/>
      <c r="G400" s="29"/>
      <c r="I400" s="29"/>
      <c r="J400" s="29"/>
      <c r="K400" s="29"/>
      <c r="L400" s="307"/>
      <c r="M400" s="119"/>
      <c r="N400" s="5"/>
      <c r="O400" s="886"/>
      <c r="P400" s="884"/>
      <c r="Q400" s="86"/>
    </row>
    <row r="401" spans="1:21" s="70" customFormat="1" ht="12.75" customHeight="1">
      <c r="A401" s="121"/>
      <c r="B401" s="66" t="s">
        <v>3096</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4412"/>
      <c r="B403" s="4413"/>
      <c r="C403" s="4413"/>
      <c r="D403" s="4413"/>
      <c r="E403" s="4413"/>
      <c r="F403" s="4413"/>
      <c r="G403" s="4413"/>
      <c r="H403" s="4413"/>
      <c r="I403" s="4413"/>
      <c r="J403" s="4413"/>
      <c r="K403" s="4413"/>
      <c r="L403" s="4413"/>
      <c r="M403" s="4413"/>
      <c r="N403" s="4413"/>
      <c r="O403" s="4413"/>
      <c r="P403" s="4414"/>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3291</v>
      </c>
      <c r="B405" s="83" t="s">
        <v>4495</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4496</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4497</v>
      </c>
      <c r="C407" s="26"/>
      <c r="D407" s="70"/>
      <c r="E407" s="66"/>
      <c r="F407" s="29"/>
      <c r="G407" s="29"/>
      <c r="H407" s="29"/>
      <c r="I407" s="70"/>
      <c r="J407" s="70"/>
      <c r="K407" s="31"/>
      <c r="L407" s="1859"/>
      <c r="M407" s="457">
        <v>1</v>
      </c>
      <c r="N407" s="1563" t="s">
        <v>1836</v>
      </c>
      <c r="O407" s="1252"/>
      <c r="P407" s="1253"/>
      <c r="Q407" s="781" t="str">
        <f>IF(OR($O407=$M407,$O407=0,$O407=""),"","*CHECK!*")</f>
        <v/>
      </c>
      <c r="R407" s="778" t="s">
        <v>2453</v>
      </c>
    </row>
    <row r="408" spans="1:21" s="108" customFormat="1" ht="12" customHeight="1">
      <c r="A408" s="671" t="s">
        <v>1838</v>
      </c>
      <c r="B408" s="141" t="s">
        <v>4498</v>
      </c>
      <c r="C408" s="103"/>
      <c r="D408" s="103"/>
      <c r="E408" s="103"/>
      <c r="F408" s="103"/>
      <c r="G408" s="29"/>
      <c r="H408" s="103"/>
      <c r="I408" s="103"/>
      <c r="J408" s="103"/>
      <c r="K408" s="103"/>
      <c r="L408" s="103"/>
      <c r="M408" s="457">
        <v>1</v>
      </c>
      <c r="N408" s="1563" t="s">
        <v>1838</v>
      </c>
      <c r="O408" s="405"/>
      <c r="P408" s="413"/>
      <c r="Q408" s="781" t="str">
        <f>IF(OR($O408=$M408,$O408=0,$O408=""),"","*CHECK!*")</f>
        <v/>
      </c>
      <c r="R408" s="778" t="s">
        <v>2453</v>
      </c>
    </row>
    <row r="409" spans="1:21" ht="12" customHeight="1">
      <c r="A409" s="671" t="s">
        <v>697</v>
      </c>
      <c r="B409" s="141" t="s">
        <v>4132</v>
      </c>
      <c r="C409" s="26"/>
      <c r="D409" s="26"/>
      <c r="E409" s="26"/>
      <c r="F409" s="26"/>
      <c r="G409" s="26"/>
      <c r="H409" s="26"/>
      <c r="I409" s="26"/>
      <c r="J409" s="26"/>
      <c r="K409" s="26"/>
      <c r="L409" s="26"/>
      <c r="M409" s="457">
        <v>1</v>
      </c>
      <c r="N409" s="1563" t="s">
        <v>697</v>
      </c>
      <c r="O409" s="1765"/>
      <c r="P409" s="1766"/>
      <c r="Q409" s="781" t="str">
        <f>IF(OR($O409=$M409,$O409=0,$O409=""),"","*CHECK!*")</f>
        <v/>
      </c>
      <c r="R409" s="778" t="s">
        <v>2453</v>
      </c>
      <c r="S409" s="36"/>
      <c r="T409" s="36"/>
      <c r="U409" s="36"/>
    </row>
    <row r="410" spans="1:21" s="72" customFormat="1" ht="12" customHeight="1">
      <c r="A410" s="671" t="s">
        <v>1957</v>
      </c>
      <c r="B410" s="141" t="s">
        <v>4499</v>
      </c>
      <c r="H410" s="29"/>
      <c r="M410" s="457">
        <v>2</v>
      </c>
      <c r="N410" s="1563" t="s">
        <v>1957</v>
      </c>
      <c r="O410" s="887">
        <f>O411-O412</f>
        <v>2</v>
      </c>
      <c r="P410" s="887">
        <f>P411-P412</f>
        <v>2</v>
      </c>
      <c r="Q410" s="781" t="str">
        <f>IF(OR($O410=$M410,$O410=0,$O410=""),"","*CHECK!*")</f>
        <v/>
      </c>
    </row>
    <row r="411" spans="1:21" s="70" customFormat="1" ht="12" customHeight="1">
      <c r="A411" s="121"/>
      <c r="C411" s="66" t="s">
        <v>3094</v>
      </c>
      <c r="D411" s="38"/>
      <c r="E411" s="38"/>
      <c r="I411" s="29"/>
      <c r="J411" s="29"/>
      <c r="K411" s="29"/>
      <c r="L411" s="307"/>
      <c r="M411" s="119"/>
      <c r="N411" s="5"/>
      <c r="O411" s="1831">
        <v>2</v>
      </c>
      <c r="P411" s="1831">
        <v>2</v>
      </c>
      <c r="Q411" s="86"/>
    </row>
    <row r="412" spans="1:21" s="70" customFormat="1" ht="12" customHeight="1">
      <c r="A412" s="121"/>
      <c r="C412" s="66" t="s">
        <v>3095</v>
      </c>
      <c r="D412" s="38"/>
      <c r="E412" s="38"/>
      <c r="F412" s="32"/>
      <c r="G412" s="29"/>
      <c r="I412" s="29"/>
      <c r="J412" s="29"/>
      <c r="K412" s="29"/>
      <c r="L412" s="307"/>
      <c r="M412" s="119"/>
      <c r="N412" s="5"/>
      <c r="O412" s="1764"/>
      <c r="P412" s="650"/>
      <c r="Q412" s="86"/>
      <c r="R412" s="778" t="s">
        <v>2453</v>
      </c>
    </row>
    <row r="413" spans="1:21" s="36" customFormat="1" ht="10.5" customHeight="1" thickBot="1">
      <c r="A413" s="35"/>
      <c r="B413" s="920" t="s">
        <v>3158</v>
      </c>
      <c r="C413" s="35"/>
      <c r="D413" s="41"/>
      <c r="E413" s="41"/>
      <c r="F413" s="41"/>
      <c r="G413" s="41"/>
      <c r="H413" s="29"/>
      <c r="I413" s="29"/>
      <c r="J413" s="29"/>
      <c r="K413" s="29"/>
      <c r="M413" s="39"/>
      <c r="N413" s="47"/>
      <c r="O413" s="3"/>
      <c r="P413" s="24"/>
    </row>
    <row r="414" spans="1:21" s="36" customFormat="1" ht="45.75" customHeight="1" thickTop="1" thickBot="1">
      <c r="A414" s="4561"/>
      <c r="B414" s="4562"/>
      <c r="C414" s="4562"/>
      <c r="D414" s="4562"/>
      <c r="E414" s="4562"/>
      <c r="F414" s="4562"/>
      <c r="G414" s="4562"/>
      <c r="H414" s="4562"/>
      <c r="I414" s="4562"/>
      <c r="J414" s="4562"/>
      <c r="K414" s="4562"/>
      <c r="L414" s="4562"/>
      <c r="M414" s="4562"/>
      <c r="N414" s="4562"/>
      <c r="O414" s="4562"/>
      <c r="P414" s="4563"/>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4412"/>
      <c r="B416" s="4413"/>
      <c r="C416" s="4413"/>
      <c r="D416" s="4413"/>
      <c r="E416" s="4413"/>
      <c r="F416" s="4413"/>
      <c r="G416" s="4413"/>
      <c r="H416" s="4413"/>
      <c r="I416" s="4413"/>
      <c r="J416" s="4413"/>
      <c r="K416" s="4413"/>
      <c r="L416" s="4413"/>
      <c r="M416" s="4413"/>
      <c r="N416" s="4413"/>
      <c r="O416" s="4413"/>
      <c r="P416" s="4414"/>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3292</v>
      </c>
      <c r="B418" s="83" t="s">
        <v>4133</v>
      </c>
      <c r="D418" s="38"/>
      <c r="E418" s="38"/>
      <c r="F418" s="32"/>
      <c r="L418" s="781"/>
      <c r="M418" s="119">
        <v>6</v>
      </c>
      <c r="N418" s="5"/>
      <c r="O418" s="882"/>
      <c r="P418" s="866"/>
      <c r="Q418" s="86" t="s">
        <v>415</v>
      </c>
      <c r="R418" s="778" t="s">
        <v>2453</v>
      </c>
    </row>
    <row r="419" spans="1:18" s="36" customFormat="1" ht="10.5" customHeight="1" thickBot="1">
      <c r="A419" s="35"/>
      <c r="B419" s="920" t="s">
        <v>3158</v>
      </c>
      <c r="C419" s="35"/>
      <c r="D419" s="41"/>
      <c r="E419" s="41"/>
      <c r="F419" s="41"/>
      <c r="G419" s="41"/>
      <c r="H419" s="29"/>
      <c r="I419" s="29"/>
      <c r="J419" s="29"/>
      <c r="K419" s="29"/>
      <c r="M419" s="39"/>
      <c r="N419" s="47"/>
      <c r="O419" s="3"/>
      <c r="P419" s="24"/>
    </row>
    <row r="420" spans="1:18" s="36" customFormat="1" ht="45.75" customHeight="1" thickTop="1" thickBot="1">
      <c r="A420" s="4561"/>
      <c r="B420" s="4562"/>
      <c r="C420" s="4562"/>
      <c r="D420" s="4562"/>
      <c r="E420" s="4562"/>
      <c r="F420" s="4562"/>
      <c r="G420" s="4562"/>
      <c r="H420" s="4562"/>
      <c r="I420" s="4562"/>
      <c r="J420" s="4562"/>
      <c r="K420" s="4562"/>
      <c r="L420" s="4562"/>
      <c r="M420" s="4562"/>
      <c r="N420" s="4562"/>
      <c r="O420" s="4562"/>
      <c r="P420" s="4563"/>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 customHeight="1">
      <c r="A422" s="4412"/>
      <c r="B422" s="4413"/>
      <c r="C422" s="4413"/>
      <c r="D422" s="4413"/>
      <c r="E422" s="4413"/>
      <c r="F422" s="4413"/>
      <c r="G422" s="4413"/>
      <c r="H422" s="4413"/>
      <c r="I422" s="4413"/>
      <c r="J422" s="4413"/>
      <c r="K422" s="4413"/>
      <c r="L422" s="4413"/>
      <c r="M422" s="4413"/>
      <c r="N422" s="4413"/>
      <c r="O422" s="4413"/>
      <c r="P422" s="4414"/>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3293</v>
      </c>
      <c r="B424" s="83" t="s">
        <v>4500</v>
      </c>
      <c r="D424" s="38"/>
      <c r="E424" s="38"/>
      <c r="F424" s="488"/>
      <c r="G424" s="29"/>
      <c r="L424" s="781" t="str">
        <f>IF(OR($O424=$M424,$O424=0,$O424=""),"","*CHECK!*")</f>
        <v/>
      </c>
      <c r="M424" s="119">
        <v>6</v>
      </c>
      <c r="N424" s="5"/>
      <c r="O424" s="5"/>
      <c r="P424" s="866"/>
      <c r="Q424" s="86" t="s">
        <v>415</v>
      </c>
      <c r="R424" s="778" t="s">
        <v>2453</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 customHeight="1">
      <c r="A426" s="4412"/>
      <c r="B426" s="4413"/>
      <c r="C426" s="4413"/>
      <c r="D426" s="4413"/>
      <c r="E426" s="4413"/>
      <c r="F426" s="4413"/>
      <c r="G426" s="4413"/>
      <c r="H426" s="4413"/>
      <c r="I426" s="4413"/>
      <c r="J426" s="4413"/>
      <c r="K426" s="4413"/>
      <c r="L426" s="4413"/>
      <c r="M426" s="4413"/>
      <c r="N426" s="4413"/>
      <c r="O426" s="4413"/>
      <c r="P426" s="4414"/>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3679</v>
      </c>
      <c r="B428" s="83" t="s">
        <v>4501</v>
      </c>
      <c r="D428" s="38"/>
      <c r="L428" s="781"/>
      <c r="M428" s="119">
        <v>4</v>
      </c>
      <c r="N428" s="5"/>
      <c r="O428" s="882"/>
      <c r="P428" s="866"/>
      <c r="Q428" s="86" t="s">
        <v>415</v>
      </c>
      <c r="R428" s="778" t="s">
        <v>2453</v>
      </c>
    </row>
    <row r="429" spans="1:18" s="36" customFormat="1" ht="10.5" customHeight="1" thickBot="1">
      <c r="A429" s="35"/>
      <c r="B429" s="920" t="s">
        <v>3158</v>
      </c>
      <c r="C429" s="35"/>
      <c r="D429" s="41"/>
      <c r="E429" s="41"/>
      <c r="F429" s="41"/>
      <c r="G429" s="41"/>
      <c r="H429" s="29"/>
      <c r="I429" s="29"/>
      <c r="J429" s="29"/>
      <c r="K429" s="29"/>
      <c r="M429" s="39"/>
      <c r="N429" s="47"/>
      <c r="O429" s="3"/>
      <c r="P429" s="24"/>
    </row>
    <row r="430" spans="1:18" s="36" customFormat="1" ht="45.75" customHeight="1" thickTop="1" thickBot="1">
      <c r="A430" s="4561"/>
      <c r="B430" s="4562"/>
      <c r="C430" s="4562"/>
      <c r="D430" s="4562"/>
      <c r="E430" s="4562"/>
      <c r="F430" s="4562"/>
      <c r="G430" s="4562"/>
      <c r="H430" s="4562"/>
      <c r="I430" s="4562"/>
      <c r="J430" s="4562"/>
      <c r="K430" s="4562"/>
      <c r="L430" s="4562"/>
      <c r="M430" s="4562"/>
      <c r="N430" s="4562"/>
      <c r="O430" s="4562"/>
      <c r="P430" s="4563"/>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 customHeight="1">
      <c r="A432" s="4412"/>
      <c r="B432" s="4413"/>
      <c r="C432" s="4413"/>
      <c r="D432" s="4413"/>
      <c r="E432" s="4413"/>
      <c r="F432" s="4413"/>
      <c r="G432" s="4413"/>
      <c r="H432" s="4413"/>
      <c r="I432" s="4413"/>
      <c r="J432" s="4413"/>
      <c r="K432" s="4413"/>
      <c r="L432" s="4413"/>
      <c r="M432" s="4413"/>
      <c r="N432" s="4413"/>
      <c r="O432" s="4413"/>
      <c r="P432" s="4414"/>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4446</v>
      </c>
      <c r="B434" s="83" t="s">
        <v>4502</v>
      </c>
      <c r="D434" s="38"/>
      <c r="G434" s="46" t="s">
        <v>3982</v>
      </c>
      <c r="L434" s="781" t="str">
        <f>IF(OR($O434&lt;=$M434,$O434=0,$O434=""),"","*CHECK!*")</f>
        <v/>
      </c>
      <c r="M434" s="119">
        <v>6</v>
      </c>
      <c r="N434" s="5"/>
      <c r="O434" s="851">
        <f>IF(SUM(O435:O436)&gt;$M$434,"Check",SUM(O435:O436))</f>
        <v>0</v>
      </c>
      <c r="P434" s="851">
        <f>IF(SUM(P435:P436)&gt;$M$434,"Check",SUM(P435:P436))</f>
        <v>0</v>
      </c>
      <c r="Q434" s="86" t="s">
        <v>415</v>
      </c>
      <c r="R434" s="778" t="s">
        <v>2453</v>
      </c>
    </row>
    <row r="435" spans="1:27" s="36" customFormat="1" ht="12" customHeight="1">
      <c r="A435" s="671" t="s">
        <v>1836</v>
      </c>
      <c r="B435" s="141" t="s">
        <v>4030</v>
      </c>
      <c r="C435"/>
      <c r="E435" s="67"/>
      <c r="F435" s="29"/>
      <c r="G435" s="29"/>
      <c r="H435" s="29"/>
      <c r="K435" s="31"/>
      <c r="L435" s="45"/>
      <c r="M435" s="457">
        <v>6</v>
      </c>
      <c r="N435" s="1563" t="s">
        <v>1836</v>
      </c>
      <c r="O435" s="1741"/>
      <c r="P435" s="1742"/>
      <c r="Q435" s="781" t="str">
        <f>IF(OR($O435&lt;=$M435,$O435=0,$O435=""),"","*CHECK!*")</f>
        <v/>
      </c>
      <c r="R435" s="778" t="s">
        <v>2453</v>
      </c>
    </row>
    <row r="436" spans="1:27" s="108" customFormat="1" ht="12" customHeight="1">
      <c r="A436" s="1739" t="s">
        <v>1838</v>
      </c>
      <c r="B436" s="880" t="s">
        <v>4031</v>
      </c>
      <c r="C436" s="456"/>
      <c r="D436" s="456"/>
      <c r="E436" s="456"/>
      <c r="F436" s="456"/>
      <c r="H436" s="456"/>
      <c r="I436" s="456"/>
      <c r="J436" s="103"/>
      <c r="K436" s="103"/>
      <c r="L436" s="103"/>
      <c r="M436" s="457">
        <v>4</v>
      </c>
      <c r="N436" s="1563" t="s">
        <v>1838</v>
      </c>
      <c r="O436" s="406"/>
      <c r="P436" s="414"/>
      <c r="Q436" s="781" t="str">
        <f>IF(OR($O436&lt;=$M436,$O436=0,$O436=""),"","*CHECK!*")</f>
        <v/>
      </c>
      <c r="R436" s="778" t="s">
        <v>2453</v>
      </c>
    </row>
    <row r="437" spans="1:27" s="36" customFormat="1" ht="10.5" customHeight="1" thickBot="1">
      <c r="A437" s="35"/>
      <c r="B437" s="920" t="s">
        <v>3158</v>
      </c>
      <c r="C437" s="35"/>
      <c r="D437" s="41"/>
      <c r="E437" s="41"/>
      <c r="F437" s="41"/>
      <c r="G437" s="41"/>
      <c r="H437" s="29"/>
      <c r="I437" s="29"/>
      <c r="J437" s="29"/>
      <c r="K437" s="29"/>
      <c r="M437" s="39"/>
      <c r="N437" s="47"/>
      <c r="O437" s="3"/>
      <c r="P437" s="24"/>
    </row>
    <row r="438" spans="1:27" s="36" customFormat="1" ht="45.75" customHeight="1" thickTop="1" thickBot="1">
      <c r="A438" s="4561"/>
      <c r="B438" s="4562"/>
      <c r="C438" s="4562"/>
      <c r="D438" s="4562"/>
      <c r="E438" s="4562"/>
      <c r="F438" s="4562"/>
      <c r="G438" s="4562"/>
      <c r="H438" s="4562"/>
      <c r="I438" s="4562"/>
      <c r="J438" s="4562"/>
      <c r="K438" s="4562"/>
      <c r="L438" s="4562"/>
      <c r="M438" s="4562"/>
      <c r="N438" s="4562"/>
      <c r="O438" s="4562"/>
      <c r="P438" s="4563"/>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4412"/>
      <c r="B440" s="4413"/>
      <c r="C440" s="4413"/>
      <c r="D440" s="4413"/>
      <c r="E440" s="4413"/>
      <c r="F440" s="4413"/>
      <c r="G440" s="4413"/>
      <c r="H440" s="4413"/>
      <c r="I440" s="4413"/>
      <c r="J440" s="4413"/>
      <c r="K440" s="4413"/>
      <c r="L440" s="4413"/>
      <c r="M440" s="4413"/>
      <c r="N440" s="4413"/>
      <c r="O440" s="4413"/>
      <c r="P440" s="4414"/>
      <c r="Q440" s="354"/>
      <c r="R440" s="354"/>
    </row>
    <row r="441" spans="1:27" ht="13.5" customHeight="1" thickBot="1">
      <c r="Q441" s="4489" t="s">
        <v>4627</v>
      </c>
      <c r="R441" s="4489"/>
      <c r="S441" s="4489"/>
      <c r="T441" s="4489"/>
      <c r="U441" s="4489"/>
      <c r="V441" s="4489"/>
      <c r="W441" s="4489"/>
      <c r="X441" s="4489"/>
      <c r="Y441" s="4489"/>
      <c r="Z441" s="4489"/>
      <c r="AA441" s="4489"/>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489"/>
      <c r="R442" s="4489"/>
      <c r="S442" s="4489"/>
      <c r="T442" s="4489"/>
      <c r="U442" s="4489"/>
      <c r="V442" s="4489"/>
      <c r="W442" s="4489"/>
      <c r="X442" s="4489"/>
      <c r="Y442" s="4489"/>
      <c r="Z442" s="4489"/>
      <c r="AA442" s="4489"/>
    </row>
    <row r="443" spans="1:27" s="36" customFormat="1" ht="15" thickTop="1">
      <c r="A443" s="35"/>
      <c r="C443" s="870"/>
      <c r="D443" s="870"/>
      <c r="E443" s="870"/>
      <c r="F443" s="870"/>
      <c r="G443" s="870"/>
      <c r="H443" s="870"/>
      <c r="I443" s="870"/>
      <c r="J443" s="870"/>
      <c r="K443" s="870"/>
      <c r="L443" s="870"/>
      <c r="M443" s="870"/>
      <c r="N443" s="870"/>
      <c r="O443" s="870"/>
      <c r="P443" s="870"/>
      <c r="Q443" s="4489"/>
      <c r="R443" s="4489"/>
      <c r="S443" s="4489"/>
      <c r="T443" s="4489"/>
      <c r="U443" s="4489"/>
      <c r="V443" s="4489"/>
      <c r="W443" s="4489"/>
      <c r="X443" s="4489"/>
      <c r="Y443" s="4489"/>
      <c r="Z443" s="4489"/>
      <c r="AA443" s="4489"/>
    </row>
    <row r="444" spans="1:27" s="115" customFormat="1" ht="6.75" customHeight="1">
      <c r="A444" s="36"/>
      <c r="B444" s="50"/>
      <c r="C444" s="36"/>
      <c r="F444" s="33"/>
      <c r="G444" s="33"/>
      <c r="H444" s="51"/>
      <c r="I444" s="51"/>
      <c r="L444" s="36"/>
      <c r="N444" s="119"/>
      <c r="O444" s="119"/>
      <c r="P444" s="3"/>
      <c r="Q444" s="4489"/>
      <c r="R444" s="4489"/>
      <c r="S444" s="4489"/>
      <c r="T444" s="4489"/>
      <c r="U444" s="4489"/>
      <c r="V444" s="4489"/>
      <c r="W444" s="4489"/>
      <c r="X444" s="4489"/>
      <c r="Y444" s="4489"/>
      <c r="Z444" s="4489"/>
      <c r="AA444" s="4489"/>
    </row>
    <row r="445" spans="1:27" s="36" customFormat="1" ht="22.5" customHeight="1">
      <c r="A445" s="4709" t="s">
        <v>4582</v>
      </c>
      <c r="B445" s="4709"/>
      <c r="C445" s="4709"/>
      <c r="D445" s="4709"/>
      <c r="E445" s="4709"/>
      <c r="F445" s="4709"/>
      <c r="G445" s="4709"/>
      <c r="H445" s="4709"/>
      <c r="I445" s="4709"/>
      <c r="J445" s="4709"/>
      <c r="K445" s="4709"/>
      <c r="L445" s="4709"/>
      <c r="M445" s="4709"/>
      <c r="N445" s="4709"/>
      <c r="O445" s="4709"/>
      <c r="P445" s="4709"/>
      <c r="Q445" s="4489"/>
      <c r="R445" s="4489"/>
      <c r="S445" s="4489"/>
      <c r="T445" s="4489"/>
      <c r="U445" s="4489"/>
      <c r="V445" s="4489"/>
      <c r="W445" s="4489"/>
      <c r="X445" s="4489"/>
      <c r="Y445" s="4489"/>
      <c r="Z445" s="4489"/>
      <c r="AA445" s="4489"/>
    </row>
    <row r="446" spans="1:27" s="36" customFormat="1" ht="409.15" customHeight="1">
      <c r="A446" s="4240"/>
      <c r="B446" s="4241"/>
      <c r="C446" s="4241"/>
      <c r="D446" s="4241"/>
      <c r="E446" s="4241"/>
      <c r="F446" s="4241"/>
      <c r="G446" s="4241"/>
      <c r="H446" s="4241"/>
      <c r="I446" s="4241"/>
      <c r="J446" s="4241"/>
      <c r="K446" s="4241"/>
      <c r="L446" s="4241"/>
      <c r="M446" s="4241"/>
      <c r="N446" s="4241"/>
      <c r="O446" s="4241"/>
      <c r="P446" s="4242"/>
      <c r="Q446" s="1854"/>
      <c r="R446" s="1854"/>
      <c r="S446" s="1854"/>
      <c r="T446" s="1854"/>
      <c r="U446" s="1854"/>
      <c r="V446" s="1854"/>
      <c r="W446" s="1854"/>
      <c r="X446" s="1854"/>
      <c r="Y446" s="1854"/>
    </row>
    <row r="447" spans="1:27" s="115" customFormat="1" ht="12.5">
      <c r="C447" s="68" t="s">
        <v>1934</v>
      </c>
      <c r="D447" s="68"/>
      <c r="E447" s="68"/>
      <c r="F447" s="68"/>
      <c r="G447" s="68"/>
      <c r="H447" s="68"/>
      <c r="I447" s="68"/>
      <c r="J447" s="379" t="s">
        <v>1535</v>
      </c>
      <c r="K447" s="68"/>
      <c r="L447" s="68"/>
      <c r="M447" s="68"/>
      <c r="N447" s="865"/>
      <c r="O447" s="2011"/>
      <c r="P447" s="2011"/>
      <c r="Q447" s="230"/>
      <c r="R447" s="230"/>
      <c r="S447" s="230"/>
      <c r="T447" s="1854"/>
      <c r="U447" s="1854"/>
      <c r="V447" s="1854"/>
      <c r="W447" s="1854"/>
      <c r="X447" s="1854"/>
      <c r="Y447" s="1854"/>
    </row>
    <row r="448" spans="1:27" s="115" customFormat="1" ht="12.5">
      <c r="C448" s="68" t="s">
        <v>1935</v>
      </c>
      <c r="D448" s="68"/>
      <c r="E448" s="68"/>
      <c r="F448" s="68"/>
      <c r="G448" s="68"/>
      <c r="H448" s="68"/>
      <c r="I448" s="68"/>
      <c r="J448" s="379" t="s">
        <v>1536</v>
      </c>
      <c r="K448" s="68"/>
      <c r="L448" s="68"/>
      <c r="M448" s="68"/>
      <c r="N448" s="865"/>
      <c r="O448" s="2011"/>
      <c r="P448" s="2011"/>
      <c r="Q448" s="68"/>
    </row>
    <row r="449" spans="3:17" s="115" customFormat="1" ht="12.5">
      <c r="C449" s="68" t="s">
        <v>1936</v>
      </c>
      <c r="D449" s="68"/>
      <c r="E449" s="68"/>
      <c r="F449" s="68"/>
      <c r="G449" s="68"/>
      <c r="H449" s="68"/>
      <c r="I449" s="68"/>
      <c r="J449" s="379" t="s">
        <v>2300</v>
      </c>
      <c r="K449" s="68"/>
      <c r="L449" s="68"/>
      <c r="M449" s="68"/>
      <c r="N449" s="865"/>
      <c r="O449" s="2011"/>
      <c r="P449" s="2011"/>
      <c r="Q449" s="68"/>
    </row>
    <row r="450" spans="3:17" s="115" customFormat="1" ht="12.5">
      <c r="C450" s="68" t="s">
        <v>1937</v>
      </c>
      <c r="D450" s="68"/>
      <c r="E450" s="68"/>
      <c r="F450" s="68"/>
      <c r="G450" s="68"/>
      <c r="H450" s="68"/>
      <c r="I450" s="68"/>
      <c r="J450" s="379" t="s">
        <v>1537</v>
      </c>
      <c r="K450" s="68"/>
      <c r="L450" s="68"/>
      <c r="M450" s="68"/>
      <c r="N450" s="865"/>
      <c r="O450" s="2011"/>
      <c r="P450" s="2011"/>
      <c r="Q450" s="68"/>
    </row>
    <row r="451" spans="3:17" s="115" customFormat="1" ht="12.5">
      <c r="C451" s="68"/>
      <c r="D451" s="68"/>
      <c r="E451" s="68"/>
      <c r="F451" s="68"/>
      <c r="G451" s="68"/>
      <c r="H451" s="68"/>
      <c r="I451" s="68"/>
      <c r="J451" s="379" t="s">
        <v>1538</v>
      </c>
      <c r="K451" s="68"/>
      <c r="L451" s="68"/>
      <c r="M451" s="68"/>
      <c r="N451" s="865"/>
      <c r="O451" s="2011"/>
      <c r="P451" s="2011"/>
      <c r="Q451" s="68"/>
    </row>
    <row r="452" spans="3:17" s="115" customFormat="1" ht="12.5">
      <c r="C452" s="68" t="s">
        <v>1641</v>
      </c>
      <c r="D452" s="68"/>
      <c r="E452" s="68"/>
      <c r="F452" s="68"/>
      <c r="G452" s="68"/>
      <c r="H452" s="68"/>
      <c r="I452" s="68"/>
      <c r="J452" s="379" t="s">
        <v>1539</v>
      </c>
      <c r="K452" s="68"/>
      <c r="L452" s="68"/>
      <c r="M452" s="68"/>
      <c r="N452" s="865"/>
      <c r="O452" s="2011"/>
      <c r="P452" s="2011"/>
      <c r="Q452" s="68"/>
    </row>
    <row r="453" spans="3:17" s="115" customFormat="1" ht="12.5">
      <c r="C453" s="1333" t="s">
        <v>1310</v>
      </c>
      <c r="D453" s="68"/>
      <c r="E453" s="68"/>
      <c r="F453" s="68"/>
      <c r="G453" s="68"/>
      <c r="H453" s="68"/>
      <c r="I453" s="68"/>
      <c r="J453" s="379" t="s">
        <v>1540</v>
      </c>
      <c r="K453" s="68"/>
      <c r="L453" s="68"/>
      <c r="M453" s="68"/>
      <c r="N453" s="865"/>
      <c r="O453" s="2011"/>
      <c r="P453" s="2011"/>
      <c r="Q453" s="68"/>
    </row>
    <row r="454" spans="3:17" s="115" customFormat="1" ht="12.5">
      <c r="C454" s="1333" t="s">
        <v>1311</v>
      </c>
      <c r="D454" s="68"/>
      <c r="E454" s="68"/>
      <c r="F454" s="68"/>
      <c r="G454" s="68"/>
      <c r="H454" s="68"/>
      <c r="I454" s="68"/>
      <c r="J454" s="379" t="s">
        <v>1541</v>
      </c>
      <c r="K454" s="68"/>
      <c r="L454" s="68"/>
      <c r="M454" s="68"/>
      <c r="N454" s="865"/>
      <c r="O454" s="2011"/>
      <c r="P454" s="2011"/>
      <c r="Q454" s="68"/>
    </row>
    <row r="455" spans="3:17" s="115" customFormat="1" ht="12.5">
      <c r="C455" s="1333" t="s">
        <v>1975</v>
      </c>
      <c r="D455" s="68"/>
      <c r="E455" s="68"/>
      <c r="F455" s="68"/>
      <c r="G455" s="68"/>
      <c r="H455" s="68"/>
      <c r="I455" s="68"/>
      <c r="J455" s="379" t="s">
        <v>1542</v>
      </c>
      <c r="K455" s="68"/>
      <c r="L455" s="68"/>
      <c r="M455" s="68"/>
      <c r="N455" s="865"/>
      <c r="O455" s="2011"/>
      <c r="P455" s="2011"/>
      <c r="Q455" s="68"/>
    </row>
    <row r="456" spans="3:17" s="115" customFormat="1" ht="12.5">
      <c r="C456" s="1333" t="s">
        <v>1307</v>
      </c>
      <c r="D456" s="68"/>
      <c r="E456" s="68"/>
      <c r="F456" s="68"/>
      <c r="G456" s="68"/>
      <c r="H456" s="68"/>
      <c r="I456" s="68"/>
      <c r="J456" s="379" t="s">
        <v>548</v>
      </c>
      <c r="K456" s="68"/>
      <c r="L456" s="68"/>
      <c r="M456" s="68"/>
      <c r="N456" s="865"/>
      <c r="O456" s="2011"/>
      <c r="P456" s="2011"/>
      <c r="Q456" s="68"/>
    </row>
    <row r="457" spans="3:17" s="115" customFormat="1" ht="12.5">
      <c r="C457" s="1333" t="s">
        <v>1308</v>
      </c>
      <c r="D457" s="68"/>
      <c r="E457" s="68"/>
      <c r="F457" s="68"/>
      <c r="G457" s="68"/>
      <c r="H457" s="68"/>
      <c r="I457" s="68"/>
      <c r="J457" s="379" t="s">
        <v>1543</v>
      </c>
      <c r="K457" s="68"/>
      <c r="L457" s="68"/>
      <c r="M457" s="68"/>
      <c r="N457" s="865"/>
      <c r="O457" s="2011"/>
      <c r="P457" s="2011"/>
      <c r="Q457" s="68"/>
    </row>
    <row r="458" spans="3:17" s="115" customFormat="1" ht="12.5">
      <c r="C458" s="1333" t="s">
        <v>1970</v>
      </c>
      <c r="D458" s="68"/>
      <c r="E458" s="68"/>
      <c r="F458" s="68"/>
      <c r="G458" s="68"/>
      <c r="H458" s="68"/>
      <c r="I458" s="68"/>
      <c r="J458" s="379" t="s">
        <v>1544</v>
      </c>
      <c r="K458" s="68"/>
      <c r="L458" s="68"/>
      <c r="M458" s="68"/>
      <c r="N458" s="865"/>
      <c r="O458" s="2011"/>
      <c r="P458" s="2011"/>
      <c r="Q458" s="68"/>
    </row>
    <row r="459" spans="3:17" s="115" customFormat="1" ht="12.5">
      <c r="C459" s="1333" t="s">
        <v>1971</v>
      </c>
      <c r="D459" s="68"/>
      <c r="E459" s="68"/>
      <c r="F459" s="68"/>
      <c r="G459" s="68"/>
      <c r="H459" s="68"/>
      <c r="I459" s="68"/>
      <c r="J459" s="379" t="s">
        <v>1545</v>
      </c>
      <c r="K459" s="68"/>
      <c r="L459" s="68"/>
      <c r="M459" s="68"/>
      <c r="N459" s="865"/>
      <c r="O459" s="2011"/>
      <c r="P459" s="2011"/>
      <c r="Q459" s="68"/>
    </row>
    <row r="460" spans="3:17" s="115" customFormat="1" ht="12.5">
      <c r="C460" s="1333" t="s">
        <v>1972</v>
      </c>
      <c r="D460" s="68"/>
      <c r="E460" s="68"/>
      <c r="F460" s="68"/>
      <c r="G460" s="68"/>
      <c r="H460" s="68"/>
      <c r="I460" s="68"/>
      <c r="J460" s="379" t="s">
        <v>32</v>
      </c>
      <c r="K460" s="68"/>
      <c r="L460" s="68"/>
      <c r="M460" s="68"/>
      <c r="N460" s="865"/>
      <c r="O460" s="2011"/>
      <c r="P460" s="2011"/>
      <c r="Q460" s="68"/>
    </row>
    <row r="461" spans="3:17" s="115" customFormat="1" ht="12.5">
      <c r="C461" s="1333" t="s">
        <v>1973</v>
      </c>
      <c r="D461" s="68"/>
      <c r="E461" s="68"/>
      <c r="F461" s="68"/>
      <c r="G461" s="68"/>
      <c r="H461" s="68"/>
      <c r="I461" s="68"/>
      <c r="J461" s="68"/>
      <c r="K461" s="68"/>
      <c r="L461" s="68"/>
      <c r="M461" s="68"/>
      <c r="N461" s="865"/>
      <c r="O461" s="2011"/>
      <c r="P461" s="2011"/>
      <c r="Q461" s="68"/>
    </row>
    <row r="462" spans="3:17" s="115" customFormat="1" ht="12.5">
      <c r="C462" s="1333" t="s">
        <v>1974</v>
      </c>
      <c r="D462" s="68"/>
      <c r="E462" s="68"/>
      <c r="F462" s="68"/>
      <c r="G462" s="68"/>
      <c r="H462" s="68"/>
      <c r="I462" s="68"/>
      <c r="J462" s="2012" t="s">
        <v>2955</v>
      </c>
      <c r="K462" s="68"/>
      <c r="L462" s="68"/>
      <c r="M462" s="68"/>
      <c r="N462" s="865"/>
      <c r="O462" s="2012" t="s">
        <v>3169</v>
      </c>
      <c r="P462" s="2011"/>
      <c r="Q462" s="68"/>
    </row>
    <row r="463" spans="3:17" s="115" customFormat="1" ht="12.5">
      <c r="C463" s="1333" t="s">
        <v>1309</v>
      </c>
      <c r="D463" s="68"/>
      <c r="E463" s="68"/>
      <c r="F463" s="68"/>
      <c r="G463" s="68"/>
      <c r="H463" s="68"/>
      <c r="I463" s="68"/>
      <c r="J463" s="379" t="s">
        <v>2956</v>
      </c>
      <c r="K463" s="68"/>
      <c r="L463" s="68"/>
      <c r="M463" s="68"/>
      <c r="N463" s="865"/>
      <c r="O463" s="2011"/>
      <c r="P463" s="2011"/>
      <c r="Q463" s="68"/>
    </row>
    <row r="464" spans="3:17" s="115" customFormat="1" ht="12.5">
      <c r="C464" s="1333" t="s">
        <v>2103</v>
      </c>
      <c r="D464" s="68"/>
      <c r="E464" s="68"/>
      <c r="F464" s="68"/>
      <c r="G464" s="68"/>
      <c r="H464" s="68"/>
      <c r="I464" s="68"/>
      <c r="J464" s="68" t="s">
        <v>2940</v>
      </c>
      <c r="K464" s="68"/>
      <c r="L464" s="68"/>
      <c r="M464" s="68"/>
      <c r="N464" s="865"/>
      <c r="O464" s="2011">
        <v>2</v>
      </c>
      <c r="P464" s="2011"/>
      <c r="Q464" s="68"/>
    </row>
    <row r="465" spans="1:17" s="115" customFormat="1" ht="12.5">
      <c r="C465" s="68"/>
      <c r="D465" s="68"/>
      <c r="E465" s="68"/>
      <c r="F465" s="68"/>
      <c r="G465" s="68"/>
      <c r="H465" s="68"/>
      <c r="I465" s="68"/>
      <c r="J465" s="68" t="s">
        <v>2941</v>
      </c>
      <c r="K465" s="68"/>
      <c r="L465" s="68"/>
      <c r="M465" s="68"/>
      <c r="N465" s="865"/>
      <c r="O465" s="2011">
        <v>2</v>
      </c>
      <c r="P465" s="2011"/>
      <c r="Q465" s="68"/>
    </row>
    <row r="466" spans="1:17" s="115" customFormat="1" ht="12.5">
      <c r="C466" s="68"/>
      <c r="D466" s="68"/>
      <c r="E466" s="68"/>
      <c r="F466" s="68"/>
      <c r="G466" s="4706" t="s">
        <v>1405</v>
      </c>
      <c r="H466" s="4706"/>
      <c r="I466" s="4706"/>
      <c r="J466" s="68" t="s">
        <v>2942</v>
      </c>
      <c r="K466" s="68"/>
      <c r="L466" s="68"/>
      <c r="M466" s="68"/>
      <c r="N466" s="865"/>
      <c r="O466" s="2011">
        <v>2</v>
      </c>
      <c r="P466" s="2011"/>
      <c r="Q466" s="68"/>
    </row>
    <row r="467" spans="1:17" s="115" customFormat="1" ht="12.5">
      <c r="C467" s="68"/>
      <c r="D467" s="68"/>
      <c r="E467" s="68"/>
      <c r="F467" s="68"/>
      <c r="G467" s="1740" t="s">
        <v>3931</v>
      </c>
      <c r="H467" s="68" t="s">
        <v>3932</v>
      </c>
      <c r="I467" s="1740" t="s">
        <v>3930</v>
      </c>
      <c r="J467" s="68" t="s">
        <v>2943</v>
      </c>
      <c r="K467" s="68"/>
      <c r="L467" s="1740"/>
      <c r="M467" s="68"/>
      <c r="N467" s="865"/>
      <c r="O467" s="2011">
        <v>2</v>
      </c>
      <c r="P467" s="2011"/>
      <c r="Q467" s="68"/>
    </row>
    <row r="468" spans="1:17" s="115" customFormat="1" ht="12.5">
      <c r="C468" s="501"/>
      <c r="D468" s="68"/>
      <c r="E468" s="68"/>
      <c r="F468" s="68"/>
      <c r="G468" s="1414" t="s">
        <v>2314</v>
      </c>
      <c r="H468" s="68"/>
      <c r="I468" s="1414"/>
      <c r="J468" s="68" t="s">
        <v>3167</v>
      </c>
      <c r="K468" s="68"/>
      <c r="L468" s="1414"/>
      <c r="M468" s="68"/>
      <c r="N468" s="865"/>
      <c r="O468" s="2011">
        <v>2</v>
      </c>
      <c r="P468" s="2011"/>
      <c r="Q468" s="68"/>
    </row>
    <row r="469" spans="1:17" s="115" customFormat="1" ht="12.5">
      <c r="C469" s="501"/>
      <c r="D469" s="68"/>
      <c r="E469" s="68"/>
      <c r="F469" s="68"/>
      <c r="G469" s="1414" t="s">
        <v>435</v>
      </c>
      <c r="H469" s="865" t="s">
        <v>3934</v>
      </c>
      <c r="I469" s="1740" t="s">
        <v>2447</v>
      </c>
      <c r="J469" s="68" t="s">
        <v>2944</v>
      </c>
      <c r="K469" s="68"/>
      <c r="L469" s="501"/>
      <c r="M469" s="68"/>
      <c r="N469" s="865"/>
      <c r="O469" s="2011">
        <v>1</v>
      </c>
      <c r="P469" s="2011"/>
      <c r="Q469" s="68"/>
    </row>
    <row r="470" spans="1:17" s="115" customFormat="1" ht="12.5">
      <c r="C470" s="501"/>
      <c r="D470" s="68"/>
      <c r="E470" s="68"/>
      <c r="F470" s="68"/>
      <c r="G470" s="1414" t="s">
        <v>1652</v>
      </c>
      <c r="H470" s="865">
        <v>2020</v>
      </c>
      <c r="I470" s="865" t="s">
        <v>3933</v>
      </c>
      <c r="J470" s="68" t="s">
        <v>2945</v>
      </c>
      <c r="K470" s="68"/>
      <c r="L470" s="501"/>
      <c r="M470" s="68"/>
      <c r="N470" s="865"/>
      <c r="O470" s="2011">
        <v>1</v>
      </c>
      <c r="P470" s="2011"/>
      <c r="Q470" s="68"/>
    </row>
    <row r="471" spans="1:17" s="115" customFormat="1" ht="12.5">
      <c r="C471" s="501"/>
      <c r="D471" s="68"/>
      <c r="E471" s="68"/>
      <c r="F471" s="68"/>
      <c r="G471" s="1414" t="s">
        <v>2345</v>
      </c>
      <c r="H471" s="865" t="s">
        <v>1607</v>
      </c>
      <c r="I471" s="1740" t="s">
        <v>2447</v>
      </c>
      <c r="J471" s="68" t="s">
        <v>2946</v>
      </c>
      <c r="K471" s="68"/>
      <c r="L471" s="501"/>
      <c r="M471" s="68"/>
      <c r="N471" s="865"/>
      <c r="O471" s="2011">
        <v>1</v>
      </c>
      <c r="P471" s="2011"/>
      <c r="Q471" s="68"/>
    </row>
    <row r="472" spans="1:17" s="115" customFormat="1" ht="12.5">
      <c r="C472" s="501"/>
      <c r="D472" s="68"/>
      <c r="E472" s="68"/>
      <c r="F472" s="68"/>
      <c r="G472" s="1414" t="s">
        <v>970</v>
      </c>
      <c r="H472" s="865">
        <v>2020</v>
      </c>
      <c r="I472" s="865" t="s">
        <v>3933</v>
      </c>
      <c r="J472" s="68" t="s">
        <v>3168</v>
      </c>
      <c r="K472" s="68"/>
      <c r="L472" s="501"/>
      <c r="M472" s="68"/>
      <c r="N472" s="865"/>
      <c r="O472" s="2011">
        <v>1</v>
      </c>
      <c r="P472" s="2011"/>
      <c r="Q472" s="68"/>
    </row>
    <row r="473" spans="1:17" s="115" customFormat="1" ht="12.5">
      <c r="C473" s="501"/>
      <c r="D473" s="68"/>
      <c r="E473" s="68"/>
      <c r="F473" s="68"/>
      <c r="G473" s="1414" t="s">
        <v>3190</v>
      </c>
      <c r="H473" s="865">
        <v>2019</v>
      </c>
      <c r="I473" s="865" t="s">
        <v>3933</v>
      </c>
      <c r="J473" s="68" t="s">
        <v>2954</v>
      </c>
      <c r="K473" s="68"/>
      <c r="L473" s="501"/>
      <c r="M473" s="68"/>
      <c r="N473" s="865"/>
      <c r="O473" s="2011">
        <v>1</v>
      </c>
      <c r="P473" s="2011"/>
      <c r="Q473" s="68"/>
    </row>
    <row r="474" spans="1:17" s="115" customFormat="1" ht="12.5">
      <c r="C474" s="501"/>
      <c r="D474" s="68"/>
      <c r="E474" s="68"/>
      <c r="F474" s="68"/>
      <c r="G474" s="1414" t="s">
        <v>340</v>
      </c>
      <c r="H474" s="865" t="s">
        <v>1607</v>
      </c>
      <c r="I474" s="1740" t="s">
        <v>2447</v>
      </c>
      <c r="J474" s="68" t="s">
        <v>2947</v>
      </c>
      <c r="K474" s="68"/>
      <c r="L474" s="501"/>
      <c r="M474" s="68"/>
      <c r="N474" s="865"/>
      <c r="O474" s="2011">
        <v>1</v>
      </c>
      <c r="P474" s="2011"/>
      <c r="Q474" s="68"/>
    </row>
    <row r="475" spans="1:17" s="115" customFormat="1" ht="12.5">
      <c r="C475" s="501"/>
      <c r="D475" s="68"/>
      <c r="E475" s="68"/>
      <c r="F475" s="68"/>
      <c r="G475" s="1414" t="s">
        <v>1630</v>
      </c>
      <c r="H475" s="865">
        <v>2020</v>
      </c>
      <c r="I475" s="865" t="s">
        <v>3933</v>
      </c>
      <c r="J475" s="68" t="s">
        <v>2948</v>
      </c>
      <c r="K475" s="68"/>
      <c r="L475" s="501"/>
      <c r="M475" s="68"/>
      <c r="N475" s="865"/>
      <c r="O475" s="2011">
        <v>1</v>
      </c>
      <c r="P475" s="2011"/>
      <c r="Q475" s="68"/>
    </row>
    <row r="476" spans="1:17" s="115" customFormat="1" ht="12.5">
      <c r="C476" s="501"/>
      <c r="D476" s="68"/>
      <c r="E476" s="68"/>
      <c r="F476" s="68"/>
      <c r="G476" s="1414" t="s">
        <v>1904</v>
      </c>
      <c r="H476" s="865" t="s">
        <v>3934</v>
      </c>
      <c r="I476" s="1740" t="s">
        <v>2447</v>
      </c>
      <c r="J476" s="68" t="s">
        <v>2949</v>
      </c>
      <c r="K476" s="68"/>
      <c r="L476" s="501"/>
      <c r="M476" s="68"/>
      <c r="N476" s="865"/>
      <c r="O476" s="2011">
        <v>1</v>
      </c>
      <c r="P476" s="2011"/>
      <c r="Q476" s="68"/>
    </row>
    <row r="477" spans="1:17" s="115" customFormat="1" ht="12.5">
      <c r="C477" s="68"/>
      <c r="D477" s="68"/>
      <c r="E477" s="68"/>
      <c r="F477" s="68"/>
      <c r="G477" s="1414" t="s">
        <v>82</v>
      </c>
      <c r="H477" s="865" t="s">
        <v>3934</v>
      </c>
      <c r="I477" s="1740" t="s">
        <v>2447</v>
      </c>
      <c r="J477" s="68" t="s">
        <v>2950</v>
      </c>
      <c r="K477" s="68"/>
      <c r="L477" s="501"/>
      <c r="M477" s="68"/>
      <c r="N477" s="865"/>
      <c r="O477" s="2011">
        <v>1</v>
      </c>
      <c r="P477" s="2011"/>
      <c r="Q477" s="68"/>
    </row>
    <row r="478" spans="1:17" s="115" customFormat="1" ht="12.5">
      <c r="C478" s="68"/>
      <c r="D478" s="68"/>
      <c r="E478" s="68"/>
      <c r="F478" s="68"/>
      <c r="G478" s="1414" t="s">
        <v>836</v>
      </c>
      <c r="H478" s="865">
        <v>2019</v>
      </c>
      <c r="I478" s="865" t="s">
        <v>3933</v>
      </c>
      <c r="J478" s="68" t="s">
        <v>2953</v>
      </c>
      <c r="K478" s="68"/>
      <c r="L478" s="501"/>
      <c r="M478" s="68"/>
      <c r="N478" s="865"/>
      <c r="O478" s="2011">
        <v>1</v>
      </c>
      <c r="P478" s="2011"/>
      <c r="Q478" s="68"/>
    </row>
    <row r="479" spans="1:17" s="115" customFormat="1" ht="12.5">
      <c r="A479" s="44" t="s">
        <v>2492</v>
      </c>
      <c r="C479" s="68"/>
      <c r="D479" s="68"/>
      <c r="E479" s="68"/>
      <c r="F479" s="68"/>
      <c r="G479" s="1414" t="s">
        <v>1981</v>
      </c>
      <c r="H479" s="865" t="s">
        <v>3934</v>
      </c>
      <c r="I479" s="1740" t="s">
        <v>2447</v>
      </c>
      <c r="J479" s="68" t="s">
        <v>2951</v>
      </c>
      <c r="K479" s="68"/>
      <c r="L479" s="501"/>
      <c r="M479" s="68"/>
      <c r="N479" s="865"/>
      <c r="O479" s="2011">
        <v>1</v>
      </c>
      <c r="P479" s="2011"/>
      <c r="Q479" s="68"/>
    </row>
    <row r="480" spans="1:17" s="115" customFormat="1" ht="12.5">
      <c r="A480" s="44" t="s">
        <v>2507</v>
      </c>
      <c r="C480" s="68"/>
      <c r="D480" s="68"/>
      <c r="E480" s="68"/>
      <c r="F480" s="68"/>
      <c r="G480" s="1414" t="s">
        <v>1902</v>
      </c>
      <c r="H480" s="865">
        <v>2019</v>
      </c>
      <c r="I480" s="865" t="s">
        <v>3933</v>
      </c>
      <c r="J480" s="68" t="s">
        <v>2952</v>
      </c>
      <c r="K480" s="68"/>
      <c r="L480" s="501"/>
      <c r="M480" s="68"/>
      <c r="N480" s="865"/>
      <c r="O480" s="2011">
        <v>1</v>
      </c>
      <c r="P480" s="2011"/>
      <c r="Q480" s="68"/>
    </row>
    <row r="481" spans="1:17" s="115" customFormat="1" ht="12.5">
      <c r="A481" s="108" t="s">
        <v>2934</v>
      </c>
      <c r="C481" s="68"/>
      <c r="D481" s="501"/>
      <c r="E481" s="501">
        <v>3</v>
      </c>
      <c r="F481" s="68"/>
      <c r="G481" s="1414" t="s">
        <v>322</v>
      </c>
      <c r="H481" s="865">
        <v>2019</v>
      </c>
      <c r="I481" s="865" t="s">
        <v>3933</v>
      </c>
      <c r="J481" s="68"/>
      <c r="K481" s="68"/>
      <c r="L481" s="501"/>
      <c r="M481" s="68"/>
      <c r="N481" s="865"/>
      <c r="O481" s="2011"/>
      <c r="P481" s="2011"/>
      <c r="Q481" s="68"/>
    </row>
    <row r="482" spans="1:17" s="115" customFormat="1" ht="12.5">
      <c r="A482" s="108" t="s">
        <v>2935</v>
      </c>
      <c r="C482" s="68"/>
      <c r="D482" s="501"/>
      <c r="E482" s="501">
        <v>2</v>
      </c>
      <c r="F482" s="68"/>
      <c r="G482" s="1414" t="s">
        <v>814</v>
      </c>
      <c r="H482" s="865">
        <v>2019</v>
      </c>
      <c r="I482" s="865" t="s">
        <v>3933</v>
      </c>
      <c r="J482" s="68"/>
      <c r="K482" s="68"/>
      <c r="L482" s="501"/>
      <c r="M482" s="68"/>
      <c r="N482" s="865"/>
      <c r="O482" s="2011"/>
      <c r="P482" s="2011"/>
      <c r="Q482" s="68"/>
    </row>
    <row r="483" spans="1:17" s="115" customFormat="1" ht="12.5">
      <c r="A483" s="108" t="s">
        <v>2936</v>
      </c>
      <c r="C483" s="68"/>
      <c r="D483" s="501"/>
      <c r="E483" s="501">
        <v>10</v>
      </c>
      <c r="F483" s="68"/>
      <c r="G483" s="1414" t="s">
        <v>1784</v>
      </c>
      <c r="H483" s="865">
        <v>2019</v>
      </c>
      <c r="I483" s="865" t="s">
        <v>3933</v>
      </c>
      <c r="J483" s="399" t="s">
        <v>3178</v>
      </c>
      <c r="K483" s="68"/>
      <c r="L483" s="501"/>
      <c r="M483" s="68"/>
      <c r="N483" s="865"/>
      <c r="O483" s="2011"/>
      <c r="P483" s="2011"/>
      <c r="Q483" s="68"/>
    </row>
    <row r="484" spans="1:17" s="115" customFormat="1" ht="12.5">
      <c r="A484" s="108" t="s">
        <v>2508</v>
      </c>
      <c r="C484" s="68"/>
      <c r="D484" s="501"/>
      <c r="E484" s="501"/>
      <c r="F484" s="68"/>
      <c r="G484" s="1414" t="s">
        <v>394</v>
      </c>
      <c r="H484" s="865">
        <v>2019</v>
      </c>
      <c r="I484" s="865" t="s">
        <v>3933</v>
      </c>
      <c r="J484" s="68" t="s">
        <v>3249</v>
      </c>
      <c r="K484" s="68"/>
      <c r="L484" s="501"/>
      <c r="M484" s="68"/>
      <c r="N484" s="865"/>
      <c r="O484" s="2011"/>
      <c r="P484" s="2011"/>
      <c r="Q484" s="68"/>
    </row>
    <row r="485" spans="1:17" s="115" customFormat="1" ht="12.5">
      <c r="C485" s="501"/>
      <c r="D485" s="68"/>
      <c r="E485" s="68"/>
      <c r="F485" s="68"/>
      <c r="G485" s="1414" t="s">
        <v>920</v>
      </c>
      <c r="H485" s="865">
        <v>2020</v>
      </c>
      <c r="I485" s="865" t="s">
        <v>3933</v>
      </c>
      <c r="J485" s="68" t="s">
        <v>3244</v>
      </c>
      <c r="K485" s="68"/>
      <c r="L485" s="501"/>
      <c r="M485" s="68"/>
      <c r="N485" s="865"/>
      <c r="O485" s="2011"/>
      <c r="P485" s="2011"/>
      <c r="Q485" s="68"/>
    </row>
    <row r="486" spans="1:17" s="115" customFormat="1" ht="12.5">
      <c r="C486" s="501"/>
      <c r="D486" s="68"/>
      <c r="E486" s="68"/>
      <c r="F486" s="68"/>
      <c r="G486" s="1414" t="s">
        <v>531</v>
      </c>
      <c r="H486" s="865">
        <v>2020</v>
      </c>
      <c r="I486" s="865" t="s">
        <v>3933</v>
      </c>
      <c r="J486" s="68" t="s">
        <v>3171</v>
      </c>
      <c r="K486" s="68"/>
      <c r="L486" s="501"/>
      <c r="M486" s="68"/>
      <c r="N486" s="865"/>
      <c r="O486" s="2011"/>
      <c r="P486" s="2011"/>
      <c r="Q486" s="68"/>
    </row>
    <row r="487" spans="1:17" s="115" customFormat="1" ht="12.5">
      <c r="C487" s="501"/>
      <c r="D487" s="68"/>
      <c r="E487" s="68"/>
      <c r="F487" s="68"/>
      <c r="G487" s="1414" t="s">
        <v>808</v>
      </c>
      <c r="H487" s="865" t="s">
        <v>3934</v>
      </c>
      <c r="I487" s="1740" t="s">
        <v>2447</v>
      </c>
      <c r="J487" s="68" t="s">
        <v>3240</v>
      </c>
      <c r="K487" s="68"/>
      <c r="L487" s="501"/>
      <c r="M487" s="68"/>
      <c r="N487" s="865"/>
      <c r="O487" s="2011"/>
      <c r="P487" s="2011"/>
      <c r="Q487" s="68"/>
    </row>
    <row r="488" spans="1:17" s="115" customFormat="1" ht="12.5">
      <c r="C488" s="501"/>
      <c r="D488" s="68"/>
      <c r="E488" s="68"/>
      <c r="F488" s="68"/>
      <c r="G488" s="1414" t="s">
        <v>2937</v>
      </c>
      <c r="H488" s="865">
        <v>2019</v>
      </c>
      <c r="I488" s="865" t="s">
        <v>3933</v>
      </c>
      <c r="J488" s="68" t="s">
        <v>3172</v>
      </c>
      <c r="K488" s="68"/>
      <c r="L488" s="501"/>
      <c r="M488" s="68"/>
      <c r="N488" s="865"/>
      <c r="O488" s="2011"/>
      <c r="P488" s="2011"/>
      <c r="Q488" s="68"/>
    </row>
    <row r="489" spans="1:17" s="115" customFormat="1" ht="12.5">
      <c r="C489" s="68"/>
      <c r="D489" s="68"/>
      <c r="E489" s="68"/>
      <c r="F489" s="68"/>
      <c r="G489" s="1414" t="s">
        <v>763</v>
      </c>
      <c r="H489" s="865">
        <v>2019</v>
      </c>
      <c r="I489" s="865" t="s">
        <v>3933</v>
      </c>
      <c r="J489" s="68" t="s">
        <v>3241</v>
      </c>
      <c r="K489" s="68"/>
      <c r="L489" s="501"/>
      <c r="M489" s="68"/>
      <c r="N489" s="865"/>
      <c r="O489" s="2011"/>
      <c r="P489" s="2011"/>
      <c r="Q489" s="68"/>
    </row>
    <row r="490" spans="1:17" s="115" customFormat="1" ht="12.5">
      <c r="C490" s="68"/>
      <c r="D490" s="68"/>
      <c r="E490" s="68"/>
      <c r="F490" s="68"/>
      <c r="G490" s="1414" t="s">
        <v>172</v>
      </c>
      <c r="H490" s="865">
        <v>2019</v>
      </c>
      <c r="I490" s="865" t="s">
        <v>3933</v>
      </c>
      <c r="J490" s="68" t="s">
        <v>3173</v>
      </c>
      <c r="K490" s="68"/>
      <c r="L490" s="68"/>
      <c r="M490" s="68"/>
      <c r="N490" s="865"/>
      <c r="O490" s="2011"/>
      <c r="P490" s="2011"/>
      <c r="Q490" s="68"/>
    </row>
    <row r="491" spans="1:17" s="115" customFormat="1" ht="12.5">
      <c r="C491" s="68"/>
      <c r="D491" s="68"/>
      <c r="E491" s="68"/>
      <c r="F491" s="68"/>
      <c r="G491" s="1414" t="s">
        <v>3258</v>
      </c>
      <c r="H491" s="865" t="s">
        <v>3934</v>
      </c>
      <c r="I491" s="1740" t="s">
        <v>2447</v>
      </c>
      <c r="J491" s="68" t="s">
        <v>3242</v>
      </c>
      <c r="K491" s="68"/>
      <c r="L491" s="501"/>
      <c r="M491" s="68"/>
      <c r="N491" s="865"/>
      <c r="O491" s="2011"/>
      <c r="P491" s="2011"/>
      <c r="Q491" s="68"/>
    </row>
    <row r="492" spans="1:17" s="115" customFormat="1" ht="12.5">
      <c r="C492" s="68"/>
      <c r="D492" s="68"/>
      <c r="E492" s="68"/>
      <c r="F492" s="68"/>
      <c r="G492" s="1414" t="s">
        <v>506</v>
      </c>
      <c r="H492" s="865">
        <v>2020</v>
      </c>
      <c r="I492" s="865" t="s">
        <v>3933</v>
      </c>
      <c r="J492" s="68" t="s">
        <v>3245</v>
      </c>
      <c r="K492" s="68"/>
      <c r="L492" s="501"/>
      <c r="M492" s="68"/>
      <c r="N492" s="865"/>
      <c r="O492" s="2011"/>
      <c r="P492" s="2011"/>
      <c r="Q492" s="68"/>
    </row>
    <row r="493" spans="1:17" s="115" customFormat="1" ht="12.5">
      <c r="C493" s="68"/>
      <c r="D493" s="68"/>
      <c r="E493" s="68"/>
      <c r="F493" s="68"/>
      <c r="G493" s="1414" t="s">
        <v>375</v>
      </c>
      <c r="H493" s="865">
        <v>2020</v>
      </c>
      <c r="I493" s="865" t="s">
        <v>3933</v>
      </c>
      <c r="J493" s="68" t="s">
        <v>3248</v>
      </c>
      <c r="K493" s="68"/>
      <c r="L493" s="68"/>
      <c r="M493" s="68"/>
      <c r="N493" s="865"/>
      <c r="O493" s="2011"/>
      <c r="P493" s="2011"/>
      <c r="Q493" s="68"/>
    </row>
    <row r="494" spans="1:17" s="115" customFormat="1" ht="12.5">
      <c r="C494" s="68"/>
      <c r="D494" s="682"/>
      <c r="E494" s="68"/>
      <c r="F494" s="68"/>
      <c r="G494" s="1414" t="s">
        <v>1347</v>
      </c>
      <c r="H494" s="865" t="s">
        <v>3934</v>
      </c>
      <c r="I494" s="1740" t="s">
        <v>2447</v>
      </c>
      <c r="J494" s="68" t="s">
        <v>3174</v>
      </c>
      <c r="K494" s="68"/>
      <c r="L494" s="501"/>
      <c r="M494" s="68"/>
      <c r="N494" s="865"/>
      <c r="O494" s="2011"/>
      <c r="P494" s="2011"/>
      <c r="Q494" s="68"/>
    </row>
    <row r="495" spans="1:17" s="115" customFormat="1" ht="12.5">
      <c r="C495" s="68"/>
      <c r="D495" s="682"/>
      <c r="E495" s="68"/>
      <c r="F495" s="68"/>
      <c r="G495" s="1414" t="s">
        <v>1702</v>
      </c>
      <c r="H495" s="865" t="s">
        <v>3934</v>
      </c>
      <c r="I495" s="1740" t="s">
        <v>2447</v>
      </c>
      <c r="J495" s="68" t="s">
        <v>3175</v>
      </c>
      <c r="K495" s="68"/>
      <c r="L495" s="501"/>
      <c r="M495" s="68"/>
      <c r="N495" s="865"/>
      <c r="O495" s="2011"/>
      <c r="P495" s="2011"/>
      <c r="Q495" s="68"/>
    </row>
    <row r="496" spans="1:17" s="115" customFormat="1" ht="12.5">
      <c r="C496" s="68"/>
      <c r="D496" s="68"/>
      <c r="E496" s="68"/>
      <c r="F496" s="68"/>
      <c r="G496" s="1414" t="s">
        <v>1964</v>
      </c>
      <c r="H496" s="865">
        <v>2020</v>
      </c>
      <c r="I496" s="865" t="s">
        <v>3933</v>
      </c>
      <c r="J496" s="68" t="s">
        <v>3243</v>
      </c>
      <c r="K496" s="68"/>
      <c r="L496" s="501"/>
      <c r="M496" s="68"/>
      <c r="N496" s="865"/>
      <c r="O496" s="2011"/>
      <c r="P496" s="2011"/>
      <c r="Q496" s="68"/>
    </row>
    <row r="497" spans="3:17" s="115" customFormat="1" ht="12.5">
      <c r="C497" s="68"/>
      <c r="D497" s="68"/>
      <c r="E497" s="68"/>
      <c r="F497" s="68"/>
      <c r="G497" s="1414" t="s">
        <v>1350</v>
      </c>
      <c r="H497" s="865">
        <v>2019</v>
      </c>
      <c r="I497" s="865" t="s">
        <v>3933</v>
      </c>
      <c r="J497" s="68" t="s">
        <v>3246</v>
      </c>
      <c r="K497" s="68"/>
      <c r="L497" s="68"/>
      <c r="M497" s="68"/>
      <c r="N497" s="865"/>
      <c r="O497" s="2011"/>
      <c r="P497" s="2011"/>
      <c r="Q497" s="68"/>
    </row>
    <row r="498" spans="3:17" s="115" customFormat="1" ht="12.5">
      <c r="C498" s="68"/>
      <c r="D498" s="68"/>
      <c r="E498" s="68"/>
      <c r="F498" s="68"/>
      <c r="G498" s="1414" t="s">
        <v>235</v>
      </c>
      <c r="H498" s="865">
        <v>2019</v>
      </c>
      <c r="I498" s="865" t="s">
        <v>3933</v>
      </c>
      <c r="J498" s="68" t="s">
        <v>3247</v>
      </c>
      <c r="K498" s="68"/>
      <c r="L498" s="501"/>
      <c r="M498" s="68"/>
      <c r="N498" s="865"/>
      <c r="O498" s="2011"/>
      <c r="P498" s="2011"/>
      <c r="Q498" s="68"/>
    </row>
    <row r="499" spans="3:17" s="115" customFormat="1" ht="12.5">
      <c r="C499" s="68"/>
      <c r="D499" s="68"/>
      <c r="E499" s="68"/>
      <c r="F499" s="68"/>
      <c r="G499" s="1414" t="s">
        <v>977</v>
      </c>
      <c r="H499" s="865">
        <v>2020</v>
      </c>
      <c r="I499" s="865" t="s">
        <v>3933</v>
      </c>
      <c r="J499" s="68" t="s">
        <v>3176</v>
      </c>
      <c r="K499" s="68"/>
      <c r="L499" s="501"/>
      <c r="M499" s="68"/>
      <c r="N499" s="865"/>
      <c r="O499" s="2011"/>
      <c r="P499" s="2011"/>
      <c r="Q499" s="68"/>
    </row>
    <row r="500" spans="3:17" s="115" customFormat="1" ht="12.5">
      <c r="C500" s="682"/>
      <c r="D500" s="68"/>
      <c r="E500" s="68"/>
      <c r="F500" s="68"/>
      <c r="G500" s="1414" t="s">
        <v>2091</v>
      </c>
      <c r="H500" s="865">
        <v>2020</v>
      </c>
      <c r="I500" s="865" t="s">
        <v>3933</v>
      </c>
      <c r="J500" s="68" t="s">
        <v>3177</v>
      </c>
      <c r="K500" s="68"/>
      <c r="L500" s="501"/>
      <c r="M500" s="68"/>
      <c r="N500" s="865"/>
      <c r="O500" s="2011"/>
      <c r="P500" s="2011"/>
      <c r="Q500" s="68"/>
    </row>
    <row r="501" spans="3:17" s="115" customFormat="1" ht="12.5">
      <c r="C501" s="682"/>
      <c r="D501" s="68"/>
      <c r="E501" s="68"/>
      <c r="F501" s="68"/>
      <c r="G501" s="1414" t="s">
        <v>3928</v>
      </c>
      <c r="H501" s="865" t="s">
        <v>3934</v>
      </c>
      <c r="I501" s="1740" t="s">
        <v>2447</v>
      </c>
      <c r="J501" s="68"/>
      <c r="K501" s="68"/>
      <c r="L501" s="501"/>
      <c r="M501" s="68"/>
      <c r="N501" s="865"/>
      <c r="O501" s="2011"/>
      <c r="P501" s="2011"/>
      <c r="Q501" s="68"/>
    </row>
    <row r="502" spans="3:17" s="115" customFormat="1" ht="12.5">
      <c r="C502" s="682"/>
      <c r="D502" s="68"/>
      <c r="E502" s="68"/>
      <c r="F502" s="68"/>
      <c r="G502" s="1414" t="s">
        <v>1744</v>
      </c>
      <c r="H502" s="865" t="s">
        <v>3934</v>
      </c>
      <c r="I502" s="1740" t="s">
        <v>2447</v>
      </c>
      <c r="J502" s="68"/>
      <c r="K502" s="68"/>
      <c r="L502" s="501"/>
      <c r="M502" s="68"/>
      <c r="N502" s="865"/>
      <c r="O502" s="2011"/>
      <c r="P502" s="2011"/>
      <c r="Q502" s="68"/>
    </row>
    <row r="503" spans="3:17" s="115" customFormat="1" ht="12.5">
      <c r="C503" s="682"/>
      <c r="D503" s="68"/>
      <c r="E503" s="68"/>
      <c r="F503" s="68"/>
      <c r="G503" s="1414" t="s">
        <v>471</v>
      </c>
      <c r="H503" s="865" t="s">
        <v>3934</v>
      </c>
      <c r="I503" s="1740" t="s">
        <v>2447</v>
      </c>
      <c r="J503" s="68"/>
      <c r="K503" s="68"/>
      <c r="L503" s="501"/>
      <c r="M503" s="68"/>
      <c r="N503" s="865"/>
      <c r="O503" s="2011"/>
      <c r="P503" s="2011"/>
      <c r="Q503" s="68"/>
    </row>
    <row r="504" spans="3:17" s="115" customFormat="1" ht="12.5">
      <c r="C504" s="682"/>
      <c r="D504" s="68"/>
      <c r="E504" s="68"/>
      <c r="F504" s="68"/>
      <c r="G504" s="1414" t="s">
        <v>1946</v>
      </c>
      <c r="H504" s="865" t="s">
        <v>3934</v>
      </c>
      <c r="I504" s="1740" t="s">
        <v>2447</v>
      </c>
      <c r="J504" s="68"/>
      <c r="K504" s="68"/>
      <c r="L504" s="501"/>
      <c r="M504" s="68"/>
      <c r="N504" s="865"/>
      <c r="O504" s="2011"/>
      <c r="P504" s="2011"/>
      <c r="Q504" s="68"/>
    </row>
    <row r="505" spans="3:17" s="115" customFormat="1" ht="12.5">
      <c r="C505" s="682"/>
      <c r="D505" s="68"/>
      <c r="E505" s="68"/>
      <c r="F505" s="68"/>
      <c r="G505" s="1414" t="s">
        <v>2083</v>
      </c>
      <c r="H505" s="865">
        <v>2020</v>
      </c>
      <c r="I505" s="865" t="s">
        <v>3933</v>
      </c>
      <c r="J505" s="68"/>
      <c r="K505" s="68"/>
      <c r="L505" s="501"/>
      <c r="M505" s="68"/>
      <c r="N505" s="865"/>
      <c r="O505" s="2011"/>
      <c r="P505" s="2011"/>
      <c r="Q505" s="68"/>
    </row>
    <row r="506" spans="3:17" s="115" customFormat="1" ht="12.5">
      <c r="C506" s="682"/>
      <c r="D506" s="68"/>
      <c r="E506" s="68"/>
      <c r="F506" s="68"/>
      <c r="G506" s="1414" t="s">
        <v>1969</v>
      </c>
      <c r="H506" s="865">
        <v>2020</v>
      </c>
      <c r="I506" s="865" t="s">
        <v>3933</v>
      </c>
      <c r="J506" s="68"/>
      <c r="K506" s="68"/>
      <c r="L506" s="68"/>
      <c r="M506" s="68"/>
      <c r="N506" s="865"/>
      <c r="O506" s="2011"/>
      <c r="P506" s="2011"/>
      <c r="Q506" s="68"/>
    </row>
    <row r="507" spans="3:17" s="115" customFormat="1" ht="12.5">
      <c r="C507" s="68"/>
      <c r="D507" s="68"/>
      <c r="E507" s="68"/>
      <c r="F507" s="68"/>
      <c r="G507" s="1414" t="s">
        <v>2148</v>
      </c>
      <c r="H507" s="865">
        <v>2019</v>
      </c>
      <c r="I507" s="865" t="s">
        <v>3933</v>
      </c>
      <c r="J507" s="68"/>
      <c r="K507" s="68"/>
      <c r="L507" s="68"/>
      <c r="M507" s="68"/>
      <c r="N507" s="865"/>
      <c r="O507" s="2011"/>
      <c r="P507" s="2011"/>
      <c r="Q507" s="68"/>
    </row>
    <row r="508" spans="3:17" s="115" customFormat="1" ht="12.5">
      <c r="C508" s="68"/>
      <c r="D508" s="68"/>
      <c r="E508" s="68"/>
      <c r="F508" s="68"/>
      <c r="G508" s="1414" t="s">
        <v>3929</v>
      </c>
      <c r="H508" s="68"/>
      <c r="I508" s="68"/>
      <c r="J508" s="68"/>
      <c r="K508" s="68"/>
      <c r="L508" s="68"/>
      <c r="M508" s="68"/>
      <c r="N508" s="865"/>
      <c r="O508" s="2011"/>
      <c r="P508" s="2011"/>
      <c r="Q508" s="68"/>
    </row>
    <row r="509" spans="3:17" s="115" customFormat="1" ht="12.5">
      <c r="C509" s="68"/>
      <c r="D509" s="68"/>
      <c r="E509" s="68"/>
      <c r="F509" s="68"/>
      <c r="G509" s="1414" t="s">
        <v>1572</v>
      </c>
      <c r="H509" s="865">
        <v>2019</v>
      </c>
      <c r="I509" s="865" t="s">
        <v>3933</v>
      </c>
      <c r="J509" s="68"/>
      <c r="K509" s="68"/>
      <c r="L509" s="68"/>
      <c r="M509" s="68"/>
      <c r="N509" s="865"/>
      <c r="O509" s="2011"/>
      <c r="P509" s="2011"/>
      <c r="Q509" s="68"/>
    </row>
    <row r="510" spans="3:17" s="115" customFormat="1" ht="12.5">
      <c r="C510" s="68"/>
      <c r="D510" s="68"/>
      <c r="E510" s="68"/>
      <c r="F510" s="68"/>
      <c r="G510" s="1414" t="s">
        <v>1575</v>
      </c>
      <c r="H510" s="865">
        <v>2020</v>
      </c>
      <c r="I510" s="865" t="s">
        <v>3933</v>
      </c>
      <c r="J510" s="68"/>
      <c r="K510" s="68"/>
      <c r="L510" s="68"/>
      <c r="M510" s="68"/>
      <c r="N510" s="865"/>
      <c r="O510" s="2011"/>
      <c r="P510" s="2011"/>
      <c r="Q510" s="68"/>
    </row>
    <row r="511" spans="3:17" s="115" customFormat="1" ht="12.5">
      <c r="C511" s="68"/>
      <c r="D511" s="68"/>
      <c r="E511" s="68"/>
      <c r="F511" s="68"/>
      <c r="G511" s="1414" t="s">
        <v>1580</v>
      </c>
      <c r="H511" s="865">
        <v>2020</v>
      </c>
      <c r="I511" s="865" t="s">
        <v>3933</v>
      </c>
      <c r="J511" s="68"/>
      <c r="K511" s="68"/>
      <c r="L511" s="68"/>
      <c r="M511" s="68"/>
      <c r="N511" s="865"/>
      <c r="O511" s="2011"/>
      <c r="P511" s="2011"/>
      <c r="Q511" s="68"/>
    </row>
    <row r="512" spans="3:17" s="115" customFormat="1" ht="12.5">
      <c r="C512" s="68"/>
      <c r="D512" s="68"/>
      <c r="E512" s="68"/>
      <c r="F512" s="68"/>
      <c r="G512" s="1414" t="s">
        <v>1588</v>
      </c>
      <c r="H512" s="865">
        <v>2020</v>
      </c>
      <c r="I512" s="865" t="s">
        <v>3933</v>
      </c>
      <c r="J512" s="68"/>
      <c r="K512" s="68"/>
      <c r="L512" s="68"/>
      <c r="M512" s="68"/>
      <c r="N512" s="865"/>
      <c r="O512" s="2011"/>
      <c r="P512" s="2011"/>
      <c r="Q512" s="68"/>
    </row>
    <row r="513" spans="3:17" s="115" customFormat="1" ht="12.5">
      <c r="C513" s="68"/>
      <c r="D513" s="68"/>
      <c r="E513" s="68"/>
      <c r="F513" s="68"/>
      <c r="G513" s="1414" t="s">
        <v>1589</v>
      </c>
      <c r="H513" s="865">
        <v>2019</v>
      </c>
      <c r="I513" s="865" t="s">
        <v>3933</v>
      </c>
      <c r="J513" s="68"/>
      <c r="K513" s="68"/>
      <c r="L513" s="68"/>
      <c r="M513" s="68"/>
      <c r="N513" s="865"/>
      <c r="O513" s="2011"/>
      <c r="P513" s="2011"/>
      <c r="Q513" s="68"/>
    </row>
    <row r="514" spans="3:17" s="115" customFormat="1" ht="12.5">
      <c r="C514" s="68"/>
      <c r="D514" s="68"/>
      <c r="E514" s="68"/>
      <c r="F514" s="68"/>
      <c r="G514" s="1414" t="s">
        <v>100</v>
      </c>
      <c r="H514" s="865">
        <v>2020</v>
      </c>
      <c r="I514" s="865" t="s">
        <v>3933</v>
      </c>
      <c r="J514" s="68"/>
      <c r="K514" s="68"/>
      <c r="L514" s="68"/>
      <c r="M514" s="68"/>
      <c r="N514" s="865"/>
      <c r="O514" s="2011"/>
      <c r="P514" s="2011"/>
      <c r="Q514" s="68"/>
    </row>
    <row r="515" spans="3:17" s="115" customFormat="1" ht="12.5">
      <c r="C515" s="68"/>
      <c r="D515" s="68"/>
      <c r="E515" s="68"/>
      <c r="F515" s="68"/>
      <c r="G515" s="1414" t="s">
        <v>285</v>
      </c>
      <c r="H515" s="865">
        <v>2020</v>
      </c>
      <c r="I515" s="865" t="s">
        <v>3933</v>
      </c>
      <c r="J515" s="68"/>
      <c r="K515" s="68"/>
      <c r="L515" s="68"/>
      <c r="M515" s="68"/>
      <c r="N515" s="865"/>
      <c r="O515" s="2011"/>
      <c r="P515" s="2011"/>
      <c r="Q515" s="68"/>
    </row>
    <row r="516" spans="3:17" s="115" customFormat="1" ht="12.5">
      <c r="C516" s="68"/>
      <c r="D516" s="68"/>
      <c r="E516" s="68"/>
      <c r="F516" s="68"/>
      <c r="G516" s="1414" t="s">
        <v>1440</v>
      </c>
      <c r="H516" s="865" t="s">
        <v>3934</v>
      </c>
      <c r="I516" s="1740" t="s">
        <v>2447</v>
      </c>
      <c r="J516" s="68"/>
      <c r="K516" s="68"/>
      <c r="L516" s="68"/>
      <c r="M516" s="68"/>
      <c r="N516" s="865"/>
      <c r="O516" s="2011"/>
      <c r="P516" s="2011"/>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3" customWidth="1"/>
    <col min="4" max="4" width="15.453125" style="503" customWidth="1"/>
    <col min="5" max="5" width="4.7265625" style="503" customWidth="1"/>
    <col min="6" max="9" width="12.7265625" style="503" customWidth="1"/>
    <col min="10" max="10" width="5.26953125" style="503" customWidth="1"/>
    <col min="11" max="16384" width="9.26953125" style="503"/>
  </cols>
  <sheetData>
    <row r="1" spans="1:16">
      <c r="A1" s="4777" t="s">
        <v>2575</v>
      </c>
      <c r="B1" s="4777"/>
      <c r="C1" s="4777"/>
      <c r="D1" s="4777"/>
      <c r="E1" s="4777"/>
      <c r="F1" s="4777"/>
      <c r="G1" s="4777"/>
      <c r="H1" s="4777"/>
      <c r="I1" s="4777"/>
      <c r="J1" s="4777"/>
    </row>
    <row r="2" spans="1:16">
      <c r="A2" s="4777" t="str">
        <f>'Sensitivity Analysis'!C8</f>
        <v>Princeton Court</v>
      </c>
      <c r="B2" s="4777"/>
      <c r="C2" s="4777"/>
      <c r="D2" s="4777"/>
      <c r="E2" s="4777"/>
      <c r="F2" s="4777"/>
      <c r="G2" s="4777"/>
      <c r="H2" s="4777"/>
      <c r="I2" s="4777"/>
      <c r="J2" s="4777"/>
    </row>
    <row r="3" spans="1:16">
      <c r="A3" s="4777" t="str">
        <f>'Subsidy Layering Memo'!F14</f>
        <v>College Park, Fulton</v>
      </c>
      <c r="B3" s="4777"/>
      <c r="C3" s="4777"/>
      <c r="D3" s="4777"/>
      <c r="E3" s="4777"/>
      <c r="F3" s="4777"/>
      <c r="G3" s="4777"/>
      <c r="H3" s="4777"/>
      <c r="I3" s="4777"/>
      <c r="J3" s="4777"/>
    </row>
    <row r="4" spans="1:16">
      <c r="A4" s="4778" t="s">
        <v>2576</v>
      </c>
      <c r="B4" s="4777"/>
      <c r="C4" s="4777"/>
      <c r="D4" s="4777"/>
      <c r="E4" s="4777"/>
      <c r="F4" s="4777"/>
      <c r="G4" s="4777"/>
      <c r="H4" s="4777"/>
      <c r="I4" s="4777"/>
      <c r="J4" s="4777"/>
    </row>
    <row r="5" spans="1:16" ht="5.25" customHeight="1"/>
    <row r="6" spans="1:16" ht="5.25" customHeight="1"/>
    <row r="7" spans="1:16">
      <c r="A7" s="4779" t="s">
        <v>2577</v>
      </c>
      <c r="B7" s="4779"/>
      <c r="C7" s="4780"/>
      <c r="M7" s="4771"/>
      <c r="N7" s="4771"/>
      <c r="O7" s="4771"/>
      <c r="P7" s="4771"/>
    </row>
    <row r="8" spans="1:16" ht="57" customHeight="1">
      <c r="A8" s="4772" t="s">
        <v>4048</v>
      </c>
      <c r="B8" s="4772"/>
      <c r="C8" s="4772"/>
      <c r="D8" s="4772"/>
      <c r="E8" s="4772"/>
      <c r="F8" s="4772"/>
      <c r="G8" s="4772"/>
      <c r="H8" s="4772"/>
      <c r="I8" s="4772"/>
      <c r="J8" s="4772"/>
      <c r="K8" s="504"/>
    </row>
    <row r="9" spans="1:16" ht="45.75" customHeight="1">
      <c r="A9" s="477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College Park, Fulton County, Georgia, with the development of 116 units set aside for &lt;&lt; Select PROPOSED Tenancy &gt;&gt;.</v>
      </c>
      <c r="B9" s="4772"/>
      <c r="C9" s="4772"/>
      <c r="D9" s="4772"/>
      <c r="E9" s="4772"/>
      <c r="F9" s="4772"/>
      <c r="G9" s="4772"/>
      <c r="H9" s="4772"/>
      <c r="I9" s="4772"/>
      <c r="J9" s="4772"/>
      <c r="K9" s="504"/>
    </row>
    <row r="10" spans="1:16">
      <c r="A10" s="505" t="s">
        <v>2578</v>
      </c>
    </row>
    <row r="11" spans="1:16" ht="16.5" customHeight="1">
      <c r="A11" s="4772" t="str">
        <f>'Subsidy Layering Memo'!A50</f>
        <v xml:space="preserve">Ownership entity:  (NAME) LP, a Georgia Limited Partnership, will be the ownership entity for the proposed project. </v>
      </c>
      <c r="B11" s="4774"/>
      <c r="C11" s="4774"/>
      <c r="D11" s="4774"/>
      <c r="E11" s="4774"/>
      <c r="F11" s="4774"/>
      <c r="G11" s="4774"/>
      <c r="H11" s="4774"/>
      <c r="I11" s="4774"/>
      <c r="J11" s="4772"/>
    </row>
    <row r="12" spans="1:16" ht="63.75" customHeight="1">
      <c r="A12" s="477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72"/>
      <c r="C12" s="4772"/>
      <c r="D12" s="4772"/>
      <c r="E12" s="4772"/>
      <c r="F12" s="4772"/>
      <c r="G12" s="4772"/>
      <c r="H12" s="4772"/>
      <c r="I12" s="4772"/>
      <c r="J12" s="4772"/>
    </row>
    <row r="13" spans="1:16" ht="48.75" customHeight="1">
      <c r="A13" s="477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72"/>
      <c r="C13" s="4772"/>
      <c r="D13" s="4772"/>
      <c r="E13" s="4772"/>
      <c r="F13" s="4772"/>
      <c r="G13" s="4772"/>
      <c r="H13" s="4772"/>
      <c r="I13" s="4772"/>
      <c r="J13" s="4772"/>
    </row>
    <row r="14" spans="1:16">
      <c r="A14" s="505" t="s">
        <v>2579</v>
      </c>
      <c r="B14" s="506"/>
    </row>
    <row r="15" spans="1:16">
      <c r="A15" s="503" t="s">
        <v>2580</v>
      </c>
      <c r="D15" s="997" t="s">
        <v>2581</v>
      </c>
    </row>
    <row r="16" spans="1:16">
      <c r="A16" s="503" t="s">
        <v>2582</v>
      </c>
      <c r="D16" s="1187">
        <f>'Sensitivity Analysis'!C25</f>
        <v>7160000</v>
      </c>
    </row>
    <row r="17" spans="1:11">
      <c r="A17" s="507" t="s">
        <v>2583</v>
      </c>
      <c r="D17" s="1188">
        <f>'Sensitivity Analysis'!C13</f>
        <v>116</v>
      </c>
    </row>
    <row r="18" spans="1:11" ht="14.25" customHeight="1"/>
    <row r="19" spans="1:11">
      <c r="A19" s="505" t="s">
        <v>2584</v>
      </c>
      <c r="B19" s="506"/>
      <c r="C19" s="506"/>
    </row>
    <row r="20" spans="1:11" ht="48.75" customHeight="1">
      <c r="A20" s="477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5"/>
      <c r="C20" s="4775"/>
      <c r="D20" s="4775"/>
      <c r="E20" s="4775"/>
      <c r="F20" s="4775"/>
      <c r="G20" s="4775"/>
      <c r="H20" s="4775"/>
      <c r="I20" s="4775"/>
      <c r="J20" s="4775"/>
    </row>
    <row r="21" spans="1:11" ht="72.75" customHeight="1">
      <c r="A21" s="4772" t="str">
        <f>'Subsidy Layering Memo'!A67</f>
        <v xml:space="preserve"> will make a capital contribution totaling 12565830 via the syndication of the 2024 Federal LIHTC allocation of 1478480 per annum. will make a capital contribution totaling 7725062 via the syndication of the 2024 State LIHTC allocation of 1478480 per annum.</v>
      </c>
      <c r="B21" s="4772"/>
      <c r="C21" s="4772"/>
      <c r="D21" s="4772"/>
      <c r="E21" s="4772"/>
      <c r="F21" s="4772"/>
      <c r="G21" s="4772"/>
      <c r="H21" s="4772"/>
      <c r="I21" s="4772"/>
      <c r="J21" s="4772"/>
    </row>
    <row r="22" spans="1:11" ht="43.5" customHeight="1">
      <c r="A22" s="4776" t="str">
        <f>'Subsidy Layering Memo'!A68</f>
        <v xml:space="preserve">The total equity price per credit will be 1.3725 (0.85 Federal tax credit and 0.5225 State tax credit) for a (X%) ownership interest of the Federal Credits and a (X%) ownership interest of the State Credits. </v>
      </c>
      <c r="B22" s="4776"/>
      <c r="C22" s="4776"/>
      <c r="D22" s="4776"/>
      <c r="E22" s="4776"/>
      <c r="F22" s="4776"/>
      <c r="G22" s="4776"/>
      <c r="H22" s="4776"/>
      <c r="I22" s="4776"/>
      <c r="J22" s="4776"/>
    </row>
    <row r="23" spans="1:11">
      <c r="A23" s="505" t="s">
        <v>4049</v>
      </c>
      <c r="B23" s="506"/>
      <c r="C23" s="506"/>
      <c r="D23" s="506"/>
      <c r="E23" s="506"/>
      <c r="F23" s="506"/>
    </row>
    <row r="24" spans="1:11" ht="102.75" customHeight="1">
      <c r="A24" s="47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72"/>
      <c r="C24" s="4772"/>
      <c r="D24" s="4772"/>
      <c r="E24" s="4772"/>
      <c r="F24" s="4772"/>
      <c r="G24" s="4772"/>
      <c r="H24" s="4772"/>
      <c r="I24" s="4772"/>
      <c r="J24" s="4772"/>
    </row>
    <row r="25" spans="1:11" ht="15" customHeight="1">
      <c r="A25" s="4773"/>
      <c r="B25" s="4773"/>
      <c r="C25" s="4773"/>
      <c r="D25" s="4773"/>
      <c r="E25" s="4773"/>
      <c r="F25" s="4773"/>
      <c r="G25" s="4773"/>
      <c r="H25" s="4773"/>
      <c r="I25" s="4773"/>
      <c r="J25" s="4773"/>
      <c r="K25" s="503" t="s">
        <v>233</v>
      </c>
    </row>
    <row r="26" spans="1:11" ht="15" customHeight="1">
      <c r="B26" s="996"/>
      <c r="C26" s="996"/>
      <c r="D26" s="996"/>
      <c r="E26" s="996"/>
      <c r="F26" s="996"/>
      <c r="G26" s="996"/>
      <c r="H26" s="996"/>
      <c r="I26" s="996" t="s">
        <v>233</v>
      </c>
      <c r="J26" s="996"/>
    </row>
    <row r="27" spans="1:11">
      <c r="A27" s="506" t="s">
        <v>2585</v>
      </c>
    </row>
    <row r="29" spans="1:11" ht="16" thickBot="1">
      <c r="A29" s="508"/>
      <c r="B29" s="508"/>
      <c r="C29" s="508"/>
      <c r="D29" s="508"/>
      <c r="F29" s="508"/>
      <c r="G29" s="508"/>
      <c r="H29" s="508"/>
      <c r="I29" s="508"/>
    </row>
    <row r="30" spans="1:11">
      <c r="A30" s="503" t="s">
        <v>2586</v>
      </c>
      <c r="D30" s="503" t="s">
        <v>866</v>
      </c>
      <c r="F30" s="503" t="s">
        <v>2587</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opLeftCell="A38" workbookViewId="0">
      <selection activeCell="Q43" sqref="Q43:S43"/>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83"/>
    <col min="27" max="16384" width="9.26953125" style="145"/>
  </cols>
  <sheetData>
    <row r="1" spans="1:28" s="1607" customFormat="1" hidden="1">
      <c r="A1" s="1606"/>
      <c r="B1" s="1606" t="s">
        <v>4200</v>
      </c>
      <c r="C1" s="1606"/>
      <c r="D1" s="1606"/>
      <c r="E1" s="1606"/>
      <c r="F1" s="1606" t="s">
        <v>4201</v>
      </c>
      <c r="G1" s="1606" t="s">
        <v>4202</v>
      </c>
      <c r="H1" s="1606" t="s">
        <v>4203</v>
      </c>
      <c r="I1" s="1606" t="s">
        <v>4204</v>
      </c>
      <c r="J1" s="1606" t="s">
        <v>4205</v>
      </c>
      <c r="K1" s="1606" t="s">
        <v>4206</v>
      </c>
      <c r="L1" s="1606"/>
      <c r="M1" s="1606"/>
      <c r="N1" s="1606" t="s">
        <v>4207</v>
      </c>
      <c r="O1" s="1606" t="s">
        <v>4208</v>
      </c>
      <c r="P1" s="1606" t="s">
        <v>4209</v>
      </c>
      <c r="Z1" s="1608">
        <v>1</v>
      </c>
    </row>
    <row r="2" spans="1:28" s="144" customFormat="1" ht="14.15" customHeight="1">
      <c r="A2" s="3029" t="str">
        <f>CONCATENATE("Part I-Project Identification"," - ",$O$7," ",$F$26,", ",$F$27,", ",J27," County")</f>
        <v>Part I-Project Identification - 2025-5 Princeton Court, College Park, Fulton County</v>
      </c>
      <c r="B2" s="3030"/>
      <c r="C2" s="3030"/>
      <c r="D2" s="3030"/>
      <c r="E2" s="3030"/>
      <c r="F2" s="3030"/>
      <c r="G2" s="3030"/>
      <c r="H2" s="3030"/>
      <c r="I2" s="3030"/>
      <c r="J2" s="3030"/>
      <c r="K2" s="3030"/>
      <c r="L2" s="3030"/>
      <c r="M2" s="3030"/>
      <c r="N2" s="3030"/>
      <c r="O2" s="3030"/>
      <c r="P2" s="3031"/>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32" t="s">
        <v>5064</v>
      </c>
      <c r="B4" s="3032"/>
      <c r="C4" s="3032"/>
      <c r="D4" s="3032"/>
      <c r="E4" s="3032"/>
      <c r="F4" s="3032"/>
      <c r="G4" s="3032"/>
      <c r="H4" s="3032"/>
      <c r="I4" s="3032"/>
      <c r="J4" s="3032"/>
      <c r="K4" s="3032"/>
      <c r="L4" s="3032"/>
      <c r="M4" s="3032"/>
      <c r="N4" s="3032"/>
      <c r="O4" s="3032"/>
      <c r="P4" s="3032"/>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33" t="s">
        <v>5115</v>
      </c>
      <c r="B6" s="3033"/>
      <c r="C6" s="3033"/>
      <c r="D6" s="3033"/>
      <c r="F6" s="242"/>
      <c r="G6" s="224" t="s">
        <v>3700</v>
      </c>
      <c r="L6" s="374"/>
      <c r="P6" s="1680" t="s">
        <v>3206</v>
      </c>
      <c r="Z6" s="1608">
        <v>6</v>
      </c>
      <c r="AA6" s="1711">
        <v>5</v>
      </c>
    </row>
    <row r="7" spans="1:28" s="144" customFormat="1" ht="12" customHeight="1" thickBot="1">
      <c r="A7" s="3033"/>
      <c r="B7" s="3033"/>
      <c r="C7" s="3033"/>
      <c r="D7" s="3033"/>
      <c r="E7" s="978"/>
      <c r="F7" s="244"/>
      <c r="G7" s="224" t="s">
        <v>3981</v>
      </c>
      <c r="H7" s="248"/>
      <c r="I7" s="248"/>
      <c r="J7" s="248"/>
      <c r="O7" s="3034" t="s">
        <v>5201</v>
      </c>
      <c r="P7" s="3035"/>
      <c r="Q7" s="3036" t="s">
        <v>4525</v>
      </c>
      <c r="R7" s="3036"/>
      <c r="S7" s="3037"/>
      <c r="Z7" s="1608">
        <v>7</v>
      </c>
      <c r="AA7" s="1711">
        <v>6</v>
      </c>
    </row>
    <row r="8" spans="1:28" s="144" customFormat="1" ht="12" customHeight="1">
      <c r="A8" s="3033"/>
      <c r="B8" s="3033"/>
      <c r="C8" s="3033"/>
      <c r="D8" s="3033"/>
      <c r="E8" s="978"/>
      <c r="F8" s="407"/>
      <c r="G8" s="147" t="s">
        <v>2893</v>
      </c>
      <c r="H8" s="248"/>
      <c r="I8" s="248"/>
      <c r="J8" s="248"/>
      <c r="Q8" s="3038"/>
      <c r="R8" s="3039"/>
      <c r="S8" s="3040"/>
      <c r="Z8" s="1608">
        <v>8</v>
      </c>
      <c r="AA8" s="1711">
        <v>7</v>
      </c>
    </row>
    <row r="9" spans="1:28" s="144" customFormat="1" ht="6" customHeight="1">
      <c r="A9" s="374"/>
      <c r="E9" s="248"/>
      <c r="H9" s="248"/>
      <c r="I9" s="248"/>
      <c r="M9" s="248"/>
      <c r="Q9" s="3038"/>
      <c r="R9" s="3039"/>
      <c r="S9" s="3040"/>
      <c r="Z9" s="1608">
        <v>9</v>
      </c>
      <c r="AA9" s="1711">
        <v>8</v>
      </c>
    </row>
    <row r="10" spans="1:28" s="144" customFormat="1" ht="13.4" customHeight="1">
      <c r="A10" s="243" t="s">
        <v>572</v>
      </c>
      <c r="B10" s="243" t="s">
        <v>2186</v>
      </c>
      <c r="D10" s="145"/>
      <c r="E10" s="245"/>
      <c r="F10" s="246" t="s">
        <v>3184</v>
      </c>
      <c r="I10" s="3044">
        <f>'Part III-A-Uses of Funds'!$J$192</f>
        <v>1478480</v>
      </c>
      <c r="J10" s="3045"/>
      <c r="L10" s="144" t="s">
        <v>3185</v>
      </c>
      <c r="O10" s="3046">
        <f>'Part II-Sources of Funds'!$H$6</f>
        <v>0</v>
      </c>
      <c r="P10" s="3047"/>
      <c r="Q10" s="3038"/>
      <c r="R10" s="3039"/>
      <c r="S10" s="3040"/>
      <c r="Z10" s="1608">
        <v>10</v>
      </c>
      <c r="AA10" s="1711">
        <v>9</v>
      </c>
    </row>
    <row r="11" spans="1:28" s="144" customFormat="1" ht="6" customHeight="1">
      <c r="A11" s="243"/>
      <c r="B11" s="243"/>
      <c r="D11" s="145"/>
      <c r="E11" s="245"/>
      <c r="F11" s="245"/>
      <c r="I11" s="222"/>
      <c r="N11" s="247"/>
      <c r="Q11" s="3038"/>
      <c r="R11" s="3039"/>
      <c r="S11" s="3040"/>
      <c r="Z11" s="1608">
        <v>11</v>
      </c>
      <c r="AA11" s="1711">
        <v>10</v>
      </c>
    </row>
    <row r="12" spans="1:28" s="144" customFormat="1">
      <c r="A12" s="222" t="s">
        <v>688</v>
      </c>
      <c r="B12" s="243" t="s">
        <v>1886</v>
      </c>
      <c r="F12" s="3048" t="s">
        <v>5202</v>
      </c>
      <c r="G12" s="3049"/>
      <c r="H12" s="3050"/>
      <c r="I12" s="1681" t="s">
        <v>4408</v>
      </c>
      <c r="J12" s="1448" t="s">
        <v>5002</v>
      </c>
      <c r="K12" s="243"/>
      <c r="L12" s="248"/>
      <c r="O12" s="3051" t="s">
        <v>2446</v>
      </c>
      <c r="P12" s="3052"/>
      <c r="Q12" s="3038"/>
      <c r="R12" s="3039"/>
      <c r="S12" s="3040"/>
      <c r="Z12" s="1608">
        <v>12</v>
      </c>
      <c r="AA12" s="1711">
        <v>11</v>
      </c>
    </row>
    <row r="13" spans="1:28" s="1966" customFormat="1" ht="14">
      <c r="A13" s="1940"/>
      <c r="C13" s="1945"/>
      <c r="D13" s="1945"/>
      <c r="E13" s="1945"/>
      <c r="F13" s="2065" t="s">
        <v>4798</v>
      </c>
      <c r="H13" s="2063"/>
      <c r="I13" s="2063"/>
      <c r="J13" s="2063"/>
      <c r="K13" s="2063"/>
      <c r="L13" s="2063"/>
      <c r="M13" s="2063"/>
      <c r="N13" s="2063"/>
      <c r="O13" s="2064"/>
      <c r="P13" s="2059" t="s">
        <v>2642</v>
      </c>
      <c r="Q13" s="3038"/>
      <c r="R13" s="3039"/>
      <c r="S13" s="3040"/>
      <c r="T13" s="2028"/>
      <c r="U13" s="2028"/>
      <c r="V13" s="2028"/>
      <c r="W13" s="2028"/>
      <c r="X13" s="2028"/>
      <c r="Y13" s="2028"/>
      <c r="Z13" s="1608">
        <v>13</v>
      </c>
      <c r="AA13" s="1711">
        <v>12</v>
      </c>
      <c r="AB13" s="2028"/>
    </row>
    <row r="14" spans="1:28" s="144" customFormat="1">
      <c r="A14" s="374"/>
      <c r="B14" s="145"/>
      <c r="C14" s="145"/>
      <c r="D14" s="145"/>
      <c r="E14" s="145"/>
      <c r="H14" s="248"/>
      <c r="J14" s="393"/>
      <c r="K14" s="222"/>
      <c r="M14" s="248"/>
      <c r="Q14" s="3038"/>
      <c r="R14" s="3039"/>
      <c r="S14" s="3040"/>
      <c r="Z14" s="1608">
        <v>14</v>
      </c>
      <c r="AA14" s="1711">
        <v>13</v>
      </c>
    </row>
    <row r="15" spans="1:28" s="144" customFormat="1">
      <c r="A15" s="222" t="s">
        <v>690</v>
      </c>
      <c r="B15" s="243" t="s">
        <v>3553</v>
      </c>
      <c r="D15" s="246"/>
      <c r="E15" s="245"/>
      <c r="G15" s="245"/>
      <c r="H15" s="245"/>
      <c r="I15" s="735" t="s">
        <v>3211</v>
      </c>
      <c r="L15" s="247"/>
      <c r="Q15" s="3038"/>
      <c r="R15" s="3039"/>
      <c r="S15" s="3040"/>
      <c r="Z15" s="1608">
        <v>15</v>
      </c>
      <c r="AA15" s="1711">
        <v>14</v>
      </c>
    </row>
    <row r="16" spans="1:28" s="144" customFormat="1">
      <c r="B16" s="144" t="s">
        <v>3212</v>
      </c>
      <c r="F16" s="3053" t="s">
        <v>5203</v>
      </c>
      <c r="G16" s="3054"/>
      <c r="H16" s="3055"/>
      <c r="I16" s="2016" t="s">
        <v>1665</v>
      </c>
      <c r="J16" s="3063" t="s">
        <v>5207</v>
      </c>
      <c r="K16" s="3058"/>
      <c r="L16" s="3059"/>
      <c r="M16" s="1787" t="s">
        <v>1834</v>
      </c>
      <c r="N16" s="3053" t="s">
        <v>5208</v>
      </c>
      <c r="O16" s="3054"/>
      <c r="P16" s="3055"/>
      <c r="Q16" s="3038"/>
      <c r="R16" s="3039"/>
      <c r="S16" s="3040"/>
      <c r="Z16" s="1608">
        <v>16</v>
      </c>
      <c r="AA16" s="1711">
        <v>15</v>
      </c>
    </row>
    <row r="17" spans="1:27" s="144" customFormat="1" ht="12.75" customHeight="1">
      <c r="B17" s="246" t="s">
        <v>1597</v>
      </c>
      <c r="F17" s="3064">
        <v>6144512151</v>
      </c>
      <c r="G17" s="3065"/>
      <c r="H17" s="3066"/>
      <c r="I17" s="2017" t="s">
        <v>1596</v>
      </c>
      <c r="J17" s="806"/>
      <c r="M17" s="246" t="s">
        <v>1598</v>
      </c>
      <c r="N17" s="3064">
        <v>6142733734</v>
      </c>
      <c r="O17" s="3065"/>
      <c r="P17" s="3066"/>
      <c r="Q17" s="3038"/>
      <c r="R17" s="3039"/>
      <c r="S17" s="3040"/>
      <c r="V17" s="735"/>
      <c r="W17" s="735"/>
      <c r="X17" s="735"/>
      <c r="Z17" s="1608">
        <v>17</v>
      </c>
      <c r="AA17" s="1711">
        <v>16</v>
      </c>
    </row>
    <row r="18" spans="1:27" s="144" customFormat="1">
      <c r="B18" s="246" t="s">
        <v>1837</v>
      </c>
      <c r="F18" s="3056" t="s">
        <v>5209</v>
      </c>
      <c r="G18" s="3057"/>
      <c r="H18" s="3057"/>
      <c r="I18" s="3058"/>
      <c r="J18" s="3057"/>
      <c r="K18" s="3058"/>
      <c r="L18" s="3059"/>
      <c r="M18" s="246" t="s">
        <v>1833</v>
      </c>
      <c r="N18" s="3060">
        <v>6144037558</v>
      </c>
      <c r="O18" s="3061"/>
      <c r="P18" s="3062"/>
      <c r="Q18" s="3038"/>
      <c r="R18" s="3039"/>
      <c r="S18" s="3040"/>
      <c r="U18" s="735"/>
      <c r="V18" s="735"/>
      <c r="W18" s="735"/>
      <c r="X18" s="735"/>
      <c r="Z18" s="1608">
        <v>18</v>
      </c>
      <c r="AA18" s="1711">
        <v>17</v>
      </c>
    </row>
    <row r="19" spans="1:27" s="144" customFormat="1">
      <c r="A19" s="374"/>
      <c r="B19" s="243" t="s">
        <v>3552</v>
      </c>
      <c r="C19" s="145"/>
      <c r="H19" s="248"/>
      <c r="J19" s="145"/>
      <c r="P19" s="248"/>
      <c r="Q19" s="3038"/>
      <c r="R19" s="3039"/>
      <c r="S19" s="3040"/>
      <c r="Z19" s="1608">
        <v>19</v>
      </c>
      <c r="AA19" s="1711">
        <v>18</v>
      </c>
    </row>
    <row r="20" spans="1:27" s="144" customFormat="1">
      <c r="B20" s="144" t="s">
        <v>3212</v>
      </c>
      <c r="F20" s="3053" t="s">
        <v>5203</v>
      </c>
      <c r="G20" s="3054"/>
      <c r="H20" s="3055"/>
      <c r="I20" s="2016" t="s">
        <v>1665</v>
      </c>
      <c r="J20" s="3063" t="s">
        <v>5210</v>
      </c>
      <c r="K20" s="3058"/>
      <c r="L20" s="3059"/>
      <c r="M20" s="1787" t="s">
        <v>1834</v>
      </c>
      <c r="N20" s="3053" t="s">
        <v>5211</v>
      </c>
      <c r="O20" s="3054"/>
      <c r="P20" s="3055"/>
      <c r="Q20" s="3038"/>
      <c r="R20" s="3039"/>
      <c r="S20" s="3040"/>
      <c r="Z20" s="1608">
        <v>20</v>
      </c>
      <c r="AA20" s="1711">
        <v>19</v>
      </c>
    </row>
    <row r="21" spans="1:27" s="144" customFormat="1">
      <c r="B21" s="246" t="s">
        <v>1597</v>
      </c>
      <c r="F21" s="3064">
        <v>4044483184</v>
      </c>
      <c r="G21" s="3065"/>
      <c r="H21" s="3066"/>
      <c r="I21" s="2017" t="s">
        <v>1596</v>
      </c>
      <c r="J21" s="806"/>
      <c r="M21" s="246" t="s">
        <v>1598</v>
      </c>
      <c r="N21" s="3064">
        <v>8457064788</v>
      </c>
      <c r="O21" s="3065"/>
      <c r="P21" s="3066"/>
      <c r="Q21" s="3038"/>
      <c r="R21" s="3039"/>
      <c r="S21" s="3040"/>
      <c r="U21" s="230"/>
      <c r="V21" s="230"/>
      <c r="W21" s="230"/>
      <c r="X21" s="230"/>
      <c r="Z21" s="1608">
        <v>21</v>
      </c>
      <c r="AA21" s="1711">
        <v>20</v>
      </c>
    </row>
    <row r="22" spans="1:27" s="144" customFormat="1">
      <c r="B22" s="246" t="s">
        <v>1837</v>
      </c>
      <c r="F22" s="3056" t="s">
        <v>5212</v>
      </c>
      <c r="G22" s="3057"/>
      <c r="H22" s="3057"/>
      <c r="I22" s="3058"/>
      <c r="J22" s="3057"/>
      <c r="K22" s="3058"/>
      <c r="L22" s="3059"/>
      <c r="M22" s="246" t="s">
        <v>1833</v>
      </c>
      <c r="N22" s="3060">
        <v>8457064788</v>
      </c>
      <c r="O22" s="3061"/>
      <c r="P22" s="3062"/>
      <c r="Q22" s="3038"/>
      <c r="R22" s="3039"/>
      <c r="S22" s="3040"/>
      <c r="Z22" s="1608">
        <v>22</v>
      </c>
      <c r="AA22" s="1711">
        <v>21</v>
      </c>
    </row>
    <row r="23" spans="1:27" s="144" customFormat="1">
      <c r="I23" s="145"/>
      <c r="J23" s="145"/>
      <c r="K23" s="145"/>
      <c r="L23" s="145"/>
      <c r="M23" s="145"/>
      <c r="N23" s="145"/>
      <c r="O23" s="145"/>
      <c r="P23" s="145"/>
      <c r="Q23" s="3038"/>
      <c r="R23" s="3039"/>
      <c r="S23" s="3040"/>
      <c r="Z23" s="1608">
        <v>23</v>
      </c>
      <c r="AA23" s="1711">
        <v>22</v>
      </c>
    </row>
    <row r="24" spans="1:27" s="144" customFormat="1">
      <c r="A24" s="222" t="s">
        <v>1661</v>
      </c>
      <c r="B24" s="243" t="s">
        <v>1379</v>
      </c>
      <c r="D24" s="145"/>
      <c r="E24" s="245"/>
      <c r="F24" s="245"/>
      <c r="G24" s="246"/>
      <c r="H24" s="245"/>
      <c r="I24" s="245"/>
      <c r="J24" s="245"/>
      <c r="Q24" s="3038"/>
      <c r="R24" s="3039"/>
      <c r="S24" s="3040"/>
      <c r="Z24" s="1608">
        <v>24</v>
      </c>
      <c r="AA24" s="1711">
        <v>23</v>
      </c>
    </row>
    <row r="25" spans="1:27" s="144" customFormat="1" ht="1.5" customHeight="1">
      <c r="A25" s="222"/>
      <c r="B25" s="243"/>
      <c r="D25" s="145"/>
      <c r="E25" s="245"/>
      <c r="F25" s="245"/>
      <c r="G25" s="246"/>
      <c r="H25" s="245"/>
      <c r="I25" s="245"/>
      <c r="J25" s="245"/>
      <c r="L25" s="247"/>
      <c r="M25" s="247"/>
      <c r="Q25" s="3038"/>
      <c r="R25" s="3039"/>
      <c r="S25" s="3040"/>
      <c r="Z25" s="1608">
        <v>25</v>
      </c>
      <c r="AA25" s="1711">
        <v>24</v>
      </c>
    </row>
    <row r="26" spans="1:27" s="144" customFormat="1" ht="13.4" customHeight="1">
      <c r="A26" s="243"/>
      <c r="B26" s="144" t="s">
        <v>573</v>
      </c>
      <c r="D26" s="243"/>
      <c r="F26" s="3063" t="s">
        <v>5213</v>
      </c>
      <c r="G26" s="3068"/>
      <c r="H26" s="3068"/>
      <c r="I26" s="3058"/>
      <c r="J26" s="3068"/>
      <c r="K26" s="3069"/>
      <c r="M26" s="246" t="s">
        <v>424</v>
      </c>
      <c r="P26" s="1788" t="s">
        <v>2642</v>
      </c>
      <c r="Q26" s="3038"/>
      <c r="R26" s="3039"/>
      <c r="S26" s="3040"/>
      <c r="Z26" s="1608">
        <v>26</v>
      </c>
      <c r="AA26" s="1711">
        <v>25</v>
      </c>
    </row>
    <row r="27" spans="1:27" s="144" customFormat="1">
      <c r="A27" s="374"/>
      <c r="B27" s="144" t="s">
        <v>574</v>
      </c>
      <c r="F27" s="3070" t="s">
        <v>1159</v>
      </c>
      <c r="G27" s="3071"/>
      <c r="H27" s="3072"/>
      <c r="I27" s="257" t="s">
        <v>575</v>
      </c>
      <c r="J27" s="3073" t="str">
        <f>IF(F27="","",VLOOKUP(F27,'DCA Underwriting Assumptions'!$T$167:$U$796,2,FALSE))</f>
        <v>Fulton</v>
      </c>
      <c r="K27" s="3074"/>
      <c r="M27" s="246" t="s">
        <v>425</v>
      </c>
      <c r="P27" s="1845" t="s">
        <v>2645</v>
      </c>
      <c r="Q27" s="3038"/>
      <c r="R27" s="3039"/>
      <c r="S27" s="3040"/>
      <c r="U27" s="374"/>
      <c r="Z27" s="1608">
        <v>27</v>
      </c>
      <c r="AA27" s="1711">
        <v>26</v>
      </c>
    </row>
    <row r="28" spans="1:27" s="144" customFormat="1">
      <c r="A28" s="374"/>
      <c r="B28" s="144" t="s">
        <v>3780</v>
      </c>
      <c r="C28" s="251"/>
      <c r="D28" s="252"/>
      <c r="E28" s="252"/>
      <c r="F28" s="3070" t="s">
        <v>5214</v>
      </c>
      <c r="G28" s="3075"/>
      <c r="H28" s="3076"/>
      <c r="I28" s="248"/>
      <c r="J28" s="391" t="s">
        <v>4607</v>
      </c>
      <c r="K28" s="248"/>
      <c r="M28" s="246" t="s">
        <v>4550</v>
      </c>
      <c r="O28" s="3077">
        <v>4.46</v>
      </c>
      <c r="P28" s="3078"/>
      <c r="Q28" s="3038"/>
      <c r="R28" s="3039"/>
      <c r="S28" s="3040"/>
      <c r="Z28" s="1608">
        <v>28</v>
      </c>
      <c r="AA28" s="1711">
        <v>27</v>
      </c>
    </row>
    <row r="29" spans="1:27" s="144" customFormat="1">
      <c r="A29" s="374"/>
      <c r="B29" s="144" t="s">
        <v>1453</v>
      </c>
      <c r="F29" s="1190" t="s">
        <v>2645</v>
      </c>
      <c r="G29" s="803"/>
      <c r="I29" s="1844"/>
      <c r="J29" s="248" t="s">
        <v>2493</v>
      </c>
      <c r="K29" s="1846" t="str">
        <f>IF(F29="Yes","Rural","Urban")</f>
        <v>Urban</v>
      </c>
      <c r="M29" s="246" t="s">
        <v>2393</v>
      </c>
      <c r="N29" s="1847" t="str">
        <f>VLOOKUP($J$27,'DCA Underwriting Assumptions'!$G$167:$J$326,4)</f>
        <v>MSA</v>
      </c>
      <c r="O29" s="3073" t="str">
        <f>IF($F$27="","",VLOOKUP($J$27,'DCA Underwriting Assumptions'!$G$167:$L$326,3,FALSE))</f>
        <v>Atlanta-Sandy Springs-Marietta</v>
      </c>
      <c r="P29" s="3074"/>
      <c r="Q29" s="3038"/>
      <c r="R29" s="3039"/>
      <c r="S29" s="3040"/>
      <c r="Z29" s="1608">
        <v>29</v>
      </c>
      <c r="AA29" s="1711">
        <v>28</v>
      </c>
    </row>
    <row r="30" spans="1:27" s="144" customFormat="1">
      <c r="A30" s="374"/>
      <c r="B30" s="374"/>
      <c r="C30" s="251"/>
      <c r="D30" s="252"/>
      <c r="E30" s="252"/>
      <c r="F30" s="248"/>
      <c r="G30" s="248"/>
      <c r="H30" s="248"/>
      <c r="I30" s="248"/>
      <c r="J30" s="252"/>
      <c r="K30" s="248"/>
      <c r="L30" s="248"/>
      <c r="P30" s="248"/>
      <c r="Q30" s="3038"/>
      <c r="R30" s="3039"/>
      <c r="S30" s="3040"/>
      <c r="Z30" s="1608">
        <v>30</v>
      </c>
      <c r="AA30" s="1711">
        <v>29</v>
      </c>
    </row>
    <row r="31" spans="1:27" s="144" customFormat="1">
      <c r="A31" s="222" t="s">
        <v>1663</v>
      </c>
      <c r="B31" s="222" t="s">
        <v>4539</v>
      </c>
      <c r="D31" s="253"/>
      <c r="E31" s="253"/>
      <c r="F31" s="253"/>
      <c r="G31" s="248"/>
      <c r="H31" s="248"/>
      <c r="I31" s="248"/>
      <c r="J31" s="252"/>
      <c r="K31" s="248"/>
      <c r="L31" s="248"/>
      <c r="P31" s="1826"/>
      <c r="Q31" s="3038"/>
      <c r="R31" s="3039"/>
      <c r="S31" s="3040"/>
      <c r="Z31" s="1608">
        <v>31</v>
      </c>
      <c r="AA31" s="1711">
        <v>30</v>
      </c>
    </row>
    <row r="32" spans="1:27" s="144" customFormat="1" ht="2.25" customHeight="1">
      <c r="A32" s="374"/>
      <c r="B32" s="374"/>
      <c r="M32" s="246"/>
      <c r="N32" s="1149"/>
      <c r="O32" s="1149"/>
      <c r="P32" s="1457"/>
      <c r="Q32" s="3038"/>
      <c r="R32" s="3039"/>
      <c r="S32" s="3040"/>
      <c r="Z32" s="1608">
        <v>32</v>
      </c>
      <c r="AA32" s="1711">
        <v>31</v>
      </c>
    </row>
    <row r="33" spans="1:27" s="144" customFormat="1">
      <c r="A33" s="374"/>
      <c r="B33" s="222" t="s">
        <v>4538</v>
      </c>
      <c r="D33" s="800"/>
      <c r="E33" s="800"/>
      <c r="F33" s="800"/>
      <c r="G33" s="800"/>
      <c r="H33" s="248"/>
      <c r="J33" s="145"/>
      <c r="K33" s="252"/>
      <c r="P33" s="248"/>
      <c r="Q33" s="3038"/>
      <c r="R33" s="3039"/>
      <c r="S33" s="3040"/>
      <c r="Z33" s="1608">
        <v>33</v>
      </c>
      <c r="AA33" s="1711">
        <v>32</v>
      </c>
    </row>
    <row r="34" spans="1:27" s="144" customFormat="1" ht="1.5" customHeight="1">
      <c r="A34" s="374"/>
      <c r="B34" s="374"/>
      <c r="C34" s="222"/>
      <c r="D34" s="800"/>
      <c r="E34" s="800"/>
      <c r="F34" s="800"/>
      <c r="G34" s="800"/>
      <c r="H34" s="248"/>
      <c r="J34" s="145"/>
      <c r="K34" s="252"/>
      <c r="P34" s="248"/>
      <c r="Q34" s="3038"/>
      <c r="R34" s="3039"/>
      <c r="S34" s="3040"/>
      <c r="Z34" s="1608">
        <v>34</v>
      </c>
      <c r="AA34" s="1711">
        <v>33</v>
      </c>
    </row>
    <row r="35" spans="1:27" s="144" customFormat="1" ht="13.5" hidden="1" customHeight="1">
      <c r="A35" s="374"/>
      <c r="B35" s="374"/>
      <c r="C35" s="144" t="s">
        <v>1206</v>
      </c>
      <c r="D35" s="258"/>
      <c r="I35" s="1181"/>
      <c r="K35" s="243"/>
      <c r="L35" s="144" t="s">
        <v>3002</v>
      </c>
      <c r="P35" s="1782"/>
      <c r="Q35" s="3038"/>
      <c r="R35" s="3039"/>
      <c r="S35" s="3040"/>
      <c r="Z35" s="1608">
        <v>35</v>
      </c>
      <c r="AA35" s="1711">
        <v>34</v>
      </c>
    </row>
    <row r="36" spans="1:27" s="144" customFormat="1" ht="12.75" hidden="1" customHeight="1">
      <c r="A36" s="374"/>
      <c r="B36" s="243"/>
      <c r="C36" s="144" t="s">
        <v>3806</v>
      </c>
      <c r="I36" s="1776"/>
      <c r="J36" s="257" t="s">
        <v>2477</v>
      </c>
      <c r="O36" s="3079"/>
      <c r="P36" s="3080"/>
      <c r="Q36" s="3038"/>
      <c r="R36" s="3039"/>
      <c r="S36" s="3040"/>
      <c r="Z36" s="1608">
        <v>36</v>
      </c>
      <c r="AA36" s="1711">
        <v>35</v>
      </c>
    </row>
    <row r="37" spans="1:27" s="144" customFormat="1" ht="12.75" customHeight="1">
      <c r="A37" s="374"/>
      <c r="B37" s="243"/>
      <c r="C37" s="144" t="s">
        <v>1671</v>
      </c>
      <c r="I37" s="1181" t="s">
        <v>2645</v>
      </c>
      <c r="J37" s="257" t="s">
        <v>2477</v>
      </c>
      <c r="O37" s="3081"/>
      <c r="P37" s="3082"/>
      <c r="Q37" s="3038"/>
      <c r="R37" s="3039"/>
      <c r="S37" s="3040"/>
      <c r="Z37" s="1608">
        <v>37</v>
      </c>
      <c r="AA37" s="1711">
        <v>36</v>
      </c>
    </row>
    <row r="38" spans="1:27" s="144" customFormat="1" ht="12.65" customHeight="1">
      <c r="A38" s="374"/>
      <c r="B38" s="374"/>
      <c r="C38" s="144" t="s">
        <v>2568</v>
      </c>
      <c r="I38" s="845" t="s">
        <v>2645</v>
      </c>
      <c r="J38" s="257" t="s">
        <v>2477</v>
      </c>
      <c r="O38" s="3083"/>
      <c r="P38" s="3084"/>
      <c r="Q38" s="3041"/>
      <c r="R38" s="3042"/>
      <c r="S38" s="3043"/>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85" t="s">
        <v>5288</v>
      </c>
      <c r="B43" s="3086"/>
      <c r="C43" s="3086"/>
      <c r="D43" s="3086"/>
      <c r="E43" s="3086"/>
      <c r="F43" s="3086"/>
      <c r="G43" s="3086"/>
      <c r="H43" s="3086"/>
      <c r="I43" s="3086"/>
      <c r="J43" s="3086"/>
      <c r="K43" s="3086"/>
      <c r="L43" s="3087"/>
      <c r="M43" s="3088"/>
      <c r="N43" s="3089"/>
      <c r="O43" s="3089"/>
      <c r="P43" s="3090"/>
      <c r="Q43" s="3067"/>
      <c r="R43" s="3028"/>
      <c r="S43" s="3028"/>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2553</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2554</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2555</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2556</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2557</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2558</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2559</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2560</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2561</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3207</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olQ9sTeShWrLPDBUaU6uHZO0ai4Okn/Liy4fZWjLS2aCxhYxtyEVLJdm4qENXJs3qk3XuwlbWa0nV3YZaTKjww==" saltValue="q0DlAlzlAkOYBmpuPn/3z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2"/>
    <col min="2" max="2" width="7.7265625" style="512" customWidth="1"/>
    <col min="3" max="3" width="14.7265625" style="512" customWidth="1"/>
    <col min="4" max="4" width="20.26953125" style="512" customWidth="1"/>
    <col min="5" max="5" width="8" style="512" customWidth="1"/>
    <col min="6" max="6" width="5.26953125" style="512" customWidth="1"/>
    <col min="7" max="7" width="5.453125" style="512" customWidth="1"/>
    <col min="8" max="8" width="8.54296875" style="512" customWidth="1"/>
    <col min="9" max="9" width="28.54296875" style="512" customWidth="1"/>
    <col min="10" max="10" width="4.26953125" style="512" hidden="1" customWidth="1"/>
    <col min="11" max="11" width="9.26953125" style="512"/>
    <col min="12" max="12" width="16.26953125" style="512" customWidth="1"/>
    <col min="13" max="13" width="11.26953125" style="512" customWidth="1"/>
    <col min="14" max="14" width="10.7265625" style="512" bestFit="1" customWidth="1"/>
    <col min="15" max="15" width="28.54296875" style="512" customWidth="1"/>
    <col min="16" max="16384" width="9.26953125" style="512"/>
  </cols>
  <sheetData>
    <row r="2" spans="1:10">
      <c r="A2" s="509" t="s">
        <v>2588</v>
      </c>
      <c r="B2" s="510"/>
      <c r="C2" s="510"/>
      <c r="D2" s="510"/>
      <c r="E2" s="511"/>
      <c r="F2" s="510"/>
      <c r="G2" s="510"/>
      <c r="H2" s="510"/>
      <c r="I2" s="510"/>
      <c r="J2" s="510"/>
    </row>
    <row r="3" spans="1:10">
      <c r="A3" s="513"/>
    </row>
    <row r="4" spans="1:10">
      <c r="A4" s="513" t="s">
        <v>2589</v>
      </c>
      <c r="D4" s="512" t="s">
        <v>2590</v>
      </c>
    </row>
    <row r="5" spans="1:10">
      <c r="A5" s="513"/>
    </row>
    <row r="6" spans="1:10">
      <c r="A6" s="513" t="s">
        <v>2591</v>
      </c>
      <c r="D6" s="512" t="s">
        <v>2592</v>
      </c>
    </row>
    <row r="7" spans="1:10">
      <c r="A7" s="513"/>
    </row>
    <row r="8" spans="1:10">
      <c r="A8" s="513" t="s">
        <v>2593</v>
      </c>
      <c r="D8" s="514" t="s">
        <v>2594</v>
      </c>
    </row>
    <row r="9" spans="1:10">
      <c r="A9" s="513"/>
    </row>
    <row r="10" spans="1:10">
      <c r="A10" s="513" t="s">
        <v>2595</v>
      </c>
      <c r="D10" s="514" t="s">
        <v>2596</v>
      </c>
    </row>
    <row r="11" spans="1:10">
      <c r="A11" s="513"/>
      <c r="D11" s="998"/>
    </row>
    <row r="12" spans="1:10">
      <c r="A12" s="513" t="s">
        <v>2597</v>
      </c>
      <c r="D12" s="512" t="s">
        <v>573</v>
      </c>
      <c r="F12" s="998" t="str">
        <f>'Sensitivity Analysis'!$C$8</f>
        <v>Princeton Court</v>
      </c>
    </row>
    <row r="13" spans="1:10">
      <c r="A13" s="513"/>
      <c r="D13" s="512" t="s">
        <v>2598</v>
      </c>
      <c r="F13" s="998" t="str">
        <f>'Sensitivity Analysis'!E8</f>
        <v>2025-5</v>
      </c>
    </row>
    <row r="14" spans="1:10">
      <c r="A14" s="513"/>
      <c r="D14" s="512" t="s">
        <v>2599</v>
      </c>
      <c r="F14" s="998" t="str">
        <f>'Sensitivity Analysis'!H8</f>
        <v>College Park, Fulton</v>
      </c>
    </row>
    <row r="15" spans="1:10">
      <c r="A15" s="513"/>
      <c r="D15" s="512" t="s">
        <v>2882</v>
      </c>
      <c r="F15" s="4781">
        <f>'Sensitivity Analysis'!$C$25</f>
        <v>7160000</v>
      </c>
      <c r="G15" s="4781"/>
      <c r="H15" s="4781"/>
    </row>
    <row r="16" spans="1:10">
      <c r="D16" s="515" t="s">
        <v>4913</v>
      </c>
      <c r="F16" s="2346">
        <f>'Sensitivity Analysis'!C13</f>
        <v>116</v>
      </c>
      <c r="G16" s="2344">
        <f>'Sensitivity Analysis'!E13</f>
        <v>108</v>
      </c>
      <c r="H16" s="2345">
        <f>ProrationMethodCostAllocatnDCA!$D$64</f>
        <v>0</v>
      </c>
    </row>
    <row r="17" spans="1:18">
      <c r="A17" s="515"/>
      <c r="D17" s="515" t="s">
        <v>2569</v>
      </c>
      <c r="F17" s="516" t="str">
        <f>'Sensitivity Analysis'!C14</f>
        <v>&lt;&lt; Select PROPOSED Tenancy &gt;&gt;</v>
      </c>
    </row>
    <row r="18" spans="1:18">
      <c r="A18" s="513"/>
      <c r="D18" s="515" t="s">
        <v>2886</v>
      </c>
      <c r="F18" s="998" t="str">
        <f>'Sensitivity Analysis'!H15</f>
        <v>Urban</v>
      </c>
    </row>
    <row r="19" spans="1:18">
      <c r="A19" s="513"/>
      <c r="D19" s="515" t="s">
        <v>2883</v>
      </c>
      <c r="F19" s="998">
        <f>'Sensitivity Analysis'!E16</f>
        <v>0</v>
      </c>
    </row>
    <row r="20" spans="1:18">
      <c r="A20" s="513"/>
      <c r="D20" s="515"/>
    </row>
    <row r="21" spans="1:18">
      <c r="A21" s="518" t="s">
        <v>4051</v>
      </c>
    </row>
    <row r="22" spans="1:18" ht="111.75" customHeight="1">
      <c r="A22" s="4787" t="s">
        <v>3015</v>
      </c>
      <c r="B22" s="4787"/>
      <c r="C22" s="4787"/>
      <c r="D22" s="4787"/>
      <c r="E22" s="4787"/>
      <c r="F22" s="4787"/>
      <c r="G22" s="4787"/>
      <c r="H22" s="4787"/>
      <c r="I22" s="4787"/>
      <c r="J22" s="4787"/>
      <c r="K22" s="4789" t="s">
        <v>3774</v>
      </c>
      <c r="L22" s="4789"/>
      <c r="M22" s="4789"/>
      <c r="N22" s="4789"/>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94"/>
      <c r="B24" s="4794"/>
      <c r="C24" s="4794"/>
      <c r="D24" s="4794"/>
      <c r="E24" s="4794"/>
      <c r="F24" s="4794"/>
      <c r="G24" s="4794"/>
      <c r="H24" s="4794"/>
      <c r="I24" s="4794"/>
      <c r="J24" s="4794"/>
    </row>
    <row r="25" spans="1:18" ht="10.5" hidden="1" customHeight="1">
      <c r="A25" s="4776"/>
      <c r="B25" s="4776"/>
      <c r="C25" s="4776"/>
      <c r="D25" s="4776"/>
      <c r="E25" s="4776"/>
      <c r="F25" s="4776"/>
      <c r="G25" s="4776"/>
      <c r="H25" s="4776"/>
      <c r="I25" s="4776"/>
      <c r="J25" s="4776"/>
    </row>
    <row r="26" spans="1:18">
      <c r="A26" s="518" t="s">
        <v>4050</v>
      </c>
    </row>
    <row r="27" spans="1:18" ht="14.25" customHeight="1">
      <c r="A27" s="4795" t="s">
        <v>4052</v>
      </c>
      <c r="B27" s="4795"/>
      <c r="C27" s="4795"/>
      <c r="D27" s="4795"/>
      <c r="E27" s="4795"/>
      <c r="F27" s="4795"/>
      <c r="G27" s="4795"/>
      <c r="H27" s="4795"/>
      <c r="I27" s="4795"/>
      <c r="J27" s="4795"/>
    </row>
    <row r="28" spans="1:18" ht="14.25" customHeight="1">
      <c r="A28" s="4795"/>
      <c r="B28" s="4795"/>
      <c r="C28" s="4795"/>
      <c r="D28" s="4795"/>
      <c r="E28" s="4795"/>
      <c r="F28" s="4795"/>
      <c r="G28" s="4795"/>
      <c r="H28" s="4795"/>
      <c r="I28" s="4795"/>
      <c r="J28" s="4795"/>
    </row>
    <row r="29" spans="1:18" ht="6.75" customHeight="1">
      <c r="A29" s="4795"/>
      <c r="B29" s="4795"/>
      <c r="C29" s="4795"/>
      <c r="D29" s="4795"/>
      <c r="E29" s="4795"/>
      <c r="F29" s="4795"/>
      <c r="G29" s="4795"/>
      <c r="H29" s="4795"/>
      <c r="I29" s="4795"/>
      <c r="J29" s="4795"/>
    </row>
    <row r="30" spans="1:18" ht="21.75" customHeight="1">
      <c r="A30" s="4795"/>
      <c r="B30" s="4795"/>
      <c r="C30" s="4795"/>
      <c r="D30" s="4795"/>
      <c r="E30" s="4795"/>
      <c r="F30" s="4795"/>
      <c r="G30" s="4795"/>
      <c r="H30" s="4795"/>
      <c r="I30" s="4795"/>
      <c r="J30" s="4795"/>
    </row>
    <row r="31" spans="1:18" ht="20.25" customHeight="1">
      <c r="A31" s="4795"/>
      <c r="B31" s="4795"/>
      <c r="C31" s="4795"/>
      <c r="D31" s="4795"/>
      <c r="E31" s="4795"/>
      <c r="F31" s="4795"/>
      <c r="G31" s="4795"/>
      <c r="H31" s="4795"/>
      <c r="I31" s="4795"/>
      <c r="J31" s="4795"/>
    </row>
    <row r="32" spans="1:18" ht="54.75" customHeight="1">
      <c r="A32" s="4795"/>
      <c r="B32" s="4795"/>
      <c r="C32" s="4795"/>
      <c r="D32" s="4795"/>
      <c r="E32" s="4795"/>
      <c r="F32" s="4795"/>
      <c r="G32" s="4795"/>
      <c r="H32" s="4795"/>
      <c r="I32" s="4795"/>
      <c r="J32" s="4795"/>
    </row>
    <row r="33" spans="1:10" ht="0.75" hidden="1" customHeight="1">
      <c r="A33" s="4795"/>
      <c r="B33" s="4795"/>
      <c r="C33" s="4795"/>
      <c r="D33" s="4795"/>
      <c r="E33" s="4795"/>
      <c r="F33" s="4795"/>
      <c r="G33" s="4795"/>
      <c r="H33" s="4795"/>
      <c r="I33" s="4795"/>
      <c r="J33" s="4795"/>
    </row>
    <row r="34" spans="1:10" ht="3.75" hidden="1" customHeight="1">
      <c r="A34" s="4795"/>
      <c r="B34" s="4795"/>
      <c r="C34" s="4795"/>
      <c r="D34" s="4795"/>
      <c r="E34" s="4795"/>
      <c r="F34" s="4795"/>
      <c r="G34" s="4795"/>
      <c r="H34" s="4795"/>
      <c r="I34" s="4795"/>
      <c r="J34" s="4795"/>
    </row>
    <row r="35" spans="1:10" ht="5.25" customHeight="1">
      <c r="A35" s="1184"/>
      <c r="B35" s="1184"/>
      <c r="C35" s="1184"/>
      <c r="D35" s="1184"/>
      <c r="E35" s="1184"/>
      <c r="F35" s="1184"/>
      <c r="G35" s="1184"/>
      <c r="H35" s="1184"/>
      <c r="I35" s="1184"/>
      <c r="J35" s="1184"/>
    </row>
    <row r="36" spans="1:10" ht="19.5" customHeight="1">
      <c r="A36" s="4794" t="s">
        <v>4053</v>
      </c>
      <c r="B36" s="4794"/>
      <c r="C36" s="4794"/>
      <c r="D36" s="1182"/>
      <c r="E36" s="1182"/>
      <c r="F36" s="1182"/>
      <c r="G36" s="1182"/>
      <c r="H36" s="1182"/>
      <c r="I36" s="1182"/>
      <c r="J36" s="1182"/>
    </row>
    <row r="37" spans="1:10" ht="22.5" customHeight="1">
      <c r="A37" s="4776" t="s">
        <v>1611</v>
      </c>
      <c r="B37" s="4776"/>
      <c r="C37" s="4776"/>
      <c r="D37" s="4776"/>
      <c r="E37" s="4776"/>
      <c r="F37" s="4776"/>
      <c r="G37" s="4776"/>
      <c r="H37" s="4776"/>
      <c r="I37" s="4776"/>
      <c r="J37" s="4776"/>
    </row>
    <row r="38" spans="1:10" ht="22.5" customHeight="1">
      <c r="A38" s="4776" t="s">
        <v>1612</v>
      </c>
      <c r="B38" s="4776"/>
      <c r="C38" s="4776"/>
      <c r="D38" s="4776"/>
      <c r="E38" s="4776"/>
      <c r="F38" s="4776"/>
      <c r="G38" s="4776"/>
      <c r="H38" s="4776"/>
      <c r="I38" s="4776"/>
      <c r="J38" s="4776"/>
    </row>
    <row r="39" spans="1:10" ht="22.5" customHeight="1">
      <c r="A39" s="4776" t="s">
        <v>1613</v>
      </c>
      <c r="B39" s="4776"/>
      <c r="C39" s="4776"/>
      <c r="D39" s="4776"/>
      <c r="E39" s="4776"/>
      <c r="F39" s="4776"/>
      <c r="G39" s="4776"/>
      <c r="H39" s="4776"/>
      <c r="I39" s="4776"/>
      <c r="J39" s="4776"/>
    </row>
    <row r="40" spans="1:10" ht="22.5" customHeight="1">
      <c r="A40" s="4776" t="s">
        <v>2176</v>
      </c>
      <c r="B40" s="4776"/>
      <c r="C40" s="4776"/>
      <c r="D40" s="4776"/>
      <c r="E40" s="4776"/>
      <c r="F40" s="4776"/>
      <c r="G40" s="4776"/>
      <c r="H40" s="4776"/>
      <c r="I40" s="4776"/>
      <c r="J40" s="4776"/>
    </row>
    <row r="41" spans="1:10" ht="22.5" customHeight="1">
      <c r="A41" s="4776" t="s">
        <v>1446</v>
      </c>
      <c r="B41" s="4776"/>
      <c r="C41" s="4776"/>
      <c r="D41" s="4776"/>
      <c r="E41" s="4776"/>
      <c r="F41" s="4776"/>
      <c r="G41" s="4776"/>
      <c r="H41" s="4776"/>
      <c r="I41" s="4776"/>
      <c r="J41" s="4776"/>
    </row>
    <row r="42" spans="1:10" ht="22.5" customHeight="1">
      <c r="A42" s="4776" t="s">
        <v>1447</v>
      </c>
      <c r="B42" s="4776"/>
      <c r="C42" s="4776"/>
      <c r="D42" s="4776"/>
      <c r="E42" s="4776"/>
      <c r="F42" s="4776"/>
      <c r="G42" s="4776"/>
      <c r="H42" s="4776"/>
      <c r="I42" s="4776"/>
      <c r="J42" s="4776"/>
    </row>
    <row r="43" spans="1:10" ht="22.5" customHeight="1">
      <c r="A43" s="4776" t="s">
        <v>93</v>
      </c>
      <c r="B43" s="4776"/>
      <c r="C43" s="4776"/>
      <c r="D43" s="4776"/>
      <c r="E43" s="4776"/>
      <c r="F43" s="4776"/>
      <c r="G43" s="4776"/>
      <c r="H43" s="4776"/>
      <c r="I43" s="4776"/>
      <c r="J43" s="4776"/>
    </row>
    <row r="44" spans="1:10" ht="22.5" customHeight="1">
      <c r="A44" s="4776" t="s">
        <v>480</v>
      </c>
      <c r="B44" s="4776"/>
      <c r="C44" s="4776"/>
      <c r="D44" s="4776"/>
      <c r="E44" s="4776"/>
      <c r="F44" s="4776"/>
      <c r="G44" s="4776"/>
      <c r="H44" s="4776"/>
      <c r="I44" s="4776"/>
      <c r="J44" s="4776"/>
    </row>
    <row r="45" spans="1:10" ht="2.25" customHeight="1">
      <c r="A45" s="1182"/>
      <c r="B45" s="1182"/>
      <c r="C45" s="1182"/>
      <c r="D45" s="1182"/>
      <c r="E45" s="1182"/>
      <c r="F45" s="1182"/>
      <c r="G45" s="1182"/>
      <c r="H45" s="1182"/>
      <c r="I45" s="1182"/>
      <c r="J45" s="1182"/>
    </row>
    <row r="46" spans="1:10">
      <c r="A46" s="518" t="s">
        <v>2600</v>
      </c>
    </row>
    <row r="47" spans="1:10" ht="135" customHeight="1">
      <c r="A47" s="4776" t="s">
        <v>4914</v>
      </c>
      <c r="B47" s="4776"/>
      <c r="C47" s="4776"/>
      <c r="D47" s="4776"/>
      <c r="E47" s="4776"/>
      <c r="F47" s="4776"/>
      <c r="G47" s="4776"/>
      <c r="H47" s="4776"/>
      <c r="I47" s="4776"/>
      <c r="J47" s="4776"/>
    </row>
    <row r="48" spans="1:10" ht="6" customHeight="1">
      <c r="A48" s="1183"/>
      <c r="B48" s="1183"/>
      <c r="C48" s="1183"/>
      <c r="D48" s="1183"/>
      <c r="E48" s="1183"/>
      <c r="F48" s="1183"/>
      <c r="G48" s="1183"/>
      <c r="H48" s="1183"/>
      <c r="I48" s="1183"/>
      <c r="J48" s="1183"/>
    </row>
    <row r="49" spans="1:12">
      <c r="A49" s="518" t="s">
        <v>2601</v>
      </c>
    </row>
    <row r="50" spans="1:12" ht="33" customHeight="1">
      <c r="A50" s="4772" t="s">
        <v>3364</v>
      </c>
      <c r="B50" s="4774"/>
      <c r="C50" s="4774"/>
      <c r="D50" s="4774"/>
      <c r="E50" s="4774"/>
      <c r="F50" s="4774"/>
      <c r="G50" s="4774"/>
      <c r="H50" s="4774"/>
      <c r="I50" s="4774"/>
      <c r="J50" s="4772"/>
    </row>
    <row r="51" spans="1:12" ht="3" customHeight="1"/>
    <row r="52" spans="1:12" ht="72.75" customHeight="1">
      <c r="A52" s="4772" t="s">
        <v>3365</v>
      </c>
      <c r="B52" s="4772"/>
      <c r="C52" s="4772"/>
      <c r="D52" s="4772"/>
      <c r="E52" s="4772"/>
      <c r="F52" s="4772"/>
      <c r="G52" s="4772"/>
      <c r="H52" s="4772"/>
      <c r="I52" s="4772"/>
      <c r="J52" s="4772"/>
    </row>
    <row r="53" spans="1:12" ht="3" customHeight="1">
      <c r="A53" s="1182"/>
      <c r="B53" s="1182"/>
      <c r="C53" s="1182"/>
      <c r="D53" s="1182"/>
      <c r="E53" s="1182"/>
      <c r="F53" s="1182"/>
      <c r="G53" s="1182"/>
      <c r="H53" s="1182"/>
      <c r="I53" s="1182"/>
      <c r="J53" s="1182"/>
    </row>
    <row r="54" spans="1:12" ht="56.25" customHeight="1">
      <c r="A54" s="4772" t="s">
        <v>3366</v>
      </c>
      <c r="B54" s="4772"/>
      <c r="C54" s="4772"/>
      <c r="D54" s="4772"/>
      <c r="E54" s="4772"/>
      <c r="F54" s="4772"/>
      <c r="G54" s="4772"/>
      <c r="H54" s="4772"/>
      <c r="I54" s="4772"/>
      <c r="J54" s="4772"/>
    </row>
    <row r="55" spans="1:12" ht="3" customHeight="1">
      <c r="A55" s="1182"/>
      <c r="B55" s="1182"/>
      <c r="C55" s="1182"/>
      <c r="D55" s="1182"/>
      <c r="E55" s="1182"/>
      <c r="F55" s="1182"/>
      <c r="G55" s="1182"/>
      <c r="H55" s="1182"/>
      <c r="I55" s="1182"/>
      <c r="J55" s="1182"/>
    </row>
    <row r="56" spans="1:12" ht="49.5" customHeight="1">
      <c r="A56" s="4772" t="s">
        <v>3367</v>
      </c>
      <c r="B56" s="4772"/>
      <c r="C56" s="4772"/>
      <c r="D56" s="4772"/>
      <c r="E56" s="4772"/>
      <c r="F56" s="4772"/>
      <c r="G56" s="4772"/>
      <c r="H56" s="4772"/>
      <c r="I56" s="4772"/>
      <c r="J56" s="1182"/>
    </row>
    <row r="57" spans="1:12" ht="3" customHeight="1">
      <c r="A57" s="1182"/>
      <c r="B57" s="1182"/>
      <c r="C57" s="1182"/>
      <c r="D57" s="1182"/>
      <c r="E57" s="1182"/>
      <c r="F57" s="1182"/>
      <c r="G57" s="1182"/>
      <c r="H57" s="1182"/>
      <c r="I57" s="1182"/>
      <c r="J57" s="1182"/>
    </row>
    <row r="58" spans="1:12" ht="54.75" customHeight="1">
      <c r="A58" s="4786" t="s">
        <v>2890</v>
      </c>
      <c r="B58" s="4772"/>
      <c r="C58" s="4772"/>
      <c r="D58" s="4772"/>
      <c r="E58" s="4772"/>
      <c r="F58" s="4772"/>
      <c r="G58" s="4772"/>
      <c r="H58" s="4772"/>
      <c r="I58" s="4772"/>
      <c r="J58" s="1182"/>
    </row>
    <row r="59" spans="1:12" ht="3" customHeight="1">
      <c r="A59" s="1182"/>
      <c r="B59" s="1182"/>
      <c r="C59" s="1182"/>
      <c r="D59" s="1182"/>
      <c r="E59" s="1182"/>
      <c r="F59" s="1182"/>
      <c r="G59" s="1182"/>
      <c r="H59" s="1182"/>
      <c r="I59" s="1182"/>
      <c r="J59" s="1182"/>
    </row>
    <row r="60" spans="1:12" ht="62.25" customHeight="1">
      <c r="A60" s="4772" t="s">
        <v>3368</v>
      </c>
      <c r="B60" s="4772"/>
      <c r="C60" s="4772"/>
      <c r="D60" s="4772"/>
      <c r="E60" s="4772"/>
      <c r="F60" s="4772"/>
      <c r="G60" s="4772"/>
      <c r="H60" s="4772"/>
      <c r="I60" s="4772"/>
      <c r="J60" s="4772"/>
    </row>
    <row r="61" spans="1:12" ht="3" customHeight="1"/>
    <row r="62" spans="1:12" ht="73.5" customHeight="1">
      <c r="A62" s="4772" t="s">
        <v>3369</v>
      </c>
      <c r="B62" s="4772"/>
      <c r="C62" s="4772"/>
      <c r="D62" s="4772"/>
      <c r="E62" s="4772"/>
      <c r="F62" s="4772"/>
      <c r="G62" s="4772"/>
      <c r="H62" s="4772"/>
      <c r="I62" s="4772"/>
      <c r="J62" s="4772"/>
    </row>
    <row r="63" spans="1:12" ht="6" customHeight="1">
      <c r="A63" s="1182" t="s">
        <v>233</v>
      </c>
      <c r="B63" s="1182"/>
      <c r="C63" s="1182"/>
      <c r="D63" s="1182"/>
      <c r="E63" s="1182"/>
      <c r="F63" s="1182"/>
      <c r="G63" s="1182"/>
      <c r="H63" s="1182"/>
      <c r="I63" s="1182"/>
      <c r="J63" s="1182"/>
    </row>
    <row r="64" spans="1:12">
      <c r="A64" s="518" t="s">
        <v>2602</v>
      </c>
      <c r="L64" s="519" t="s">
        <v>3007</v>
      </c>
    </row>
    <row r="65" spans="1:17" ht="46.5" customHeight="1">
      <c r="A65" s="4787" t="s">
        <v>2603</v>
      </c>
      <c r="B65" s="4787"/>
      <c r="C65" s="4787"/>
      <c r="D65" s="4787"/>
      <c r="E65" s="4787"/>
      <c r="F65" s="4787"/>
      <c r="G65" s="4787"/>
      <c r="H65" s="4787"/>
      <c r="I65" s="4787"/>
      <c r="J65" s="4787"/>
      <c r="L65" s="520">
        <f>'Closing term sheet'!C135</f>
        <v>906693</v>
      </c>
      <c r="M65" s="521"/>
      <c r="N65" s="521"/>
      <c r="O65" s="521"/>
    </row>
    <row r="66" spans="1:17" ht="7.5" customHeight="1">
      <c r="A66" s="1182"/>
      <c r="B66" s="1182"/>
      <c r="C66" s="1182"/>
      <c r="D66" s="1182"/>
      <c r="E66" s="1182"/>
      <c r="F66" s="1182"/>
      <c r="G66" s="1182"/>
      <c r="H66" s="1182"/>
      <c r="I66" s="1182"/>
      <c r="J66" s="1182"/>
      <c r="L66" s="522" t="s">
        <v>3008</v>
      </c>
      <c r="M66" s="523" t="s">
        <v>3013</v>
      </c>
      <c r="N66" s="524" t="s">
        <v>3010</v>
      </c>
      <c r="O66" s="522" t="s">
        <v>3009</v>
      </c>
      <c r="P66" s="523" t="s">
        <v>3012</v>
      </c>
      <c r="Q66" s="524" t="s">
        <v>3011</v>
      </c>
    </row>
    <row r="67" spans="1:17" ht="78.75" customHeight="1">
      <c r="A67" s="4772"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12565830 via the syndication of the 2024 Federal LIHTC allocation of 1478480 per annum. will make a capital contribution totaling 7725062 via the syndication of the 2024 State LIHTC allocation of 1478480 per annum.</v>
      </c>
      <c r="B67" s="4772"/>
      <c r="C67" s="4772"/>
      <c r="D67" s="4772"/>
      <c r="E67" s="4772"/>
      <c r="F67" s="4772"/>
      <c r="G67" s="4772"/>
      <c r="H67" s="4772"/>
      <c r="I67" s="4772"/>
      <c r="J67" s="525"/>
      <c r="L67" s="2347">
        <f>'Part II-Sources of Funds'!I53</f>
        <v>12565830</v>
      </c>
      <c r="M67" s="2348">
        <f>'Part III-A-Uses of Funds'!$J$192</f>
        <v>1478480</v>
      </c>
      <c r="N67" s="2349">
        <f>'Part III-A-Uses of Funds'!N183</f>
        <v>0.85</v>
      </c>
      <c r="O67" s="2347">
        <f>'Part II-Sources of Funds'!I54</f>
        <v>7725062</v>
      </c>
      <c r="P67" s="2348">
        <f>M67</f>
        <v>1478480</v>
      </c>
      <c r="Q67" s="2349">
        <f>'Part III-A-Uses of Funds'!Q183</f>
        <v>0.52249999999999996</v>
      </c>
    </row>
    <row r="68" spans="1:17" ht="39.75" customHeight="1">
      <c r="A68" s="477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1.3725 (0.85 Federal tax credit and 0.5225 State tax credit) for a (X%) ownership interest of the Federal Credits and a (X%) ownership interest of the State Credits. </v>
      </c>
      <c r="B68" s="4776"/>
      <c r="C68" s="4776"/>
      <c r="D68" s="4776"/>
      <c r="E68" s="4776"/>
      <c r="F68" s="4776"/>
      <c r="G68" s="4776"/>
      <c r="H68" s="4776"/>
      <c r="I68" s="4776"/>
      <c r="J68" s="525"/>
      <c r="L68" s="1458"/>
      <c r="M68" s="1458"/>
      <c r="N68" s="621"/>
      <c r="O68" s="1458"/>
      <c r="P68" s="1458"/>
      <c r="Q68" s="621"/>
    </row>
    <row r="69" spans="1:17" ht="18.75" customHeight="1">
      <c r="A69" s="526" t="s">
        <v>2604</v>
      </c>
    </row>
    <row r="70" spans="1:17" ht="177" customHeight="1">
      <c r="A70" s="4772" t="s">
        <v>4915</v>
      </c>
      <c r="B70" s="4772"/>
      <c r="C70" s="4772"/>
      <c r="D70" s="4772"/>
      <c r="E70" s="4772"/>
      <c r="F70" s="4772"/>
      <c r="G70" s="4772"/>
      <c r="H70" s="4772"/>
      <c r="I70" s="4772"/>
      <c r="J70" s="4772"/>
      <c r="L70" s="527">
        <f>'Part VI-Pro Forma'!K72</f>
        <v>5541591.4364955556</v>
      </c>
      <c r="M70" s="4788" t="s">
        <v>3014</v>
      </c>
      <c r="N70" s="4789"/>
    </row>
    <row r="71" spans="1:17" ht="6" customHeight="1">
      <c r="A71" s="518"/>
    </row>
    <row r="72" spans="1:17">
      <c r="A72" s="518" t="s">
        <v>2605</v>
      </c>
    </row>
    <row r="73" spans="1:17" ht="72.650000000000006" customHeight="1">
      <c r="A73" s="4772" t="s">
        <v>2606</v>
      </c>
      <c r="B73" s="4772"/>
      <c r="C73" s="4772"/>
      <c r="D73" s="4772"/>
      <c r="E73" s="4772"/>
      <c r="F73" s="4772"/>
      <c r="G73" s="4772"/>
      <c r="H73" s="4772"/>
      <c r="I73" s="4772"/>
      <c r="J73" s="4772"/>
    </row>
    <row r="74" spans="1:17" ht="36" customHeight="1">
      <c r="A74" s="4772" t="s">
        <v>2607</v>
      </c>
      <c r="B74" s="4772"/>
      <c r="C74" s="4772"/>
      <c r="D74" s="4772"/>
      <c r="E74" s="4772"/>
      <c r="F74" s="4772"/>
      <c r="G74" s="4772"/>
      <c r="H74" s="4772"/>
      <c r="I74" s="4772"/>
      <c r="J74" s="4772"/>
    </row>
    <row r="75" spans="1:17" ht="6" customHeight="1">
      <c r="A75" s="518"/>
    </row>
    <row r="76" spans="1:17">
      <c r="A76" s="518" t="s">
        <v>2608</v>
      </c>
    </row>
    <row r="77" spans="1:17" ht="105.75" customHeight="1">
      <c r="A77" s="4772" t="s">
        <v>2609</v>
      </c>
      <c r="B77" s="4772"/>
      <c r="C77" s="4772"/>
      <c r="D77" s="4772"/>
      <c r="E77" s="4772"/>
      <c r="F77" s="4772"/>
      <c r="G77" s="4772"/>
      <c r="H77" s="4772"/>
      <c r="I77" s="4772"/>
      <c r="J77" s="4772"/>
    </row>
    <row r="78" spans="1:17" ht="6" customHeight="1">
      <c r="A78" s="518"/>
    </row>
    <row r="79" spans="1:17">
      <c r="A79" s="518" t="s">
        <v>2610</v>
      </c>
    </row>
    <row r="80" spans="1:17" ht="66" customHeight="1">
      <c r="A80" s="4772" t="s">
        <v>2611</v>
      </c>
      <c r="B80" s="4772"/>
      <c r="C80" s="4772"/>
      <c r="D80" s="4772"/>
      <c r="E80" s="4772"/>
      <c r="F80" s="4772"/>
      <c r="G80" s="4772"/>
      <c r="H80" s="4772"/>
      <c r="I80" s="4772"/>
      <c r="J80" s="4772"/>
    </row>
    <row r="81" spans="1:15" s="1184" customFormat="1" ht="6" customHeight="1">
      <c r="A81" s="4772"/>
      <c r="B81" s="4772"/>
      <c r="C81" s="4772"/>
      <c r="D81" s="4772"/>
      <c r="E81" s="4772"/>
      <c r="F81" s="4772"/>
      <c r="G81" s="4772"/>
      <c r="H81" s="4772"/>
      <c r="I81" s="4772"/>
      <c r="J81" s="4772"/>
    </row>
    <row r="82" spans="1:15" ht="16.5" customHeight="1">
      <c r="A82" s="1185" t="s">
        <v>2612</v>
      </c>
      <c r="B82" s="517"/>
      <c r="C82" s="517"/>
      <c r="D82" s="998"/>
      <c r="E82" s="517"/>
      <c r="F82" s="517"/>
      <c r="G82" s="517"/>
      <c r="H82" s="517"/>
      <c r="I82" s="517"/>
      <c r="J82" s="528"/>
    </row>
    <row r="83" spans="1:15" s="1184" customFormat="1" ht="63" customHeight="1">
      <c r="A83" s="4772" t="s">
        <v>3540</v>
      </c>
      <c r="B83" s="4772"/>
      <c r="C83" s="4772"/>
      <c r="D83" s="4772"/>
      <c r="E83" s="4772"/>
      <c r="F83" s="4772"/>
      <c r="G83" s="4772"/>
      <c r="H83" s="4772"/>
      <c r="I83" s="4772"/>
      <c r="J83" s="4772"/>
    </row>
    <row r="84" spans="1:15" s="1184" customFormat="1" ht="6" customHeight="1">
      <c r="A84" s="1182"/>
      <c r="B84" s="1182"/>
      <c r="C84" s="1182"/>
      <c r="D84" s="1182"/>
      <c r="E84" s="1182"/>
      <c r="F84" s="1182"/>
      <c r="G84" s="1182"/>
      <c r="H84" s="1182"/>
      <c r="I84" s="1182"/>
      <c r="J84" s="1182"/>
    </row>
    <row r="85" spans="1:15" ht="16.5" customHeight="1">
      <c r="A85" s="4791" t="s">
        <v>2613</v>
      </c>
      <c r="B85" s="4792"/>
      <c r="C85" s="4792"/>
      <c r="D85" s="517"/>
      <c r="E85" s="517"/>
      <c r="F85" s="517"/>
      <c r="G85" s="517"/>
      <c r="H85" s="517"/>
      <c r="I85" s="517"/>
      <c r="J85" s="528"/>
    </row>
    <row r="86" spans="1:15" ht="41.25" customHeight="1">
      <c r="A86" s="4772" t="s">
        <v>4916</v>
      </c>
      <c r="B86" s="4793"/>
      <c r="C86" s="4793"/>
      <c r="D86" s="4793"/>
      <c r="E86" s="4793"/>
      <c r="F86" s="4793"/>
      <c r="G86" s="4793"/>
      <c r="H86" s="4793"/>
      <c r="I86" s="4793"/>
      <c r="J86" s="4793"/>
    </row>
    <row r="87" spans="1:15" ht="6" customHeight="1">
      <c r="A87" s="529"/>
      <c r="B87" s="517"/>
      <c r="C87" s="517"/>
      <c r="D87" s="517"/>
      <c r="E87" s="517"/>
      <c r="F87" s="517"/>
      <c r="G87" s="517"/>
      <c r="H87" s="517"/>
      <c r="I87" s="517"/>
      <c r="J87" s="528"/>
    </row>
    <row r="88" spans="1:15">
      <c r="A88" s="518" t="s">
        <v>2614</v>
      </c>
    </row>
    <row r="89" spans="1:15" ht="124.15" customHeight="1">
      <c r="A89" s="4772" t="s">
        <v>2615</v>
      </c>
      <c r="B89" s="4772"/>
      <c r="C89" s="4772"/>
      <c r="D89" s="4772"/>
      <c r="E89" s="4772"/>
      <c r="F89" s="4772"/>
      <c r="G89" s="4772"/>
      <c r="H89" s="4772"/>
      <c r="I89" s="4772"/>
      <c r="J89" s="4772"/>
      <c r="L89" s="4789" t="s">
        <v>2616</v>
      </c>
      <c r="M89" s="4789"/>
      <c r="N89" s="4789"/>
    </row>
    <row r="90" spans="1:15" ht="6" customHeight="1">
      <c r="A90" s="1182"/>
      <c r="B90" s="1182"/>
      <c r="C90" s="1182"/>
      <c r="D90" s="1182"/>
      <c r="E90" s="1182"/>
      <c r="F90" s="1182"/>
      <c r="G90" s="1182"/>
      <c r="H90" s="1182"/>
      <c r="I90" s="1182"/>
      <c r="J90" s="1182"/>
      <c r="L90" s="1186"/>
      <c r="M90" s="1186"/>
      <c r="N90" s="1186"/>
    </row>
    <row r="91" spans="1:15" ht="17.25" customHeight="1">
      <c r="A91" s="518" t="s">
        <v>2617</v>
      </c>
    </row>
    <row r="92" spans="1:15" ht="105" customHeight="1">
      <c r="A92" s="4772" t="s">
        <v>2618</v>
      </c>
      <c r="B92" s="4772"/>
      <c r="C92" s="4772"/>
      <c r="D92" s="4772"/>
      <c r="E92" s="4772"/>
      <c r="F92" s="4772"/>
      <c r="G92" s="4772"/>
      <c r="H92" s="4772"/>
      <c r="I92" s="4772"/>
      <c r="J92" s="4772"/>
      <c r="L92" s="4789" t="s">
        <v>2619</v>
      </c>
      <c r="M92" s="4789"/>
      <c r="N92" s="530" t="e">
        <f>'After-Tax Analysis'!G66</f>
        <v>#VALUE!</v>
      </c>
      <c r="O92" s="531" t="s">
        <v>2620</v>
      </c>
    </row>
    <row r="93" spans="1:15" ht="6" customHeight="1">
      <c r="A93" s="518"/>
    </row>
    <row r="94" spans="1:15">
      <c r="A94" s="518" t="s">
        <v>2621</v>
      </c>
    </row>
    <row r="95" spans="1:15" ht="118.5" customHeight="1">
      <c r="A95" s="4772" t="s">
        <v>2622</v>
      </c>
      <c r="B95" s="4772"/>
      <c r="C95" s="4772"/>
      <c r="D95" s="4772"/>
      <c r="E95" s="4772"/>
      <c r="F95" s="4772"/>
      <c r="G95" s="4772"/>
      <c r="H95" s="4772"/>
      <c r="I95" s="4772"/>
      <c r="J95" s="4772"/>
    </row>
    <row r="96" spans="1:15" ht="20.25" customHeight="1">
      <c r="A96" s="4774" t="s">
        <v>2623</v>
      </c>
      <c r="B96" s="4774"/>
      <c r="C96" s="4774"/>
      <c r="D96" s="4772"/>
      <c r="E96" s="1182"/>
      <c r="F96" s="1182"/>
      <c r="G96" s="1182"/>
      <c r="H96" s="1182"/>
      <c r="I96" s="1182"/>
      <c r="J96" s="1182"/>
    </row>
    <row r="97" spans="1:14" ht="109.5" customHeight="1">
      <c r="A97" s="4784" t="s">
        <v>2624</v>
      </c>
      <c r="B97" s="4785"/>
      <c r="C97" s="4785"/>
      <c r="D97" s="4785"/>
      <c r="E97" s="4785"/>
      <c r="F97" s="4785"/>
      <c r="G97" s="4785"/>
      <c r="H97" s="4785"/>
      <c r="I97" s="4785"/>
      <c r="J97" s="4785"/>
    </row>
    <row r="98" spans="1:14" ht="11.25" customHeight="1">
      <c r="A98" s="518"/>
    </row>
    <row r="99" spans="1:14">
      <c r="A99" s="518" t="s">
        <v>2625</v>
      </c>
    </row>
    <row r="100" spans="1:14" ht="110.65" customHeight="1">
      <c r="A100" s="4787" t="s">
        <v>2626</v>
      </c>
      <c r="B100" s="4787"/>
      <c r="C100" s="4787"/>
      <c r="D100" s="4787"/>
      <c r="E100" s="4787"/>
      <c r="F100" s="4787"/>
      <c r="G100" s="4787"/>
      <c r="H100" s="4787"/>
      <c r="I100" s="4787"/>
      <c r="J100" s="4787"/>
      <c r="L100" s="954">
        <f>'Part VI-Pro Forma'!K72</f>
        <v>5541591.4364955556</v>
      </c>
      <c r="M100" s="4790" t="s">
        <v>2627</v>
      </c>
      <c r="N100" s="4790"/>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74" t="s">
        <v>2628</v>
      </c>
      <c r="B104" s="4774"/>
      <c r="C104" s="4774"/>
      <c r="D104" s="1182"/>
      <c r="E104" s="1182"/>
      <c r="F104" s="1182"/>
      <c r="G104" s="1182"/>
      <c r="H104" s="1182"/>
      <c r="I104" s="1182"/>
      <c r="J104" s="528"/>
    </row>
    <row r="105" spans="1:14" ht="37.5" customHeight="1">
      <c r="A105" s="4772" t="s">
        <v>2629</v>
      </c>
      <c r="B105" s="4772"/>
      <c r="C105" s="4772"/>
      <c r="D105" s="4772"/>
      <c r="E105" s="4772"/>
      <c r="F105" s="4772"/>
      <c r="G105" s="4772"/>
      <c r="H105" s="4772"/>
      <c r="I105" s="4772"/>
      <c r="J105" s="4772"/>
    </row>
    <row r="106" spans="1:14" ht="6" customHeight="1">
      <c r="A106" s="518"/>
    </row>
    <row r="107" spans="1:14">
      <c r="A107" s="518" t="s">
        <v>2630</v>
      </c>
    </row>
    <row r="108" spans="1:14" ht="43.5" customHeight="1">
      <c r="A108" s="4772" t="s">
        <v>2631</v>
      </c>
      <c r="B108" s="4772"/>
      <c r="C108" s="4772"/>
      <c r="D108" s="4772"/>
      <c r="E108" s="4772"/>
      <c r="F108" s="4772"/>
      <c r="G108" s="4772"/>
      <c r="H108" s="4772"/>
      <c r="I108" s="4772"/>
      <c r="J108" s="4772"/>
    </row>
    <row r="109" spans="1:14" ht="6" customHeight="1">
      <c r="A109" s="1182"/>
      <c r="B109" s="1182"/>
      <c r="C109" s="1182"/>
      <c r="D109" s="1182"/>
      <c r="E109" s="1182"/>
      <c r="F109" s="1182"/>
      <c r="G109" s="1182"/>
      <c r="H109" s="1182"/>
      <c r="I109" s="1182"/>
      <c r="J109" s="1182"/>
    </row>
    <row r="110" spans="1:14">
      <c r="A110" s="518" t="s">
        <v>2632</v>
      </c>
    </row>
    <row r="112" spans="1:14" ht="18.5" thickBot="1">
      <c r="A112" s="512" t="s">
        <v>2633</v>
      </c>
      <c r="G112" s="1396"/>
      <c r="H112" s="512" t="s">
        <v>2634</v>
      </c>
    </row>
    <row r="115" spans="1:10" ht="13.9" customHeight="1" thickBot="1">
      <c r="G115" s="1396"/>
      <c r="H115" s="512" t="s">
        <v>2635</v>
      </c>
    </row>
    <row r="116" spans="1:10">
      <c r="A116" s="512" t="s">
        <v>2636</v>
      </c>
    </row>
    <row r="119" spans="1:10" ht="14.5" thickBot="1">
      <c r="A119" s="532"/>
      <c r="B119" s="532"/>
      <c r="C119" s="532"/>
      <c r="D119" s="532"/>
      <c r="F119" s="532"/>
      <c r="G119" s="532"/>
      <c r="H119" s="532"/>
      <c r="I119" s="532"/>
      <c r="J119" s="532"/>
    </row>
    <row r="120" spans="1:10">
      <c r="A120" s="4782" t="s">
        <v>3964</v>
      </c>
      <c r="B120" s="4782"/>
      <c r="C120" s="4782"/>
      <c r="D120" s="4782"/>
      <c r="E120" s="4783"/>
      <c r="F120" s="1394" t="s">
        <v>3965</v>
      </c>
      <c r="G120" s="1394"/>
      <c r="H120" s="1394"/>
      <c r="I120" s="1394"/>
      <c r="J120" s="1394"/>
    </row>
    <row r="122" spans="1:10" ht="14.5" thickBot="1">
      <c r="A122" s="512" t="s">
        <v>2637</v>
      </c>
      <c r="B122" s="532"/>
      <c r="C122" s="532"/>
      <c r="H122" s="512" t="s">
        <v>2637</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49" t="s">
        <v>2638</v>
      </c>
      <c r="B1" s="539"/>
      <c r="C1" s="539"/>
      <c r="D1" s="539"/>
      <c r="E1" s="539"/>
      <c r="F1" s="539"/>
      <c r="G1" s="539"/>
      <c r="H1" s="539"/>
      <c r="I1" s="539"/>
      <c r="J1" s="539"/>
      <c r="K1" s="539"/>
      <c r="L1" s="506"/>
      <c r="M1" s="506"/>
    </row>
    <row r="2" spans="1:14" s="10" customFormat="1" ht="18">
      <c r="A2" s="949" t="str">
        <f>+"Financial Analysis for:  "&amp;E8&amp;"  "&amp;C8</f>
        <v>Financial Analysis for:  2025-5  Princeton Court</v>
      </c>
      <c r="B2" s="539"/>
      <c r="C2" s="539"/>
      <c r="D2" s="539"/>
      <c r="E2" s="539"/>
      <c r="F2" s="539"/>
      <c r="G2" s="539"/>
      <c r="H2" s="539"/>
      <c r="I2" s="539"/>
      <c r="J2" s="539"/>
      <c r="K2" s="539"/>
      <c r="L2" s="506"/>
      <c r="M2" s="506"/>
    </row>
    <row r="5" spans="1:14" ht="15.5">
      <c r="A5" s="534"/>
      <c r="B5" s="535"/>
      <c r="C5" s="536"/>
      <c r="D5" s="535"/>
      <c r="E5" s="535"/>
      <c r="F5" s="534"/>
      <c r="G5" s="535"/>
      <c r="H5" s="536"/>
      <c r="I5" s="535"/>
      <c r="J5" s="535"/>
      <c r="K5" s="535"/>
      <c r="L5" s="535"/>
      <c r="M5" s="503"/>
    </row>
    <row r="7" spans="1:14" ht="15.5">
      <c r="A7" s="563" t="s">
        <v>2639</v>
      </c>
      <c r="B7" s="554"/>
      <c r="C7" s="1865"/>
      <c r="D7" s="554"/>
      <c r="E7" s="554"/>
      <c r="F7" s="563" t="s">
        <v>2892</v>
      </c>
      <c r="G7" s="554"/>
      <c r="H7" s="4797"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Acquisition/Rehabilitation</v>
      </c>
      <c r="I7" s="4797"/>
      <c r="J7" s="4797"/>
      <c r="K7" s="4797"/>
      <c r="L7" s="554"/>
      <c r="M7" s="503"/>
    </row>
    <row r="8" spans="1:14" ht="15.5">
      <c r="A8" s="563" t="s">
        <v>2640</v>
      </c>
      <c r="B8" s="563"/>
      <c r="C8" s="4797" t="str">
        <f>'Part I-Project Identification'!$F$26</f>
        <v>Princeton Court</v>
      </c>
      <c r="D8" s="4797"/>
      <c r="E8" s="1866" t="str">
        <f>'Part I-Project Identification'!$O$7</f>
        <v>2025-5</v>
      </c>
      <c r="F8" s="563" t="s">
        <v>2641</v>
      </c>
      <c r="G8" s="554"/>
      <c r="H8" s="4797" t="str">
        <f>CONCATENATE('Part I-Project Identification'!$F$27,", ",'Part I-Project Identification'!$J$27)</f>
        <v>College Park, Fulton</v>
      </c>
      <c r="I8" s="4797"/>
      <c r="J8" s="4797"/>
      <c r="K8" s="4797"/>
      <c r="L8" s="554"/>
      <c r="M8" s="537"/>
    </row>
    <row r="9" spans="1:14" ht="15.5">
      <c r="A9" s="563" t="s">
        <v>2643</v>
      </c>
      <c r="B9" s="563"/>
      <c r="C9" s="4797" t="s">
        <v>1641</v>
      </c>
      <c r="D9" s="4797"/>
      <c r="E9" s="554"/>
      <c r="F9" s="563" t="s">
        <v>2644</v>
      </c>
      <c r="G9" s="554"/>
      <c r="H9" s="4806"/>
      <c r="I9" s="4806"/>
      <c r="J9" s="4806"/>
      <c r="K9" s="4806"/>
      <c r="L9" s="4806"/>
      <c r="M9" s="537"/>
    </row>
    <row r="10" spans="1:14" ht="15.5">
      <c r="A10" s="563" t="s">
        <v>2646</v>
      </c>
      <c r="B10" s="554"/>
      <c r="C10" s="4807"/>
      <c r="D10" s="4807"/>
      <c r="E10" s="554"/>
      <c r="F10" s="563" t="s">
        <v>3048</v>
      </c>
      <c r="G10" s="554"/>
      <c r="H10" s="4802"/>
      <c r="I10" s="4802"/>
      <c r="J10" s="4802"/>
      <c r="K10" s="4802"/>
      <c r="L10" s="4802"/>
    </row>
    <row r="11" spans="1:14" ht="15.5">
      <c r="A11" s="563" t="s">
        <v>2647</v>
      </c>
      <c r="B11" s="554"/>
      <c r="C11" s="4801"/>
      <c r="D11" s="4801"/>
      <c r="E11" s="1880"/>
      <c r="F11" s="563" t="s">
        <v>605</v>
      </c>
      <c r="G11" s="554"/>
      <c r="H11" s="4802"/>
      <c r="I11" s="4802"/>
      <c r="J11" s="4802"/>
      <c r="K11" s="4802"/>
      <c r="L11" s="4802"/>
      <c r="M11" s="4803"/>
      <c r="N11" s="4804"/>
    </row>
    <row r="12" spans="1:14" ht="15.5">
      <c r="A12" s="563" t="s">
        <v>2648</v>
      </c>
      <c r="B12" s="554"/>
      <c r="C12" s="4801"/>
      <c r="D12" s="4801"/>
      <c r="E12" s="554"/>
      <c r="F12" s="563" t="s">
        <v>2649</v>
      </c>
      <c r="G12" s="554"/>
      <c r="H12" s="4801"/>
      <c r="I12" s="4801"/>
      <c r="J12" s="4801"/>
      <c r="K12" s="4801"/>
      <c r="L12" s="4801"/>
      <c r="M12" s="503"/>
    </row>
    <row r="13" spans="1:14" ht="15.5">
      <c r="A13" s="563" t="s">
        <v>2650</v>
      </c>
      <c r="B13" s="563"/>
      <c r="C13" s="1867">
        <f>'Part V-Revenues &amp; Expenses'!$P$76</f>
        <v>116</v>
      </c>
      <c r="D13" s="26"/>
      <c r="E13" s="1868">
        <f>'Part V-Revenues &amp; Expenses'!$P$72</f>
        <v>108</v>
      </c>
      <c r="F13" s="563" t="s">
        <v>3363</v>
      </c>
      <c r="G13" s="554"/>
      <c r="H13" s="1878"/>
      <c r="I13" s="1870"/>
      <c r="J13" s="1870"/>
      <c r="K13" s="1869">
        <f>'Part V-Revenues &amp; Expenses'!$K$197</f>
        <v>128063</v>
      </c>
      <c r="L13" s="554"/>
      <c r="M13" s="503"/>
    </row>
    <row r="14" spans="1:14" ht="15.5">
      <c r="A14" s="563" t="s">
        <v>2884</v>
      </c>
      <c r="B14" s="554"/>
      <c r="C14" s="1869" t="str">
        <f>'Part VII-Threshold Criteria OLD'!J35</f>
        <v>&lt;&lt; Select PROPOSED Tenancy &gt;&gt;</v>
      </c>
      <c r="D14" s="4797" t="str">
        <f>IF('Part VII-Threshold Criteria OLD'!$N$35=0,"",'Part VII-Threshold Criteria OLD'!$N$35)</f>
        <v/>
      </c>
      <c r="E14" s="4797"/>
      <c r="F14" s="563" t="s">
        <v>2651</v>
      </c>
      <c r="G14" s="554"/>
      <c r="H14" s="4805" t="s">
        <v>3016</v>
      </c>
      <c r="I14" s="4805"/>
      <c r="J14" s="4805"/>
      <c r="K14" s="4805" t="s">
        <v>3016</v>
      </c>
      <c r="L14" s="4805"/>
      <c r="M14" s="503"/>
    </row>
    <row r="15" spans="1:14" ht="15.5">
      <c r="A15" s="563" t="s">
        <v>2652</v>
      </c>
      <c r="B15" s="554"/>
      <c r="C15" s="1871" t="s">
        <v>1641</v>
      </c>
      <c r="D15" s="554"/>
      <c r="E15" s="554"/>
      <c r="F15" s="563" t="s">
        <v>2885</v>
      </c>
      <c r="G15" s="554"/>
      <c r="H15" s="1866" t="str">
        <f>'Part I-Project Identification'!K29</f>
        <v>Urban</v>
      </c>
      <c r="I15" s="554"/>
      <c r="J15" s="554"/>
      <c r="K15" s="554"/>
      <c r="L15" s="554"/>
      <c r="M15" s="503"/>
    </row>
    <row r="16" spans="1:14" ht="15.5">
      <c r="A16" s="563" t="s">
        <v>3043</v>
      </c>
      <c r="B16" s="554"/>
      <c r="C16" s="1866">
        <f>'Part VIII Scoring Criteria OLD'!$P$42</f>
        <v>0</v>
      </c>
      <c r="D16" s="1872" t="s">
        <v>2437</v>
      </c>
      <c r="E16" s="1866">
        <f>'Part VIII Scoring Criteria OLD'!$P$48</f>
        <v>0</v>
      </c>
      <c r="F16" s="563"/>
      <c r="G16" s="554"/>
      <c r="H16" s="554"/>
      <c r="I16" s="554"/>
      <c r="J16" s="554"/>
      <c r="K16" s="554"/>
      <c r="L16" s="554"/>
      <c r="M16" s="503"/>
    </row>
    <row r="17" spans="1:13" ht="15.5">
      <c r="A17" s="554"/>
      <c r="B17" s="554"/>
      <c r="C17" s="554"/>
      <c r="D17" s="554"/>
      <c r="E17" s="554"/>
      <c r="F17" s="554"/>
      <c r="G17" s="554"/>
      <c r="H17" s="554"/>
      <c r="I17" s="554"/>
      <c r="J17" s="554"/>
      <c r="K17" s="554"/>
      <c r="L17" s="554"/>
      <c r="M17" s="503"/>
    </row>
    <row r="18" spans="1:13" ht="15.5">
      <c r="A18" s="563" t="s">
        <v>2887</v>
      </c>
      <c r="B18" s="554"/>
      <c r="C18" s="1873">
        <f>'Part III-A-Uses of Funds'!$G$147</f>
        <v>38555004</v>
      </c>
      <c r="D18" s="1874">
        <f>IF(C18=0,"",$C$29/C18)</f>
        <v>0.18570870852457957</v>
      </c>
      <c r="E18" s="554" t="s">
        <v>2888</v>
      </c>
      <c r="F18" s="563" t="s">
        <v>4628</v>
      </c>
      <c r="G18" s="554"/>
      <c r="H18" s="4796">
        <f>'Part III-A-Uses of Funds'!$C$49</f>
        <v>13359673</v>
      </c>
      <c r="I18" s="4796"/>
      <c r="J18" s="1875">
        <f>IF(H18=0,"",$C$29/H18)</f>
        <v>0.53594126143656362</v>
      </c>
      <c r="K18" s="4797" t="s">
        <v>2889</v>
      </c>
      <c r="L18" s="4797"/>
      <c r="M18" s="503"/>
    </row>
    <row r="19" spans="1:13" ht="15.5">
      <c r="A19" s="563" t="s">
        <v>2653</v>
      </c>
      <c r="B19" s="554"/>
      <c r="C19" s="1876">
        <f>C18/C13</f>
        <v>332370.72413793101</v>
      </c>
      <c r="D19" s="554"/>
      <c r="E19" s="554"/>
      <c r="F19" s="563" t="s">
        <v>2653</v>
      </c>
      <c r="G19" s="554"/>
      <c r="H19" s="4798">
        <f>H18/C13</f>
        <v>115169.5948275862</v>
      </c>
      <c r="I19" s="4798"/>
      <c r="J19" s="554"/>
      <c r="K19" s="554"/>
      <c r="L19" s="554"/>
      <c r="M19" s="503"/>
    </row>
    <row r="20" spans="1:13" ht="15.5">
      <c r="A20" s="563" t="s">
        <v>2654</v>
      </c>
      <c r="B20" s="554"/>
      <c r="C20" s="1866">
        <f>C18/K13</f>
        <v>301.06278940833806</v>
      </c>
      <c r="D20" s="1877"/>
      <c r="E20" s="1877"/>
      <c r="F20" s="563" t="s">
        <v>2654</v>
      </c>
      <c r="G20" s="554"/>
      <c r="H20" s="4797">
        <f>H18/K13</f>
        <v>104.32109977120636</v>
      </c>
      <c r="I20" s="4798"/>
      <c r="J20" s="554"/>
      <c r="K20" s="554"/>
      <c r="L20" s="554"/>
      <c r="M20" s="503"/>
    </row>
    <row r="21" spans="1:13" ht="15.5">
      <c r="A21" s="506"/>
      <c r="B21" s="503"/>
      <c r="C21" s="538"/>
      <c r="D21" s="503"/>
      <c r="E21" s="503"/>
      <c r="F21" s="506"/>
      <c r="G21" s="503"/>
      <c r="H21" s="538"/>
      <c r="I21" s="503"/>
      <c r="J21" s="503"/>
      <c r="K21" s="503"/>
      <c r="L21" s="503"/>
      <c r="M21" s="503"/>
    </row>
    <row r="22" spans="1:13" ht="15.5">
      <c r="A22" s="535"/>
      <c r="B22" s="535"/>
      <c r="C22" s="535"/>
      <c r="D22" s="535"/>
      <c r="E22" s="535"/>
      <c r="F22" s="535"/>
      <c r="G22" s="535"/>
      <c r="H22" s="535"/>
      <c r="I22" s="535"/>
      <c r="J22" s="535"/>
      <c r="K22" s="535"/>
      <c r="L22" s="535"/>
      <c r="M22" s="537"/>
    </row>
    <row r="23" spans="1:13" ht="15.5">
      <c r="A23" s="539" t="s">
        <v>2655</v>
      </c>
      <c r="B23" s="533"/>
      <c r="C23" s="533"/>
      <c r="D23" s="533"/>
      <c r="E23" s="503"/>
      <c r="F23" s="503"/>
      <c r="G23" s="503"/>
      <c r="H23" s="503"/>
      <c r="I23" s="503"/>
      <c r="J23" s="503"/>
      <c r="K23" s="503"/>
      <c r="L23" s="503"/>
      <c r="M23" s="537"/>
    </row>
    <row r="24" spans="1:13" ht="27" customHeight="1">
      <c r="A24" s="503"/>
      <c r="B24" s="503"/>
      <c r="C24" s="503"/>
      <c r="D24" s="540" t="s">
        <v>2656</v>
      </c>
      <c r="E24" s="503"/>
      <c r="F24" s="503"/>
      <c r="G24" s="503"/>
      <c r="H24" s="503"/>
      <c r="I24" s="503"/>
      <c r="J24" s="503"/>
      <c r="K24" s="503"/>
      <c r="L24" s="503"/>
      <c r="M24" s="537"/>
    </row>
    <row r="25" spans="1:13" ht="15.5">
      <c r="A25" s="506" t="s">
        <v>2657</v>
      </c>
      <c r="B25" s="541" t="str">
        <f>'Part II-Sources of Funds'!E42</f>
        <v>Keybank-Freddie TEL</v>
      </c>
      <c r="C25" s="542">
        <f>'Part II-Sources of Funds'!I42</f>
        <v>7160000</v>
      </c>
      <c r="D25" s="543" t="s">
        <v>2658</v>
      </c>
      <c r="E25" s="503"/>
      <c r="F25" s="503"/>
      <c r="G25" s="503" t="s">
        <v>2659</v>
      </c>
      <c r="H25" s="503"/>
      <c r="I25" s="503"/>
      <c r="K25" s="542"/>
      <c r="L25" s="503"/>
      <c r="M25" s="537"/>
    </row>
    <row r="26" spans="1:13" ht="15.5">
      <c r="A26" s="503"/>
      <c r="B26" s="541"/>
      <c r="C26" s="542"/>
      <c r="D26" s="543"/>
      <c r="E26" s="503"/>
      <c r="F26" s="503"/>
      <c r="G26" s="503" t="s">
        <v>2660</v>
      </c>
      <c r="H26" s="503"/>
      <c r="I26" s="503"/>
      <c r="K26" s="544" t="e">
        <f>C29/K25</f>
        <v>#DIV/0!</v>
      </c>
      <c r="L26" s="503"/>
      <c r="M26" s="503"/>
    </row>
    <row r="27" spans="1:13" ht="15.5">
      <c r="A27" s="503"/>
      <c r="B27" s="541"/>
      <c r="C27" s="542"/>
      <c r="D27" s="543"/>
      <c r="E27" s="503"/>
      <c r="F27" s="503"/>
      <c r="G27" s="503"/>
      <c r="H27" s="503"/>
      <c r="I27" s="503"/>
      <c r="K27" s="503"/>
      <c r="L27" s="503"/>
      <c r="M27" s="503"/>
    </row>
    <row r="28" spans="1:13" ht="15.5">
      <c r="A28" s="503"/>
      <c r="B28" s="503"/>
      <c r="C28" s="503"/>
      <c r="D28" s="503"/>
      <c r="E28" s="503"/>
      <c r="F28" s="503"/>
      <c r="G28" s="503" t="s">
        <v>2661</v>
      </c>
      <c r="H28" s="503"/>
      <c r="I28" s="503"/>
      <c r="K28" s="542"/>
      <c r="L28" s="503"/>
      <c r="M28" s="503"/>
    </row>
    <row r="29" spans="1:13" ht="16" thickBot="1">
      <c r="A29" s="503"/>
      <c r="B29" s="545" t="s">
        <v>2662</v>
      </c>
      <c r="C29" s="1864">
        <f>SUM(C25:C27)</f>
        <v>7160000</v>
      </c>
      <c r="D29" s="503"/>
      <c r="E29" s="503"/>
      <c r="F29" s="503"/>
      <c r="G29" s="503" t="s">
        <v>2663</v>
      </c>
      <c r="H29" s="503"/>
      <c r="I29" s="503"/>
      <c r="K29" s="544" t="e">
        <f>C29/K28</f>
        <v>#DIV/0!</v>
      </c>
      <c r="L29" s="503"/>
      <c r="M29" s="503"/>
    </row>
    <row r="30" spans="1:13" ht="16" thickTop="1">
      <c r="A30" s="506" t="s">
        <v>2664</v>
      </c>
      <c r="B30" s="545"/>
      <c r="C30" s="546">
        <f>'Part II-Sources of Funds'!$I$53+'Part II-Sources of Funds'!$I$54</f>
        <v>20290892</v>
      </c>
      <c r="D30" s="503"/>
      <c r="E30" s="503"/>
      <c r="F30" s="503"/>
      <c r="G30" s="503"/>
      <c r="H30" s="503"/>
      <c r="I30" s="503"/>
      <c r="K30" s="547"/>
      <c r="L30" s="503"/>
      <c r="M30" s="503"/>
    </row>
    <row r="31" spans="1:13" ht="15.5">
      <c r="A31" s="548" t="s">
        <v>2665</v>
      </c>
      <c r="B31" s="541" t="str">
        <f>'Part II-Sources of Funds'!E43</f>
        <v>National Church Residences - Seller Note</v>
      </c>
      <c r="C31" s="542">
        <f>'Part II-Sources of Funds'!I43</f>
        <v>8660787</v>
      </c>
      <c r="D31" s="543"/>
      <c r="E31" s="503"/>
      <c r="F31" s="503"/>
      <c r="G31" s="503"/>
      <c r="H31" s="503"/>
      <c r="I31" s="503"/>
      <c r="K31" s="503"/>
      <c r="L31" s="503"/>
      <c r="M31" s="503"/>
    </row>
    <row r="32" spans="1:13" ht="15.5">
      <c r="A32" s="548" t="s">
        <v>2665</v>
      </c>
      <c r="B32" s="541">
        <f>'Part II-Sources of Funds'!E44</f>
        <v>0</v>
      </c>
      <c r="C32" s="542">
        <f>'Part II-Sources of Funds'!I44</f>
        <v>0</v>
      </c>
      <c r="D32" s="543"/>
      <c r="E32" s="503" t="s">
        <v>233</v>
      </c>
      <c r="F32" s="503"/>
      <c r="G32" s="503" t="s">
        <v>2666</v>
      </c>
      <c r="H32" s="503"/>
      <c r="I32" s="503"/>
      <c r="K32" s="542"/>
      <c r="L32" s="503"/>
      <c r="M32" s="503"/>
    </row>
    <row r="33" spans="1:13" ht="15.5">
      <c r="A33" s="548" t="s">
        <v>2665</v>
      </c>
      <c r="B33" s="541">
        <f>'Part II-Sources of Funds'!E45</f>
        <v>0</v>
      </c>
      <c r="C33" s="542">
        <f>'Part II-Sources of Funds'!I45</f>
        <v>0</v>
      </c>
      <c r="D33" s="543"/>
      <c r="E33" s="503"/>
      <c r="F33" s="503"/>
      <c r="G33" s="953" t="s">
        <v>2667</v>
      </c>
      <c r="H33" s="953"/>
      <c r="I33" s="953"/>
      <c r="K33" s="544" t="e">
        <f>$C$29/K32</f>
        <v>#DIV/0!</v>
      </c>
      <c r="L33" s="503"/>
      <c r="M33" s="549"/>
    </row>
    <row r="34" spans="1:13" ht="15.5">
      <c r="A34" s="503"/>
      <c r="B34" s="545" t="s">
        <v>2668</v>
      </c>
      <c r="C34" s="546">
        <f>SUM(C31:C33)</f>
        <v>8660787</v>
      </c>
      <c r="D34" s="503"/>
      <c r="E34" s="503"/>
      <c r="F34" s="503"/>
      <c r="G34" s="503"/>
      <c r="H34" s="503"/>
      <c r="I34" s="503"/>
      <c r="K34" s="503"/>
      <c r="L34" s="503"/>
      <c r="M34" s="549"/>
    </row>
    <row r="35" spans="1:13" ht="15.5">
      <c r="A35" s="503"/>
      <c r="B35" s="545"/>
      <c r="C35" s="503"/>
      <c r="D35" s="503"/>
      <c r="E35" s="503"/>
      <c r="F35" s="503"/>
      <c r="G35" s="953" t="s">
        <v>2669</v>
      </c>
      <c r="H35" s="953"/>
      <c r="I35" s="953"/>
      <c r="K35" s="544" t="e">
        <f>(C36)/K25</f>
        <v>#DIV/0!</v>
      </c>
      <c r="L35" s="503"/>
      <c r="M35" s="503"/>
    </row>
    <row r="36" spans="1:13" ht="15.5">
      <c r="A36" s="503"/>
      <c r="B36" s="545" t="s">
        <v>2670</v>
      </c>
      <c r="C36" s="546">
        <f>C29+C34</f>
        <v>15820787</v>
      </c>
      <c r="D36" s="503"/>
      <c r="E36" s="503"/>
      <c r="F36" s="503"/>
      <c r="G36" s="503"/>
      <c r="H36" s="503"/>
      <c r="I36" s="503"/>
      <c r="K36" s="503"/>
      <c r="L36" s="503"/>
      <c r="M36" s="503"/>
    </row>
    <row r="37" spans="1:13" ht="15.5">
      <c r="A37" s="503"/>
      <c r="B37" s="545"/>
      <c r="C37" s="547"/>
      <c r="D37" s="503"/>
      <c r="E37" s="503"/>
      <c r="F37" s="503"/>
      <c r="G37" s="953" t="s">
        <v>2671</v>
      </c>
      <c r="H37" s="953"/>
      <c r="I37" s="953"/>
      <c r="K37" s="544" t="e">
        <f>+(C36)/K32</f>
        <v>#DIV/0!</v>
      </c>
      <c r="L37" s="503"/>
      <c r="M37" s="549"/>
    </row>
    <row r="38" spans="1:13" ht="15.5">
      <c r="A38" s="503"/>
      <c r="B38" s="545" t="s">
        <v>2672</v>
      </c>
      <c r="C38" s="550">
        <f>C36/C18</f>
        <v>0.41034328514140472</v>
      </c>
      <c r="D38" s="503"/>
      <c r="E38" s="503"/>
      <c r="F38" s="503"/>
      <c r="G38" s="503"/>
      <c r="H38" s="503"/>
      <c r="I38" s="503"/>
      <c r="K38" s="503"/>
      <c r="L38" s="503"/>
      <c r="M38" s="549"/>
    </row>
    <row r="39" spans="1:13" ht="15.5">
      <c r="A39" s="503"/>
      <c r="B39" s="545"/>
      <c r="C39" s="547"/>
      <c r="D39" s="503"/>
      <c r="E39" s="503"/>
      <c r="F39" s="503"/>
      <c r="G39" s="503"/>
      <c r="H39" s="503"/>
      <c r="I39" s="503"/>
      <c r="K39" s="503"/>
      <c r="L39" s="503"/>
      <c r="M39" s="503"/>
    </row>
    <row r="40" spans="1:13" ht="15.5">
      <c r="A40" s="503"/>
      <c r="B40" s="545" t="s">
        <v>2673</v>
      </c>
      <c r="C40" s="550">
        <f>C36/H18</f>
        <v>1.1842196287289366</v>
      </c>
      <c r="D40" s="503"/>
      <c r="E40" s="503"/>
      <c r="F40" s="506"/>
      <c r="G40" s="506" t="s">
        <v>2674</v>
      </c>
      <c r="H40" s="503"/>
      <c r="I40" s="503"/>
      <c r="K40" s="544">
        <f>C30/C18</f>
        <v>0.52628426649884408</v>
      </c>
      <c r="L40" s="503"/>
      <c r="M40" s="503"/>
    </row>
    <row r="46" spans="1:13" ht="15.5">
      <c r="A46" s="539" t="s">
        <v>2675</v>
      </c>
      <c r="B46" s="533"/>
      <c r="C46" s="533"/>
      <c r="D46" s="533"/>
      <c r="E46" s="533"/>
      <c r="F46" s="533"/>
      <c r="G46" s="533"/>
      <c r="H46" s="533"/>
      <c r="I46" s="533"/>
      <c r="J46" s="533"/>
      <c r="K46" s="533"/>
      <c r="L46" s="533"/>
      <c r="M46" s="503"/>
    </row>
    <row r="47" spans="1:13" ht="15.5">
      <c r="A47" s="539" t="str">
        <f>C8</f>
        <v>Princeton Court</v>
      </c>
      <c r="B47" s="533"/>
      <c r="C47" s="533"/>
      <c r="D47" s="533"/>
      <c r="E47" s="533"/>
      <c r="F47" s="533"/>
      <c r="G47" s="533"/>
      <c r="H47" s="533"/>
      <c r="I47" s="533"/>
      <c r="J47" s="533"/>
      <c r="K47" s="533"/>
      <c r="L47" s="533"/>
      <c r="M47" s="503"/>
    </row>
    <row r="50" spans="1:14" s="503" customFormat="1" ht="15.5">
      <c r="A50" s="506" t="s">
        <v>2676</v>
      </c>
      <c r="C50" s="549" t="s">
        <v>2677</v>
      </c>
      <c r="E50" s="551" t="s">
        <v>3017</v>
      </c>
      <c r="F50" s="552">
        <v>0.1</v>
      </c>
      <c r="G50" s="551" t="s">
        <v>3018</v>
      </c>
      <c r="H50" s="552">
        <v>0.05</v>
      </c>
      <c r="I50" s="551" t="s">
        <v>3019</v>
      </c>
      <c r="J50" s="552">
        <v>0.03</v>
      </c>
      <c r="K50" s="4799" t="s">
        <v>2678</v>
      </c>
      <c r="L50" s="4800"/>
      <c r="M50"/>
      <c r="N50"/>
    </row>
    <row r="51" spans="1:14" s="503" customFormat="1" ht="15.5">
      <c r="A51" s="506"/>
      <c r="C51" s="549"/>
      <c r="E51" s="549"/>
      <c r="F51" s="553"/>
      <c r="G51" s="549"/>
      <c r="H51" s="553"/>
      <c r="I51" s="549"/>
      <c r="J51" s="553"/>
      <c r="K51" s="549"/>
      <c r="M51"/>
      <c r="N51"/>
    </row>
    <row r="52" spans="1:14" s="503" customFormat="1" ht="18.75" customHeight="1">
      <c r="B52" s="554" t="s">
        <v>2679</v>
      </c>
      <c r="C52" s="555">
        <f>'Part VI-Pro Forma'!B15</f>
        <v>1620696</v>
      </c>
      <c r="D52" s="555"/>
      <c r="E52" s="555">
        <f>$C$52</f>
        <v>1620696</v>
      </c>
      <c r="F52" s="555"/>
      <c r="G52" s="555">
        <f>$C$52</f>
        <v>1620696</v>
      </c>
      <c r="H52" s="555"/>
      <c r="I52" s="555">
        <f>$C$52</f>
        <v>1620696</v>
      </c>
      <c r="J52" s="555"/>
      <c r="K52" s="555">
        <f>$C$52</f>
        <v>1620696</v>
      </c>
      <c r="L52" s="556"/>
      <c r="M52"/>
      <c r="N52"/>
    </row>
    <row r="53" spans="1:14" s="503" customFormat="1" ht="18.75" customHeight="1">
      <c r="B53" s="554" t="s">
        <v>2682</v>
      </c>
      <c r="C53" s="555">
        <f>'Part VI-Pro Forma'!B16</f>
        <v>32413.920000000002</v>
      </c>
      <c r="D53" s="555"/>
      <c r="E53" s="555">
        <f>$C$53</f>
        <v>32413.920000000002</v>
      </c>
      <c r="F53" s="555"/>
      <c r="G53" s="555">
        <f>$C$53</f>
        <v>32413.920000000002</v>
      </c>
      <c r="H53" s="555"/>
      <c r="I53" s="555">
        <f>$C$53</f>
        <v>32413.920000000002</v>
      </c>
      <c r="J53" s="555"/>
      <c r="K53" s="555">
        <f>$C$53</f>
        <v>32413.920000000002</v>
      </c>
      <c r="L53" s="556"/>
      <c r="M53"/>
      <c r="N53"/>
    </row>
    <row r="54" spans="1:14" s="503" customFormat="1" ht="18.75" customHeight="1">
      <c r="B54" s="554" t="s">
        <v>2680</v>
      </c>
      <c r="C54" s="555">
        <f>'Part VI-Pro Forma'!B17</f>
        <v>-115717.69440000001</v>
      </c>
      <c r="D54" s="555"/>
      <c r="E54" s="555">
        <f>-($C$52+E53)*F50</f>
        <v>-165310.992</v>
      </c>
      <c r="F54" s="557"/>
      <c r="G54" s="555">
        <f>-($C$52+G53)*0.07</f>
        <v>-115717.69440000001</v>
      </c>
      <c r="H54" s="555"/>
      <c r="I54" s="555">
        <f>-($C$52+I53)*0.07</f>
        <v>-115717.69440000001</v>
      </c>
      <c r="J54" s="555"/>
      <c r="K54" s="555">
        <f>-($C$52+K53)*L54</f>
        <v>-165310.992</v>
      </c>
      <c r="L54" s="558">
        <v>0.1</v>
      </c>
      <c r="M54"/>
      <c r="N54"/>
    </row>
    <row r="55" spans="1:14" s="503" customFormat="1" ht="18.75" customHeight="1">
      <c r="B55" s="554" t="s">
        <v>2681</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2683</v>
      </c>
      <c r="C56" s="561">
        <f>SUM(C52:C55)</f>
        <v>1537392.2256</v>
      </c>
      <c r="D56" s="555"/>
      <c r="E56" s="561">
        <f>SUM(E52:E55)</f>
        <v>1487798.9279999998</v>
      </c>
      <c r="F56" s="555"/>
      <c r="G56" s="561">
        <f>SUM(G52:G55)</f>
        <v>1537392.2256</v>
      </c>
      <c r="H56" s="555"/>
      <c r="I56" s="561">
        <f>SUM(I52:I55)</f>
        <v>1537392.2256</v>
      </c>
      <c r="J56" s="555"/>
      <c r="K56" s="561">
        <f>SUM(K52:K55)</f>
        <v>1487798.9279999998</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2684</v>
      </c>
      <c r="C58" s="555">
        <f>+'Part V-Revenues &amp; Expenses'!F249+'Part V-Revenues &amp; Expenses'!F258+'Part V-Revenues &amp; Expenses'!L245+'Part V-Revenues &amp; Expenses'!L253</f>
        <v>357220</v>
      </c>
      <c r="D58" s="555"/>
      <c r="E58" s="555">
        <f>$C$58</f>
        <v>357220</v>
      </c>
      <c r="F58" s="555"/>
      <c r="G58" s="555">
        <f>$C$58</f>
        <v>357220</v>
      </c>
      <c r="H58" s="555"/>
      <c r="I58" s="555">
        <f>$C$58</f>
        <v>357220</v>
      </c>
      <c r="J58" s="555"/>
      <c r="K58" s="555">
        <f>$C$58</f>
        <v>357220</v>
      </c>
      <c r="L58" s="556"/>
      <c r="M58"/>
      <c r="N58"/>
    </row>
    <row r="59" spans="1:14" s="503" customFormat="1" ht="18.75" customHeight="1">
      <c r="B59" s="554" t="s">
        <v>2685</v>
      </c>
      <c r="C59" s="555">
        <f>+'Part V-Revenues &amp; Expenses'!F269</f>
        <v>65676</v>
      </c>
      <c r="D59" s="555"/>
      <c r="E59" s="555">
        <f>$C$59</f>
        <v>65676</v>
      </c>
      <c r="F59" s="555"/>
      <c r="G59" s="555">
        <f>$C$59</f>
        <v>65676</v>
      </c>
      <c r="H59" s="555"/>
      <c r="I59" s="555">
        <f>$C$59</f>
        <v>65676</v>
      </c>
      <c r="J59" s="555"/>
      <c r="K59" s="555">
        <f>$C$59*(1+$L$59)</f>
        <v>68303.040000000008</v>
      </c>
      <c r="L59" s="562">
        <v>0.04</v>
      </c>
      <c r="M59"/>
      <c r="N59"/>
    </row>
    <row r="60" spans="1:14" s="503" customFormat="1" ht="18.75" customHeight="1">
      <c r="B60" s="554" t="s">
        <v>1295</v>
      </c>
      <c r="C60" s="555">
        <f>+'Part V-Revenues &amp; Expenses'!L263</f>
        <v>133502</v>
      </c>
      <c r="D60" s="555"/>
      <c r="E60" s="555">
        <f>$C$60</f>
        <v>133502</v>
      </c>
      <c r="F60" s="555"/>
      <c r="G60" s="555">
        <f>$C$60</f>
        <v>133502</v>
      </c>
      <c r="H60" s="555"/>
      <c r="I60" s="555">
        <f>$C$60*(1+$J$50)</f>
        <v>137507.06</v>
      </c>
      <c r="J60" s="557"/>
      <c r="K60" s="555">
        <f>$C$60*(1+$J$50)</f>
        <v>137507.06</v>
      </c>
      <c r="L60" s="558">
        <v>0.03</v>
      </c>
      <c r="M60"/>
      <c r="N60"/>
    </row>
    <row r="61" spans="1:14" s="503" customFormat="1" ht="18.75" customHeight="1">
      <c r="B61" s="554" t="s">
        <v>5083</v>
      </c>
      <c r="C61" s="555">
        <f>+'Part V-Revenues &amp; Expenses'!L266</f>
        <v>194843</v>
      </c>
      <c r="D61" s="555"/>
      <c r="E61" s="555">
        <f>$C$61</f>
        <v>194843</v>
      </c>
      <c r="F61" s="555"/>
      <c r="G61" s="555">
        <f>$C$61*(1+H50)</f>
        <v>204585.15</v>
      </c>
      <c r="H61" s="557"/>
      <c r="I61" s="555">
        <f>$C$61</f>
        <v>194843</v>
      </c>
      <c r="J61" s="555"/>
      <c r="K61" s="555">
        <f>$C$61*(1+$L$61)</f>
        <v>204585.15</v>
      </c>
      <c r="L61" s="558">
        <v>0.05</v>
      </c>
      <c r="M61"/>
      <c r="N61"/>
    </row>
    <row r="62" spans="1:14" s="503" customFormat="1" ht="18.75" customHeight="1">
      <c r="B62" s="554" t="s">
        <v>5084</v>
      </c>
      <c r="C62" s="555">
        <f>+'Part V-Revenues &amp; Expenses'!L267</f>
        <v>73824</v>
      </c>
      <c r="D62" s="555"/>
      <c r="E62" s="555">
        <f>$C$61</f>
        <v>194843</v>
      </c>
      <c r="F62" s="555"/>
      <c r="G62" s="555">
        <f>$C$61*(1+H51)</f>
        <v>194843</v>
      </c>
      <c r="H62" s="557"/>
      <c r="I62" s="555">
        <f>$C$61</f>
        <v>194843</v>
      </c>
      <c r="J62" s="555"/>
      <c r="K62" s="555">
        <f>$C$61*(1+$L$61)</f>
        <v>204585.15</v>
      </c>
      <c r="L62" s="558">
        <v>0.05</v>
      </c>
      <c r="M62"/>
      <c r="N62"/>
    </row>
    <row r="63" spans="1:14" s="503" customFormat="1" ht="18.75" customHeight="1">
      <c r="B63" s="560" t="s">
        <v>2686</v>
      </c>
      <c r="C63" s="561">
        <f>SUM(C58:C61)</f>
        <v>751241</v>
      </c>
      <c r="D63" s="555"/>
      <c r="E63" s="561">
        <f>SUM(E58:E61)</f>
        <v>751241</v>
      </c>
      <c r="F63" s="555"/>
      <c r="G63" s="561">
        <f>SUM(G58:G61)</f>
        <v>760983.15</v>
      </c>
      <c r="H63" s="555"/>
      <c r="I63" s="561">
        <f>SUM(I58:I61)</f>
        <v>755246.06</v>
      </c>
      <c r="J63" s="555"/>
      <c r="K63" s="561">
        <f>SUM(K58:K61)</f>
        <v>767615.25000000012</v>
      </c>
      <c r="L63" s="554"/>
      <c r="M63"/>
      <c r="N63"/>
    </row>
    <row r="64" spans="1:14" s="503" customFormat="1" ht="24" customHeight="1">
      <c r="B64" s="554"/>
      <c r="C64" s="555"/>
      <c r="D64" s="555"/>
      <c r="E64" s="555"/>
      <c r="F64" s="555"/>
      <c r="G64" s="555"/>
      <c r="H64" s="555"/>
      <c r="I64" s="555"/>
      <c r="J64" s="555"/>
      <c r="K64" s="555"/>
      <c r="L64" s="554"/>
      <c r="M64"/>
      <c r="N64"/>
    </row>
    <row r="65" spans="1:14" s="503" customFormat="1" ht="15.5">
      <c r="A65"/>
      <c r="B65" s="563" t="s">
        <v>2687</v>
      </c>
      <c r="C65" s="564">
        <f>C56-C63</f>
        <v>786151.22560000001</v>
      </c>
      <c r="D65" s="564"/>
      <c r="E65" s="564">
        <f>E56-E63</f>
        <v>736557.92799999984</v>
      </c>
      <c r="F65" s="564"/>
      <c r="G65" s="564">
        <f>G56-G63</f>
        <v>776409.07559999998</v>
      </c>
      <c r="H65" s="564"/>
      <c r="I65" s="564">
        <f>I56-I63</f>
        <v>782146.16559999995</v>
      </c>
      <c r="J65" s="564"/>
      <c r="K65" s="564">
        <f>K56-K63</f>
        <v>720183.67799999972</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5">
      <c r="A67"/>
      <c r="B67" s="554" t="s">
        <v>2688</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5">
      <c r="A69"/>
      <c r="B69" s="554" t="s">
        <v>2689</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5">
      <c r="A71"/>
      <c r="B71" s="566" t="s">
        <v>2690</v>
      </c>
      <c r="C71" s="567">
        <f>C65-C67-C69</f>
        <v>786151.22560000001</v>
      </c>
      <c r="D71" s="564"/>
      <c r="E71" s="567">
        <f>E65-E67-E69</f>
        <v>736557.92799999984</v>
      </c>
      <c r="F71" s="564"/>
      <c r="G71" s="567">
        <f>G65-G67-G69</f>
        <v>776409.07559999998</v>
      </c>
      <c r="H71" s="564"/>
      <c r="I71" s="567">
        <f>I65-I67-I69</f>
        <v>782146.16559999995</v>
      </c>
      <c r="J71" s="564"/>
      <c r="K71" s="567">
        <f>K65-K67-K69</f>
        <v>720183.67799999972</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2691</v>
      </c>
      <c r="C73" s="981">
        <f>-C71/C76</f>
        <v>1.6277603944752015</v>
      </c>
      <c r="D73" s="568"/>
      <c r="E73" s="981">
        <f>-E71/E76</f>
        <v>1.5250753091685021</v>
      </c>
      <c r="F73" s="568"/>
      <c r="G73" s="981">
        <f>-G71/G76</f>
        <v>1.6075888480721112</v>
      </c>
      <c r="H73" s="568"/>
      <c r="I73" s="981">
        <f>-I71/I76</f>
        <v>1.6194677430956641</v>
      </c>
      <c r="J73" s="568"/>
      <c r="K73" s="981">
        <f>-K71/K76</f>
        <v>1.4911717105079598</v>
      </c>
      <c r="L73" s="4"/>
      <c r="M73" s="10"/>
      <c r="N73" s="10"/>
    </row>
    <row r="74" spans="1:14" s="503" customFormat="1" ht="18.75" customHeight="1">
      <c r="A74"/>
      <c r="B74" s="554" t="s">
        <v>2692</v>
      </c>
      <c r="C74" s="982">
        <f>C77/C63</f>
        <v>0.4035805695403753</v>
      </c>
      <c r="D74" s="569"/>
      <c r="E74" s="982">
        <f>E77/E63</f>
        <v>0.3375654058312591</v>
      </c>
      <c r="F74" s="569"/>
      <c r="G74" s="982">
        <f>G77/G63</f>
        <v>0.38561185046223567</v>
      </c>
      <c r="H74" s="569"/>
      <c r="I74" s="982">
        <f>I77/I63</f>
        <v>0.39613740009723591</v>
      </c>
      <c r="J74" s="569"/>
      <c r="K74" s="982">
        <f>K77/K63</f>
        <v>0.30903336410015408</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2693</v>
      </c>
      <c r="C76" s="555">
        <f>+SUM('Part VI-Pro Forma'!B26:B29)</f>
        <v>-482964.9549579189</v>
      </c>
      <c r="D76" s="555"/>
      <c r="E76" s="555">
        <f>$C$76</f>
        <v>-482964.9549579189</v>
      </c>
      <c r="F76" s="555"/>
      <c r="G76" s="555">
        <f>$C$76</f>
        <v>-482964.9549579189</v>
      </c>
      <c r="H76" s="555"/>
      <c r="I76" s="555">
        <f>$C$76</f>
        <v>-482964.9549579189</v>
      </c>
      <c r="J76" s="555"/>
      <c r="K76" s="555">
        <f>$C$76</f>
        <v>-482964.9549579189</v>
      </c>
      <c r="L76" s="26"/>
      <c r="M76"/>
      <c r="N76"/>
    </row>
    <row r="77" spans="1:14" s="503" customFormat="1" ht="18.75" customHeight="1">
      <c r="A77"/>
      <c r="B77" s="554" t="s">
        <v>1095</v>
      </c>
      <c r="C77" s="555">
        <f>C71+C76</f>
        <v>303186.2706420811</v>
      </c>
      <c r="D77" s="555"/>
      <c r="E77" s="555">
        <f>E71+E76</f>
        <v>253592.97304208094</v>
      </c>
      <c r="F77" s="555"/>
      <c r="G77" s="555">
        <f>G71+G76</f>
        <v>293444.12064208108</v>
      </c>
      <c r="H77" s="555"/>
      <c r="I77" s="555">
        <f>I71+I76</f>
        <v>299181.21064208105</v>
      </c>
      <c r="J77" s="555"/>
      <c r="K77" s="555">
        <f>K71+K76</f>
        <v>237218.72304208082</v>
      </c>
      <c r="L77" s="26"/>
      <c r="M77"/>
      <c r="N77"/>
    </row>
    <row r="78" spans="1:14" s="503" customFormat="1" ht="15.5" hidden="1">
      <c r="A78"/>
      <c r="B78" s="554" t="s">
        <v>2694</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5" hidden="1">
      <c r="A79"/>
      <c r="B79" s="571" t="s">
        <v>2695</v>
      </c>
      <c r="C79" s="554"/>
      <c r="D79" s="554"/>
      <c r="E79" s="554"/>
      <c r="F79" s="554"/>
      <c r="G79" s="554"/>
      <c r="H79" s="554"/>
      <c r="I79" s="554"/>
      <c r="J79" s="554"/>
      <c r="K79" s="554"/>
      <c r="L79" s="26"/>
      <c r="M79"/>
      <c r="N79"/>
    </row>
    <row r="80" spans="1:14" s="503" customFormat="1" ht="15.5" hidden="1">
      <c r="A80"/>
      <c r="B80" s="554"/>
      <c r="C80" s="554"/>
      <c r="D80" s="554"/>
      <c r="E80" s="554"/>
      <c r="F80" s="554"/>
      <c r="G80" s="554"/>
      <c r="H80" s="554"/>
      <c r="I80" s="554"/>
      <c r="J80" s="554"/>
      <c r="K80" s="554"/>
      <c r="L80" s="26"/>
      <c r="M80"/>
      <c r="N80"/>
    </row>
    <row r="81" spans="1:14" s="503" customFormat="1" ht="16" hidden="1" thickBot="1">
      <c r="A81"/>
      <c r="B81" s="554" t="s">
        <v>2696</v>
      </c>
      <c r="C81" s="570" t="e">
        <f>MIN(C78,E78,G78,I78,K78)</f>
        <v>#NAME?</v>
      </c>
      <c r="D81" s="554"/>
      <c r="E81" s="554" t="s">
        <v>2697</v>
      </c>
      <c r="F81" s="572">
        <v>0.06</v>
      </c>
      <c r="G81" s="26"/>
      <c r="H81" s="26"/>
      <c r="I81" s="26"/>
      <c r="J81" s="26"/>
      <c r="K81" s="26"/>
      <c r="L81" s="26"/>
      <c r="M81"/>
      <c r="N81"/>
    </row>
    <row r="82" spans="1:14" s="503" customFormat="1" ht="15.5" hidden="1">
      <c r="A82"/>
      <c r="B82" s="554" t="s">
        <v>1606</v>
      </c>
      <c r="C82" s="570" t="e">
        <f>MAX(C78,E78,G78,I78,K78)</f>
        <v>#NAME?</v>
      </c>
      <c r="D82" s="554"/>
      <c r="E82" s="554"/>
      <c r="F82" s="554"/>
      <c r="G82" s="26"/>
      <c r="H82" s="26"/>
      <c r="I82" s="26"/>
      <c r="J82" s="26"/>
      <c r="K82" s="26"/>
      <c r="L82" s="26"/>
      <c r="M82"/>
      <c r="N82"/>
    </row>
    <row r="83" spans="1:14" s="503" customFormat="1" ht="15.5">
      <c r="A83"/>
      <c r="B83" s="554"/>
      <c r="C83" s="554"/>
      <c r="D83" s="554"/>
      <c r="E83" s="554" t="s">
        <v>233</v>
      </c>
      <c r="F83" s="554"/>
      <c r="G83" s="26"/>
      <c r="H83" s="26"/>
      <c r="I83" s="26"/>
      <c r="J83" s="26"/>
      <c r="K83" s="26"/>
      <c r="L83" s="26"/>
      <c r="M83"/>
      <c r="N83"/>
    </row>
    <row r="84" spans="1:14" s="503"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6953125" defaultRowHeight="12.5"/>
  <cols>
    <col min="1" max="1" width="24.7265625" style="936" customWidth="1"/>
    <col min="2" max="2" width="13.7265625" style="936" customWidth="1"/>
    <col min="3" max="11" width="10.54296875" style="936" customWidth="1"/>
    <col min="12" max="12" width="9.7265625" style="936" customWidth="1"/>
    <col min="13" max="21" width="10.54296875" style="936" customWidth="1"/>
    <col min="22" max="16384" width="9.26953125" style="936"/>
  </cols>
  <sheetData>
    <row r="1" spans="1:7" ht="3" customHeight="1"/>
    <row r="2" spans="1:7" ht="13">
      <c r="A2" s="935" t="s">
        <v>3328</v>
      </c>
    </row>
    <row r="3" spans="1:7" ht="3" customHeight="1"/>
    <row r="4" spans="1:7">
      <c r="A4" s="936" t="s">
        <v>3329</v>
      </c>
      <c r="B4" s="937">
        <f>'Part III-A-Uses of Funds'!G147</f>
        <v>38555004</v>
      </c>
    </row>
    <row r="5" spans="1:7">
      <c r="A5" s="936" t="s">
        <v>3360</v>
      </c>
      <c r="B5" s="937">
        <f>+B18+B26+B38</f>
        <v>6890295.6892377436</v>
      </c>
    </row>
    <row r="6" spans="1:7">
      <c r="A6" s="936" t="s">
        <v>3330</v>
      </c>
      <c r="B6" s="938">
        <f>+B5-B4</f>
        <v>-31664708.310762256</v>
      </c>
    </row>
    <row r="7" spans="1:7">
      <c r="A7" s="936" t="s">
        <v>3331</v>
      </c>
      <c r="B7" s="939">
        <f>+B6/B4</f>
        <v>-0.82128660421776267</v>
      </c>
    </row>
    <row r="8" spans="1:7" ht="9" customHeight="1"/>
    <row r="9" spans="1:7">
      <c r="A9" s="936" t="s">
        <v>3332</v>
      </c>
      <c r="B9" s="937">
        <f>+B18+B26+B33</f>
        <v>5207584.6892377436</v>
      </c>
    </row>
    <row r="10" spans="1:7">
      <c r="A10" s="936" t="s">
        <v>3330</v>
      </c>
      <c r="B10" s="938">
        <f>+B9-B4</f>
        <v>-33347419.310762256</v>
      </c>
    </row>
    <row r="11" spans="1:7">
      <c r="A11" s="936" t="s">
        <v>3331</v>
      </c>
      <c r="B11" s="939">
        <f>+B10/B4</f>
        <v>-0.86493102972476044</v>
      </c>
    </row>
    <row r="12" spans="1:7" ht="24" customHeight="1"/>
    <row r="13" spans="1:7" ht="13">
      <c r="A13" s="935" t="s">
        <v>3333</v>
      </c>
      <c r="D13" s="987" t="s">
        <v>3545</v>
      </c>
      <c r="E13" s="988"/>
    </row>
    <row r="14" spans="1:7">
      <c r="A14" s="936" t="s">
        <v>3334</v>
      </c>
      <c r="B14" s="940">
        <f>+SUM('Part II-Sources of Funds'!L53:M54)</f>
        <v>20292138</v>
      </c>
      <c r="D14" s="988"/>
      <c r="E14" s="988"/>
    </row>
    <row r="15" spans="1:7">
      <c r="A15" s="936" t="s">
        <v>3335</v>
      </c>
      <c r="B15" s="941">
        <f>+'Part III-A-Uses of Funds'!J181</f>
        <v>2105150.6</v>
      </c>
      <c r="D15" s="988" t="s">
        <v>1890</v>
      </c>
      <c r="G15" s="989">
        <f>'Part III-A-Uses of Funds'!J169</f>
        <v>0</v>
      </c>
    </row>
    <row r="16" spans="1:7" ht="12.75" customHeight="1">
      <c r="D16" s="988" t="s">
        <v>3546</v>
      </c>
      <c r="G16" s="993">
        <v>3.2800000000000003E-2</v>
      </c>
    </row>
    <row r="17" spans="1:7" ht="12.75" customHeight="1">
      <c r="A17" s="936" t="s">
        <v>3336</v>
      </c>
      <c r="B17" s="992">
        <v>1.45</v>
      </c>
      <c r="D17" s="988" t="s">
        <v>3547</v>
      </c>
      <c r="G17" s="994">
        <v>1.45</v>
      </c>
    </row>
    <row r="18" spans="1:7" ht="12.75" customHeight="1">
      <c r="A18" s="936" t="s">
        <v>3337</v>
      </c>
      <c r="B18" s="942">
        <f>+'Part III-A-Uses of Funds'!J191*B17*10</f>
        <v>0</v>
      </c>
      <c r="D18" s="988" t="s">
        <v>3548</v>
      </c>
      <c r="G18" s="994">
        <v>3.28</v>
      </c>
    </row>
    <row r="19" spans="1:7" ht="12.75" customHeight="1">
      <c r="D19" s="988" t="s">
        <v>3549</v>
      </c>
      <c r="G19" s="990">
        <f>+G15*G16*G17*10</f>
        <v>0</v>
      </c>
    </row>
    <row r="20" spans="1:7">
      <c r="A20" s="936" t="s">
        <v>3338</v>
      </c>
      <c r="B20" s="940">
        <f>+B18-B14</f>
        <v>-20292138</v>
      </c>
      <c r="D20" s="988" t="s">
        <v>3550</v>
      </c>
      <c r="G20" s="991">
        <f>+B14-G19</f>
        <v>20292138</v>
      </c>
    </row>
    <row r="21" spans="1:7">
      <c r="A21" s="936" t="s">
        <v>3339</v>
      </c>
      <c r="B21" s="939">
        <f>+B20/B14</f>
        <v>-1</v>
      </c>
      <c r="D21" s="988" t="s">
        <v>3551</v>
      </c>
      <c r="G21" s="988" t="str">
        <f>+IF(G20&gt;(B28+B35),"No","Yes")</f>
        <v>No</v>
      </c>
    </row>
    <row r="22" spans="1:7" ht="24" customHeight="1"/>
    <row r="23" spans="1:7" ht="13">
      <c r="A23" s="935" t="s">
        <v>3340</v>
      </c>
    </row>
    <row r="24" spans="1:7">
      <c r="A24" s="936" t="s">
        <v>3341</v>
      </c>
      <c r="B24" s="943">
        <f>+SUM('Part II-Sources of Funds'!I42:J45)</f>
        <v>15820787</v>
      </c>
    </row>
    <row r="25" spans="1:7">
      <c r="A25" s="936" t="s">
        <v>3342</v>
      </c>
      <c r="B25" s="944">
        <f>IF('Part II-Sources of Funds'!E6="Yes","N/A",MAX(B46:P46))</f>
        <v>-20166.899708747806</v>
      </c>
    </row>
    <row r="26" spans="1:7">
      <c r="A26" s="936" t="s">
        <v>3343</v>
      </c>
      <c r="B26" s="934">
        <f>IFERROR(PV('Part II-Sources of Funds'!K42,'Part II-Sources of Funds'!L42,B25+B45),B24)</f>
        <v>5207584.6892377436</v>
      </c>
    </row>
    <row r="27" spans="1:7" ht="9" customHeight="1">
      <c r="B27" s="934"/>
    </row>
    <row r="28" spans="1:7">
      <c r="A28" s="936" t="s">
        <v>3344</v>
      </c>
      <c r="B28" s="945">
        <f>+B26-B24</f>
        <v>-10613202.310762256</v>
      </c>
      <c r="C28" s="946"/>
    </row>
    <row r="29" spans="1:7">
      <c r="A29" s="936" t="s">
        <v>3339</v>
      </c>
      <c r="B29" s="947">
        <f>+B28/B24</f>
        <v>-0.67083908725667418</v>
      </c>
    </row>
    <row r="30" spans="1:7" ht="24" customHeight="1"/>
    <row r="31" spans="1:7" ht="13">
      <c r="A31" s="935" t="s">
        <v>3274</v>
      </c>
    </row>
    <row r="32" spans="1:7">
      <c r="A32" s="936" t="s">
        <v>3345</v>
      </c>
      <c r="B32" s="948">
        <f>+'Part II-Sources of Funds'!I47</f>
        <v>760614</v>
      </c>
    </row>
    <row r="33" spans="1:11">
      <c r="A33" s="936" t="s">
        <v>3346</v>
      </c>
      <c r="B33" s="934"/>
    </row>
    <row r="34" spans="1:11" ht="9" customHeight="1">
      <c r="B34" s="934"/>
    </row>
    <row r="35" spans="1:11">
      <c r="A35" s="936" t="s">
        <v>3347</v>
      </c>
      <c r="B35" s="948">
        <f>+B33-B32</f>
        <v>-760614</v>
      </c>
    </row>
    <row r="36" spans="1:11">
      <c r="A36" s="936" t="s">
        <v>3348</v>
      </c>
      <c r="B36" s="933">
        <f>+B35/B32</f>
        <v>-1</v>
      </c>
    </row>
    <row r="37" spans="1:11" ht="24" customHeight="1">
      <c r="B37" s="934"/>
    </row>
    <row r="38" spans="1:11" ht="13">
      <c r="A38" s="935" t="s">
        <v>3349</v>
      </c>
      <c r="B38" s="934">
        <f>+SUM('Part II-Sources of Funds'!I46,'Part II-Sources of Funds'!I51,'Part II-Sources of Funds'!I52,'Part II-Sources of Funds'!I55:I61)</f>
        <v>1682711</v>
      </c>
    </row>
    <row r="39" spans="1:11">
      <c r="B39" s="934"/>
    </row>
    <row r="40" spans="1:11">
      <c r="B40" s="934"/>
    </row>
    <row r="41" spans="1:11">
      <c r="B41" s="934"/>
    </row>
    <row r="42" spans="1:11" ht="13">
      <c r="A42" s="935" t="s">
        <v>3350</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603758.22560000001</v>
      </c>
      <c r="C44" s="937">
        <f>+'Part VI-Pro Forma'!C25</f>
        <v>606497.49011200003</v>
      </c>
      <c r="D44" s="937">
        <f>+'Part VI-Pro Forma'!D25</f>
        <v>609010.56411424</v>
      </c>
      <c r="E44" s="937">
        <f>+'Part VI-Pro Forma'!E25</f>
        <v>611286.19232252461</v>
      </c>
      <c r="F44" s="937">
        <f>+'Part VI-Pro Forma'!F25</f>
        <v>613309.65880275529</v>
      </c>
      <c r="G44" s="937">
        <f>+'Part VI-Pro Forma'!G25</f>
        <v>615067.77069160389</v>
      </c>
      <c r="H44" s="937">
        <f>+'Part VI-Pro Forma'!H25</f>
        <v>616545.84137961315</v>
      </c>
      <c r="I44" s="937">
        <f>+'Part VI-Pro Forma'!I25</f>
        <v>617728.67313960753</v>
      </c>
      <c r="J44" s="937">
        <f>+'Part VI-Pro Forma'!J25</f>
        <v>618600.53918277472</v>
      </c>
      <c r="K44" s="937">
        <f>+'Part VI-Pro Forma'!K25</f>
        <v>619145.16512421588</v>
      </c>
    </row>
    <row r="45" spans="1:11">
      <c r="A45" s="936" t="s">
        <v>3351</v>
      </c>
      <c r="B45" s="937">
        <f>SUM('Part VI-Pro Forma'!B26:B29)</f>
        <v>-482964.9549579189</v>
      </c>
      <c r="C45" s="937">
        <f>SUM('Part VI-Pro Forma'!C26:C29)</f>
        <v>-482964.9549579189</v>
      </c>
      <c r="D45" s="937">
        <f>SUM('Part VI-Pro Forma'!D26:D29)</f>
        <v>-482964.9549579189</v>
      </c>
      <c r="E45" s="937">
        <f>SUM('Part VI-Pro Forma'!E26:E29)</f>
        <v>-482964.9549579189</v>
      </c>
      <c r="F45" s="937">
        <f>SUM('Part VI-Pro Forma'!F26:F29)</f>
        <v>-482964.9549579189</v>
      </c>
      <c r="G45" s="937">
        <f>SUM('Part VI-Pro Forma'!G26:G29)</f>
        <v>-482964.9549579189</v>
      </c>
      <c r="H45" s="937">
        <f>SUM('Part VI-Pro Forma'!H26:H29)</f>
        <v>-482964.9549579189</v>
      </c>
      <c r="I45" s="937">
        <f>SUM('Part VI-Pro Forma'!I26:I29)</f>
        <v>-482964.9549579189</v>
      </c>
      <c r="J45" s="937">
        <f>SUM('Part VI-Pro Forma'!J26:J29)</f>
        <v>-494880.43134621979</v>
      </c>
      <c r="K45" s="937">
        <f>SUM('Part VI-Pro Forma'!K26:K29)</f>
        <v>-495316.13209937268</v>
      </c>
    </row>
    <row r="46" spans="1:11">
      <c r="A46" s="936" t="s">
        <v>3352</v>
      </c>
      <c r="B46" s="938">
        <f t="shared" ref="B46:K46" si="0">-B44/B48-B45</f>
        <v>-20166.899708747806</v>
      </c>
      <c r="C46" s="938">
        <f t="shared" si="0"/>
        <v>-22449.620135414472</v>
      </c>
      <c r="D46" s="938">
        <f t="shared" si="0"/>
        <v>-24543.848470614466</v>
      </c>
      <c r="E46" s="938">
        <f t="shared" si="0"/>
        <v>-26440.205310851627</v>
      </c>
      <c r="F46" s="938">
        <f t="shared" si="0"/>
        <v>-28126.427377710526</v>
      </c>
      <c r="G46" s="938">
        <f t="shared" si="0"/>
        <v>-29591.520618417708</v>
      </c>
      <c r="H46" s="938">
        <f t="shared" si="0"/>
        <v>-30823.246191758721</v>
      </c>
      <c r="I46" s="938">
        <f t="shared" si="0"/>
        <v>-31808.939325087413</v>
      </c>
      <c r="J46" s="938">
        <f t="shared" si="0"/>
        <v>-20620.017972759146</v>
      </c>
      <c r="K46" s="938">
        <f t="shared" si="0"/>
        <v>-20638.172170807258</v>
      </c>
    </row>
    <row r="48" spans="1:11">
      <c r="A48" s="936" t="s">
        <v>3353</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ht="13">
      <c r="A50" s="935" t="s">
        <v>1095</v>
      </c>
    </row>
    <row r="51" spans="1:17">
      <c r="A51" s="936" t="s">
        <v>1128</v>
      </c>
      <c r="B51" s="938">
        <f>+B44</f>
        <v>603758.22560000001</v>
      </c>
      <c r="C51" s="938">
        <f t="shared" ref="C51:K51" si="2">+C44</f>
        <v>606497.49011200003</v>
      </c>
      <c r="D51" s="938">
        <f t="shared" si="2"/>
        <v>609010.56411424</v>
      </c>
      <c r="E51" s="938">
        <f t="shared" si="2"/>
        <v>611286.19232252461</v>
      </c>
      <c r="F51" s="938">
        <f t="shared" si="2"/>
        <v>613309.65880275529</v>
      </c>
      <c r="G51" s="938">
        <f t="shared" si="2"/>
        <v>615067.77069160389</v>
      </c>
      <c r="H51" s="938">
        <f t="shared" si="2"/>
        <v>616545.84137961315</v>
      </c>
      <c r="I51" s="938">
        <f t="shared" si="2"/>
        <v>617728.67313960753</v>
      </c>
      <c r="J51" s="938">
        <f t="shared" si="2"/>
        <v>618600.53918277472</v>
      </c>
      <c r="K51" s="938">
        <f t="shared" si="2"/>
        <v>619145.16512421588</v>
      </c>
    </row>
    <row r="52" spans="1:17">
      <c r="A52" s="936" t="s">
        <v>3354</v>
      </c>
      <c r="B52" s="938">
        <f>IF($B$25="N/A",B45,B45+$B$25)</f>
        <v>-503131.85466666671</v>
      </c>
      <c r="C52" s="938">
        <f t="shared" ref="C52:K52" si="3">IF($B$25="N/A",C45,C45+$B$25)</f>
        <v>-503131.85466666671</v>
      </c>
      <c r="D52" s="938">
        <f t="shared" si="3"/>
        <v>-503131.85466666671</v>
      </c>
      <c r="E52" s="938">
        <f t="shared" si="3"/>
        <v>-503131.85466666671</v>
      </c>
      <c r="F52" s="938">
        <f t="shared" si="3"/>
        <v>-503131.85466666671</v>
      </c>
      <c r="G52" s="938">
        <f t="shared" si="3"/>
        <v>-503131.85466666671</v>
      </c>
      <c r="H52" s="938">
        <f t="shared" si="3"/>
        <v>-503131.85466666671</v>
      </c>
      <c r="I52" s="938">
        <f t="shared" si="3"/>
        <v>-503131.85466666671</v>
      </c>
      <c r="J52" s="938">
        <f t="shared" si="3"/>
        <v>-515047.3310549676</v>
      </c>
      <c r="K52" s="938">
        <f t="shared" si="3"/>
        <v>-515483.03180812049</v>
      </c>
    </row>
    <row r="53" spans="1:17">
      <c r="A53" s="936" t="s">
        <v>3355</v>
      </c>
      <c r="B53" s="937">
        <f>+'Part VI-Pro Forma'!B31</f>
        <v>-5000</v>
      </c>
      <c r="C53" s="937">
        <f>+'Part VI-Pro Forma'!C31</f>
        <v>-5150</v>
      </c>
      <c r="D53" s="937">
        <f>+'Part VI-Pro Forma'!D31</f>
        <v>-5304.5</v>
      </c>
      <c r="E53" s="937">
        <f>+'Part VI-Pro Forma'!E31</f>
        <v>-5463.6350000000002</v>
      </c>
      <c r="F53" s="937">
        <f>+'Part VI-Pro Forma'!F31</f>
        <v>-5627.5440500000004</v>
      </c>
      <c r="G53" s="937">
        <f>+'Part VI-Pro Forma'!G31</f>
        <v>-5796.3703715000001</v>
      </c>
      <c r="H53" s="937">
        <f>+'Part VI-Pro Forma'!H31</f>
        <v>-5970.2614826449999</v>
      </c>
      <c r="I53" s="937">
        <f>+'Part VI-Pro Forma'!I31</f>
        <v>-6149.3693271243501</v>
      </c>
      <c r="J53" s="937">
        <f>+'Part VI-Pro Forma'!J31</f>
        <v>-6333.8504069380806</v>
      </c>
      <c r="K53" s="937">
        <f>+'Part VI-Pro Forma'!K31</f>
        <v>-6523.865919146223</v>
      </c>
    </row>
    <row r="54" spans="1:17">
      <c r="A54" s="936" t="s">
        <v>3356</v>
      </c>
      <c r="B54" s="938">
        <f>+SUM(B51:B53)</f>
        <v>95626.370933333295</v>
      </c>
      <c r="C54" s="938">
        <f t="shared" ref="C54:K54" si="4">+SUM(C51:C53)</f>
        <v>98215.635445333319</v>
      </c>
      <c r="D54" s="938">
        <f t="shared" si="4"/>
        <v>100574.20944757329</v>
      </c>
      <c r="E54" s="938">
        <f t="shared" si="4"/>
        <v>102690.70265585791</v>
      </c>
      <c r="F54" s="938">
        <f t="shared" si="4"/>
        <v>104550.26008608859</v>
      </c>
      <c r="G54" s="938">
        <f t="shared" si="4"/>
        <v>106139.54565343718</v>
      </c>
      <c r="H54" s="938">
        <f t="shared" si="4"/>
        <v>107443.72523030144</v>
      </c>
      <c r="I54" s="938">
        <f t="shared" si="4"/>
        <v>108447.44914581647</v>
      </c>
      <c r="J54" s="938">
        <f t="shared" si="4"/>
        <v>97219.35772086904</v>
      </c>
      <c r="K54" s="938">
        <f t="shared" si="4"/>
        <v>97138.267396949173</v>
      </c>
    </row>
    <row r="55" spans="1:17">
      <c r="A55" s="936" t="s">
        <v>3274</v>
      </c>
      <c r="B55" s="938">
        <f>-B54</f>
        <v>-95626.370933333295</v>
      </c>
      <c r="C55" s="938">
        <f t="shared" ref="C55:K55" si="5">-C54</f>
        <v>-98215.635445333319</v>
      </c>
      <c r="D55" s="938">
        <f t="shared" si="5"/>
        <v>-100574.20944757329</v>
      </c>
      <c r="E55" s="938">
        <f t="shared" si="5"/>
        <v>-102690.70265585791</v>
      </c>
      <c r="F55" s="938">
        <f t="shared" si="5"/>
        <v>-104550.26008608859</v>
      </c>
      <c r="G55" s="938">
        <f t="shared" si="5"/>
        <v>-106139.54565343718</v>
      </c>
      <c r="H55" s="938">
        <f t="shared" si="5"/>
        <v>-107443.72523030144</v>
      </c>
      <c r="I55" s="938">
        <f t="shared" si="5"/>
        <v>-108447.44914581647</v>
      </c>
      <c r="J55" s="938">
        <f t="shared" si="5"/>
        <v>-97219.35772086904</v>
      </c>
      <c r="K55" s="938">
        <f t="shared" si="5"/>
        <v>-97138.267396949173</v>
      </c>
    </row>
    <row r="56" spans="1:17">
      <c r="A56" s="936" t="s">
        <v>3357</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3358</v>
      </c>
      <c r="B58" s="937">
        <f>IF($B$26="","",-FV('Part II-Sources of Funds'!$K$42/12,12,B52/12,B26))</f>
        <v>5020529.8289578604</v>
      </c>
      <c r="C58" s="937">
        <f>IF($B$26="","",-FV('Part II-Sources of Funds'!$K$42/12,12,C52/12,C26))</f>
        <v>-517606.70335651783</v>
      </c>
      <c r="D58" s="937">
        <f>IF($B$26="","",-FV('Part II-Sources of Funds'!$K$42/12,12,D52/12,D26))</f>
        <v>-517606.70335651783</v>
      </c>
      <c r="E58" s="937">
        <f>IF($B$26="","",-FV('Part II-Sources of Funds'!$K$42/12,12,E52/12,E26))</f>
        <v>-517606.70335651783</v>
      </c>
      <c r="F58" s="937">
        <f>IF($B$26="","",-FV('Part II-Sources of Funds'!$K$42/12,12,F52/12,F26))</f>
        <v>-517606.70335651783</v>
      </c>
      <c r="G58" s="937">
        <f>IF($B$26="","",-FV('Part II-Sources of Funds'!$K$42/12,12,G52/12,G26))</f>
        <v>-517606.70335651783</v>
      </c>
      <c r="H58" s="937">
        <f>IF($B$26="","",-FV('Part II-Sources of Funds'!$K$42/12,12,H52/12,H26))</f>
        <v>-517606.70335651783</v>
      </c>
      <c r="I58" s="937">
        <f>IF($B$26="","",-FV('Part II-Sources of Funds'!$K$42/12,12,I52/12,I26))</f>
        <v>-517606.70335651783</v>
      </c>
      <c r="J58" s="937">
        <f>IF($B$26="","",-FV('Part II-Sources of Funds'!$K$42/12,12,J52/12,J26))</f>
        <v>-529864.98196691705</v>
      </c>
      <c r="K58" s="937">
        <f>IF($B$26="","",-FV('Part II-Sources of Funds'!$K$42/12,12,K52/12,K26))</f>
        <v>-530313.21761011402</v>
      </c>
    </row>
    <row r="59" spans="1:17">
      <c r="A59" s="936" t="s">
        <v>3275</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ht="13">
      <c r="A62" s="935" t="s">
        <v>3350</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619346.70983921958</v>
      </c>
      <c r="C64" s="937">
        <f>+'Part VI-Pro Forma'!C57</f>
        <v>619185.74569089862</v>
      </c>
      <c r="D64" s="937">
        <f>+'Part VI-Pro Forma'!D57</f>
        <v>618646.23810925905</v>
      </c>
      <c r="E64" s="937">
        <f>+'Part VI-Pro Forma'!E57</f>
        <v>617707.52450112207</v>
      </c>
      <c r="F64" s="937">
        <f>+'Part VI-Pro Forma'!F57</f>
        <v>616351.29246971325</v>
      </c>
      <c r="G64" s="937">
        <f>+'Part VI-Pro Forma'!G57</f>
        <v>614556.5573220324</v>
      </c>
      <c r="H64" s="937">
        <f>+'Part VI-Pro Forma'!H57</f>
        <v>612301.638841487</v>
      </c>
      <c r="I64" s="937">
        <f>+'Part VI-Pro Forma'!I57</f>
        <v>609565.1373025201</v>
      </c>
      <c r="J64" s="937">
        <f>+'Part VI-Pro Forma'!J57</f>
        <v>606324.90870330064</v>
      </c>
      <c r="K64" s="937">
        <f>+'Part VI-Pro Forma'!K57</f>
        <v>602557.03919173754</v>
      </c>
    </row>
    <row r="65" spans="1:11">
      <c r="A65" s="936" t="s">
        <v>3351</v>
      </c>
      <c r="B65" s="937">
        <f>SUM('Part VI-Pro Forma'!B58:B61)</f>
        <v>-495477.36787137564</v>
      </c>
      <c r="C65" s="937">
        <f>SUM('Part VI-Pro Forma'!C58:C61)</f>
        <v>-495348.5965527189</v>
      </c>
      <c r="D65" s="937">
        <f>SUM('Part VI-Pro Forma'!D58:D61)</f>
        <v>-494916.99048740725</v>
      </c>
      <c r="E65" s="937">
        <f>SUM('Part VI-Pro Forma'!E58:E61)</f>
        <v>-494166.01960089768</v>
      </c>
      <c r="F65" s="937">
        <f>SUM('Part VI-Pro Forma'!F58:F61)</f>
        <v>-493081.03397577058</v>
      </c>
      <c r="G65" s="937">
        <f>SUM('Part VI-Pro Forma'!G58:G61)</f>
        <v>-606993.60869775689</v>
      </c>
      <c r="H65" s="937">
        <f>SUM('Part VI-Pro Forma'!H58:H61)</f>
        <v>-604511.80175848317</v>
      </c>
      <c r="I65" s="937">
        <f>SUM('Part VI-Pro Forma'!I58:I61)</f>
        <v>-609565.1373025201</v>
      </c>
      <c r="J65" s="937">
        <f>SUM('Part VI-Pro Forma'!J58:J61)</f>
        <v>-606324.90870330064</v>
      </c>
      <c r="K65" s="937">
        <f>SUM('Part VI-Pro Forma'!K58:K61)</f>
        <v>-602557.03919173754</v>
      </c>
    </row>
    <row r="66" spans="1:11">
      <c r="A66" s="936" t="s">
        <v>3352</v>
      </c>
      <c r="B66" s="938">
        <f t="shared" ref="B66:K66" si="7">-B64/B68-B65</f>
        <v>-20644.890327974048</v>
      </c>
      <c r="C66" s="938">
        <f t="shared" si="7"/>
        <v>-20639.524856363307</v>
      </c>
      <c r="D66" s="938">
        <f t="shared" si="7"/>
        <v>-20621.541270308662</v>
      </c>
      <c r="E66" s="938">
        <f t="shared" si="7"/>
        <v>-20590.250816704065</v>
      </c>
      <c r="F66" s="938">
        <f t="shared" si="7"/>
        <v>-20545.043082323798</v>
      </c>
      <c r="G66" s="938">
        <f t="shared" si="7"/>
        <v>94863.144262729853</v>
      </c>
      <c r="H66" s="938">
        <f t="shared" si="7"/>
        <v>94260.436057243962</v>
      </c>
      <c r="I66" s="938">
        <f t="shared" si="7"/>
        <v>101594.18955041998</v>
      </c>
      <c r="J66" s="938">
        <f t="shared" si="7"/>
        <v>101054.15145055007</v>
      </c>
      <c r="K66" s="938">
        <f t="shared" si="7"/>
        <v>100426.17319862288</v>
      </c>
    </row>
    <row r="68" spans="1:11">
      <c r="A68" s="936" t="s">
        <v>3353</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ht="13">
      <c r="A70" s="935" t="s">
        <v>1095</v>
      </c>
    </row>
    <row r="71" spans="1:11">
      <c r="A71" s="936" t="s">
        <v>1128</v>
      </c>
      <c r="B71" s="938">
        <f t="shared" ref="B71:G71" si="9">+B64</f>
        <v>619346.70983921958</v>
      </c>
      <c r="C71" s="938">
        <f t="shared" si="9"/>
        <v>619185.74569089862</v>
      </c>
      <c r="D71" s="938">
        <f t="shared" si="9"/>
        <v>618646.23810925905</v>
      </c>
      <c r="E71" s="938">
        <f t="shared" si="9"/>
        <v>617707.52450112207</v>
      </c>
      <c r="F71" s="938">
        <f t="shared" si="9"/>
        <v>616351.29246971325</v>
      </c>
      <c r="G71" s="938">
        <f t="shared" si="9"/>
        <v>614556.5573220324</v>
      </c>
      <c r="H71" s="938">
        <f>+H64</f>
        <v>612301.638841487</v>
      </c>
      <c r="I71" s="938">
        <f>+I64</f>
        <v>609565.1373025201</v>
      </c>
      <c r="J71" s="938">
        <f>+J64</f>
        <v>606324.90870330064</v>
      </c>
      <c r="K71" s="938">
        <f>+K64</f>
        <v>602557.03919173754</v>
      </c>
    </row>
    <row r="72" spans="1:11">
      <c r="A72" s="936" t="s">
        <v>3354</v>
      </c>
      <c r="B72" s="938">
        <f t="shared" ref="B72:G72" si="10">IF($B$25="N/A",B65,B65+$B$25)</f>
        <v>-515644.26758012344</v>
      </c>
      <c r="C72" s="938">
        <f t="shared" si="10"/>
        <v>-515515.4962614667</v>
      </c>
      <c r="D72" s="938">
        <f t="shared" si="10"/>
        <v>-515083.89019615506</v>
      </c>
      <c r="E72" s="938">
        <f t="shared" si="10"/>
        <v>-514332.91930964548</v>
      </c>
      <c r="F72" s="938">
        <f t="shared" si="10"/>
        <v>-513247.93368451839</v>
      </c>
      <c r="G72" s="938">
        <f t="shared" si="10"/>
        <v>-627160.50840650476</v>
      </c>
      <c r="H72" s="938">
        <f>IF($B$25="N/A",H65,H65+$B$25)</f>
        <v>-624678.70146723092</v>
      </c>
      <c r="I72" s="938">
        <f>IF($B$25="N/A",I65,I65+$B$25)</f>
        <v>-629732.03701126785</v>
      </c>
      <c r="J72" s="938">
        <f>IF($B$25="N/A",J65,J65+$B$25)</f>
        <v>-626491.8084120485</v>
      </c>
      <c r="K72" s="938">
        <f>IF($B$25="N/A",K65,K65+$B$25)</f>
        <v>-622723.9389004854</v>
      </c>
    </row>
    <row r="73" spans="1:11">
      <c r="A73" s="936" t="s">
        <v>3355</v>
      </c>
      <c r="B73" s="937">
        <f>+'Part VI-Pro Forma'!B63</f>
        <v>-6523.865919146223</v>
      </c>
      <c r="C73" s="937">
        <f>+'Part VI-Pro Forma'!C63</f>
        <v>-6719.5818967206096</v>
      </c>
      <c r="D73" s="937">
        <f>+'Part VI-Pro Forma'!D63</f>
        <v>-6921.1693536222283</v>
      </c>
      <c r="E73" s="937">
        <f>+'Part VI-Pro Forma'!E63</f>
        <v>-7128.8044342308949</v>
      </c>
      <c r="F73" s="937">
        <f>+'Part VI-Pro Forma'!F63</f>
        <v>-7342.6685672578224</v>
      </c>
      <c r="G73" s="937">
        <f>+'Part VI-Pro Forma'!G63</f>
        <v>-7562.9486242755574</v>
      </c>
      <c r="H73" s="937">
        <f>+'Part VI-Pro Forma'!H63</f>
        <v>-7789.8370830038248</v>
      </c>
      <c r="I73" s="937">
        <f>+'Part VI-Pro Forma'!I63</f>
        <v>0</v>
      </c>
      <c r="J73" s="937">
        <f>+'Part VI-Pro Forma'!J63</f>
        <v>0</v>
      </c>
      <c r="K73" s="937">
        <f>+'Part VI-Pro Forma'!K63</f>
        <v>0</v>
      </c>
    </row>
    <row r="74" spans="1:11">
      <c r="A74" s="936" t="s">
        <v>3356</v>
      </c>
      <c r="B74" s="938">
        <f t="shared" ref="B74:G74" si="11">+SUM(B71:B73)</f>
        <v>97178.576339949912</v>
      </c>
      <c r="C74" s="938">
        <f t="shared" si="11"/>
        <v>96950.667532711304</v>
      </c>
      <c r="D74" s="938">
        <f t="shared" si="11"/>
        <v>96641.178559481763</v>
      </c>
      <c r="E74" s="938">
        <f t="shared" si="11"/>
        <v>96245.800757245685</v>
      </c>
      <c r="F74" s="938">
        <f t="shared" si="11"/>
        <v>95760.690217937052</v>
      </c>
      <c r="G74" s="938">
        <f t="shared" si="11"/>
        <v>-20166.899708747915</v>
      </c>
      <c r="H74" s="938">
        <f>+SUM(H71:H73)</f>
        <v>-20166.89970874774</v>
      </c>
      <c r="I74" s="938">
        <f>+SUM(I71:I73)</f>
        <v>-20166.899708747747</v>
      </c>
      <c r="J74" s="938">
        <f>+SUM(J71:J73)</f>
        <v>-20166.899708747864</v>
      </c>
      <c r="K74" s="938">
        <f>+SUM(K71:K73)</f>
        <v>-20166.899708747864</v>
      </c>
    </row>
    <row r="75" spans="1:11">
      <c r="A75" s="936" t="s">
        <v>3274</v>
      </c>
      <c r="B75" s="938">
        <f t="shared" ref="B75:G75" si="12">-B74</f>
        <v>-97178.576339949912</v>
      </c>
      <c r="C75" s="938">
        <f t="shared" si="12"/>
        <v>-96950.667532711304</v>
      </c>
      <c r="D75" s="938">
        <f t="shared" si="12"/>
        <v>-96641.178559481763</v>
      </c>
      <c r="E75" s="938">
        <f t="shared" si="12"/>
        <v>-96245.800757245685</v>
      </c>
      <c r="F75" s="938">
        <f t="shared" si="12"/>
        <v>-95760.690217937052</v>
      </c>
      <c r="G75" s="938">
        <f t="shared" si="12"/>
        <v>20166.899708747915</v>
      </c>
      <c r="H75" s="938">
        <f>-H74</f>
        <v>20166.89970874774</v>
      </c>
      <c r="I75" s="938">
        <f>-I74</f>
        <v>20166.899708747747</v>
      </c>
      <c r="J75" s="938">
        <f>-J74</f>
        <v>20166.899708747864</v>
      </c>
      <c r="K75" s="938">
        <f>-K74</f>
        <v>20166.899708747864</v>
      </c>
    </row>
    <row r="76" spans="1:11">
      <c r="A76" s="936" t="s">
        <v>3357</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3358</v>
      </c>
      <c r="B78" s="937">
        <f>IF($B$26="","",-FV('Part II-Sources of Funds'!$K$42/12,12,B72/12,K58))</f>
        <v>-1094453.9823872265</v>
      </c>
      <c r="C78" s="937">
        <f>IF($B$26="","",-FV('Part II-Sources of Funds'!$K$42/12,12,C72/12,L58))</f>
        <v>-530346.61604934407</v>
      </c>
      <c r="D78" s="937">
        <f>IF($B$26="","",-FV('Part II-Sources of Funds'!$K$42/12,12,D72/12,M58))</f>
        <v>-529902.59289608418</v>
      </c>
      <c r="E78" s="937">
        <f>IF($B$26="","",-FV('Part II-Sources of Funds'!$K$42/12,12,E72/12,N58))</f>
        <v>-529130.01695743587</v>
      </c>
      <c r="F78" s="937">
        <f>IF($B$26="","",-FV('Part II-Sources of Funds'!$K$42/12,12,F72/12,O58))</f>
        <v>-528013.81684527383</v>
      </c>
      <c r="G78" s="937">
        <f>IF($B$26="","",-FV('Part II-Sources of Funds'!$K$42/12,12,G72/12,P58))</f>
        <v>-645203.59866054694</v>
      </c>
      <c r="H78" s="937">
        <f>IF($B$26="","",-FV('Part II-Sources of Funds'!$K$42/12,12,H72/12,Q58))</f>
        <v>-642650.39139233308</v>
      </c>
      <c r="I78" s="937">
        <f>IF($B$26="","",-FV('Part II-Sources of Funds'!$K$42/12,12,I72/12,R58))</f>
        <v>-647849.10884113412</v>
      </c>
      <c r="J78" s="937">
        <f>IF($B$26="","",-FV('Part II-Sources of Funds'!$K$42/12,12,J72/12,S58))</f>
        <v>-644515.6605058572</v>
      </c>
      <c r="K78" s="937">
        <f>IF($B$26="","",-FV('Part II-Sources of Funds'!$K$42/12,12,K72/12,T58))</f>
        <v>-640639.39129636774</v>
      </c>
    </row>
    <row r="79" spans="1:11">
      <c r="A79" s="936" t="s">
        <v>3275</v>
      </c>
    </row>
    <row r="82" spans="1:2">
      <c r="A82" s="936" t="s">
        <v>3359</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2" customWidth="1"/>
    <col min="2" max="2" width="1.7265625" style="512" customWidth="1"/>
    <col min="3" max="3" width="13" style="512" customWidth="1"/>
    <col min="4" max="4" width="11.26953125" style="512" customWidth="1"/>
    <col min="5" max="5" width="14.7265625" style="512" customWidth="1"/>
    <col min="6" max="6" width="15.26953125" style="512" customWidth="1"/>
    <col min="7" max="7" width="11.7265625" style="512" customWidth="1"/>
    <col min="8" max="8" width="11.453125" style="512" customWidth="1"/>
    <col min="9" max="9" width="10.54296875" style="512" customWidth="1"/>
    <col min="10" max="10" width="6" style="512" customWidth="1"/>
    <col min="11" max="11" width="12.7265625" style="512" customWidth="1"/>
    <col min="12" max="12" width="10.7265625" style="512" customWidth="1"/>
    <col min="13" max="13" width="26.26953125" style="512" customWidth="1"/>
    <col min="14" max="14" width="9.26953125" style="512"/>
    <col min="15" max="15" width="12.453125" style="512" customWidth="1"/>
    <col min="16" max="16" width="9.26953125" style="512"/>
    <col min="17" max="17" width="11.7265625" style="512" bestFit="1" customWidth="1"/>
    <col min="18" max="16384" width="9.26953125" style="512"/>
  </cols>
  <sheetData>
    <row r="1" spans="1:15" ht="13.5" customHeight="1">
      <c r="A1" s="513" t="s">
        <v>2698</v>
      </c>
      <c r="B1" s="513"/>
      <c r="C1" s="512" t="str">
        <f>'Sensitivity Analysis'!C8</f>
        <v>Princeton Court</v>
      </c>
    </row>
    <row r="2" spans="1:15" ht="13.5" customHeight="1"/>
    <row r="3" spans="1:15" ht="13.5" customHeight="1">
      <c r="A3" s="513" t="s">
        <v>2699</v>
      </c>
      <c r="C3" s="512" t="s">
        <v>2700</v>
      </c>
      <c r="E3" s="573">
        <f>SUM('Part III-A-Uses of Funds'!J163,'Part III-A-Uses of Funds'!M163,'Part III-A-Uses of Funds'!P163)</f>
        <v>34348344</v>
      </c>
      <c r="F3" s="998" t="s">
        <v>2701</v>
      </c>
      <c r="H3" s="983">
        <v>27.5</v>
      </c>
      <c r="I3" s="512" t="s">
        <v>2267</v>
      </c>
      <c r="K3" s="517" t="s">
        <v>2722</v>
      </c>
      <c r="M3" s="998"/>
      <c r="O3" s="574"/>
    </row>
    <row r="4" spans="1:15" ht="13.5" customHeight="1">
      <c r="C4" s="512" t="s">
        <v>3044</v>
      </c>
      <c r="E4" s="573">
        <f>SUM('Part III-A-Uses of Funds'!G97:H101)</f>
        <v>230610</v>
      </c>
      <c r="F4" s="998" t="s">
        <v>3542</v>
      </c>
      <c r="H4" s="513">
        <f>'Part II-Sources of Funds'!M42</f>
        <v>40</v>
      </c>
      <c r="I4" s="512" t="s">
        <v>2267</v>
      </c>
      <c r="K4" s="575" t="s">
        <v>2891</v>
      </c>
      <c r="M4" s="998"/>
    </row>
    <row r="5" spans="1:15" ht="13.5" customHeight="1">
      <c r="C5" s="512" t="s">
        <v>3045</v>
      </c>
      <c r="E5" s="573">
        <f>SUM('Part III-A-Uses of Funds'!G105:H111)</f>
        <v>245079</v>
      </c>
      <c r="F5" s="998" t="s">
        <v>3541</v>
      </c>
      <c r="H5" s="983">
        <v>15</v>
      </c>
      <c r="I5" s="512" t="s">
        <v>2267</v>
      </c>
      <c r="K5" s="574">
        <f>-E6</f>
        <v>-20290892</v>
      </c>
    </row>
    <row r="6" spans="1:15" ht="13.5" customHeight="1">
      <c r="C6" s="512" t="s">
        <v>2702</v>
      </c>
      <c r="E6" s="576">
        <f>'Part II-Sources of Funds'!$I$53+'Part II-Sources of Funds'!$I$54</f>
        <v>20290892</v>
      </c>
      <c r="F6" s="998" t="s">
        <v>2703</v>
      </c>
      <c r="H6" s="577">
        <v>0.35</v>
      </c>
      <c r="K6" s="574" t="e">
        <f>C24</f>
        <v>#VALUE!</v>
      </c>
      <c r="M6" s="512" t="s">
        <v>2704</v>
      </c>
      <c r="O6" s="578">
        <f>'Sensitivity Analysis'!K32</f>
        <v>0</v>
      </c>
    </row>
    <row r="7" spans="1:15" ht="13.5" customHeight="1">
      <c r="K7" s="574" t="e">
        <f>D24</f>
        <v>#VALUE!</v>
      </c>
      <c r="O7" s="579"/>
    </row>
    <row r="8" spans="1:15" ht="13.5" customHeight="1">
      <c r="A8" s="513" t="s">
        <v>2278</v>
      </c>
      <c r="C8" s="580">
        <v>1</v>
      </c>
      <c r="D8" s="580">
        <v>2</v>
      </c>
      <c r="E8" s="580">
        <v>3</v>
      </c>
      <c r="F8" s="580">
        <v>4</v>
      </c>
      <c r="G8" s="580">
        <v>5</v>
      </c>
      <c r="H8" s="580">
        <v>6</v>
      </c>
      <c r="I8" s="580">
        <v>7</v>
      </c>
      <c r="K8" s="574" t="e">
        <f>E24</f>
        <v>#VALUE!</v>
      </c>
      <c r="M8" s="512" t="s">
        <v>2705</v>
      </c>
      <c r="O8" s="960" t="e">
        <f>#REF!+#REF!+#REF!</f>
        <v>#REF!</v>
      </c>
    </row>
    <row r="9" spans="1:15" ht="13.5" customHeight="1">
      <c r="A9" s="512" t="s">
        <v>2706</v>
      </c>
      <c r="C9" s="581">
        <f>'Part VI-Pro Forma'!B33</f>
        <v>0</v>
      </c>
      <c r="D9" s="581">
        <f>'Part VI-Pro Forma'!C33</f>
        <v>0</v>
      </c>
      <c r="E9" s="581">
        <f>'Part VI-Pro Forma'!D33</f>
        <v>0</v>
      </c>
      <c r="F9" s="581">
        <f>'Part VI-Pro Forma'!E33</f>
        <v>0</v>
      </c>
      <c r="G9" s="581">
        <f>'Part VI-Pro Forma'!F33</f>
        <v>0</v>
      </c>
      <c r="H9" s="581">
        <f>'Part VI-Pro Forma'!G33</f>
        <v>0</v>
      </c>
      <c r="I9" s="581">
        <f>'Part VI-Pro Forma'!H33</f>
        <v>0</v>
      </c>
      <c r="K9" s="574" t="e">
        <f>F24</f>
        <v>#VALUE!</v>
      </c>
      <c r="N9" s="582" t="s">
        <v>2708</v>
      </c>
    </row>
    <row r="10" spans="1:15" ht="13.5" customHeight="1">
      <c r="A10" s="512" t="s">
        <v>2707</v>
      </c>
      <c r="C10" s="957">
        <f>'Part II-Sources of Funds'!I42-'Part VI-Pro Forma'!B40</f>
        <v>42378.055413343012</v>
      </c>
      <c r="D10" s="583">
        <f>'Part VI-Pro Forma'!B40-'Part VI-Pro Forma'!C40</f>
        <v>45068.005775904283</v>
      </c>
      <c r="E10" s="583">
        <f>'Part VI-Pro Forma'!C40-'Part VI-Pro Forma'!D40</f>
        <v>47928.700946892612</v>
      </c>
      <c r="F10" s="583">
        <f>'Part VI-Pro Forma'!D40-'Part VI-Pro Forma'!E40</f>
        <v>50970.978966298513</v>
      </c>
      <c r="G10" s="583">
        <f>'Part VI-Pro Forma'!E40-'Part VI-Pro Forma'!F40</f>
        <v>54206.365819545463</v>
      </c>
      <c r="H10" s="583">
        <f>'Part VI-Pro Forma'!F40-'Part VI-Pro Forma'!G40</f>
        <v>57647.119104877114</v>
      </c>
      <c r="I10" s="583">
        <f>'Part VI-Pro Forma'!G40-'Part VI-Pro Forma'!H40</f>
        <v>61306.274472538382</v>
      </c>
      <c r="K10" s="574" t="e">
        <f>G24</f>
        <v>#VALUE!</v>
      </c>
      <c r="N10" s="582" t="s">
        <v>2709</v>
      </c>
      <c r="O10" s="579"/>
    </row>
    <row r="11" spans="1:15" ht="13.5" customHeight="1">
      <c r="A11" s="512" t="s">
        <v>2707</v>
      </c>
      <c r="C11" s="957">
        <f>'Part II-Sources of Funds'!I43-'Part VI-Pro Forma'!B41</f>
        <v>-626088.99250863679</v>
      </c>
      <c r="D11" s="583">
        <f>'Part VI-Pro Forma'!B41-'Part VI-Pro Forma'!C41</f>
        <v>-671349.01640028507</v>
      </c>
      <c r="E11" s="583">
        <f>'Part VI-Pro Forma'!C41-'Part VI-Pro Forma'!D41</f>
        <v>-719880.89107861556</v>
      </c>
      <c r="F11" s="583">
        <f>'Part VI-Pro Forma'!D41-'Part VI-Pro Forma'!E41</f>
        <v>-771921.13890154846</v>
      </c>
      <c r="G11" s="583">
        <f>'Part VI-Pro Forma'!E41-'Part VI-Pro Forma'!F41</f>
        <v>-827723.38044737838</v>
      </c>
      <c r="H11" s="583">
        <f>'Part VI-Pro Forma'!F41-'Part VI-Pro Forma'!G41</f>
        <v>-887559.57054651715</v>
      </c>
      <c r="I11" s="583">
        <f>'Part VI-Pro Forma'!G41-'Part VI-Pro Forma'!H41</f>
        <v>-951721.32366605103</v>
      </c>
      <c r="K11" s="574" t="e">
        <f>H24</f>
        <v>#VALUE!</v>
      </c>
      <c r="O11" s="579"/>
    </row>
    <row r="12" spans="1:15" ht="13.5" customHeight="1">
      <c r="A12" s="512" t="s">
        <v>2707</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I24</f>
        <v>#VALUE!</v>
      </c>
      <c r="M12" s="512" t="s">
        <v>2711</v>
      </c>
      <c r="N12" s="584">
        <v>0.06</v>
      </c>
      <c r="O12" s="579">
        <f>N12*O6</f>
        <v>0</v>
      </c>
    </row>
    <row r="13" spans="1:15" ht="13.5" customHeight="1">
      <c r="A13" s="585" t="s">
        <v>3046</v>
      </c>
      <c r="B13" s="585"/>
      <c r="C13" s="958">
        <f>'Part VI-Pro Forma'!B23</f>
        <v>-46640</v>
      </c>
      <c r="D13" s="958">
        <f>'Part VI-Pro Forma'!C23</f>
        <v>-48039.200000000004</v>
      </c>
      <c r="E13" s="958">
        <f>'Part VI-Pro Forma'!D23</f>
        <v>-49480.375999999997</v>
      </c>
      <c r="F13" s="958">
        <f>'Part VI-Pro Forma'!E23</f>
        <v>-50964.787279999997</v>
      </c>
      <c r="G13" s="958">
        <f>'Part VI-Pro Forma'!F23</f>
        <v>-52493.730898399997</v>
      </c>
      <c r="H13" s="958">
        <f>'Part VI-Pro Forma'!G23</f>
        <v>-54068.542825351993</v>
      </c>
      <c r="I13" s="958">
        <f>'Part VI-Pro Forma'!H23</f>
        <v>-55690.599110112555</v>
      </c>
      <c r="K13" s="574" t="e">
        <f>C44</f>
        <v>#VALUE!</v>
      </c>
      <c r="O13" s="579"/>
    </row>
    <row r="14" spans="1:15" ht="13.5" customHeight="1">
      <c r="A14" s="585" t="s">
        <v>3047</v>
      </c>
      <c r="B14" s="585"/>
      <c r="C14" s="958">
        <f>'Part VI-Pro Forma'!B32</f>
        <v>-115793.2706420811</v>
      </c>
      <c r="D14" s="958">
        <f>'Part VI-Pro Forma'!C32</f>
        <v>-118382.53515408112</v>
      </c>
      <c r="E14" s="958">
        <f>'Part VI-Pro Forma'!D32</f>
        <v>-120741.10915632109</v>
      </c>
      <c r="F14" s="958">
        <f>'Part VI-Pro Forma'!E32</f>
        <v>-122857.60236460571</v>
      </c>
      <c r="G14" s="958">
        <f>'Part VI-Pro Forma'!F32</f>
        <v>-124717.15979483639</v>
      </c>
      <c r="H14" s="958">
        <f>'Part VI-Pro Forma'!G32</f>
        <v>-126306.44536218498</v>
      </c>
      <c r="I14" s="958">
        <f>'Part VI-Pro Forma'!H32</f>
        <v>-127610.62493904924</v>
      </c>
      <c r="K14" s="574" t="e">
        <f>D44</f>
        <v>#VALUE!</v>
      </c>
      <c r="M14" s="512" t="s">
        <v>2714</v>
      </c>
      <c r="O14" s="579" t="e">
        <f>O6-O8-O12</f>
        <v>#REF!</v>
      </c>
    </row>
    <row r="15" spans="1:15" ht="13.5" customHeight="1">
      <c r="A15" s="512" t="s">
        <v>2710</v>
      </c>
      <c r="C15" s="586">
        <f t="shared" ref="C15:I15" si="0">$E$3/$H$3</f>
        <v>1249030.6909090909</v>
      </c>
      <c r="D15" s="586">
        <f t="shared" si="0"/>
        <v>1249030.6909090909</v>
      </c>
      <c r="E15" s="586">
        <f t="shared" si="0"/>
        <v>1249030.6909090909</v>
      </c>
      <c r="F15" s="586">
        <f t="shared" si="0"/>
        <v>1249030.6909090909</v>
      </c>
      <c r="G15" s="586">
        <f t="shared" si="0"/>
        <v>1249030.6909090909</v>
      </c>
      <c r="H15" s="586">
        <f t="shared" si="0"/>
        <v>1249030.6909090909</v>
      </c>
      <c r="I15" s="586">
        <f t="shared" si="0"/>
        <v>1249030.6909090909</v>
      </c>
      <c r="K15" s="574" t="e">
        <f>E44</f>
        <v>#VALUE!</v>
      </c>
      <c r="O15" s="579"/>
    </row>
    <row r="16" spans="1:15" ht="13.5" customHeight="1">
      <c r="A16" s="512" t="s">
        <v>2712</v>
      </c>
      <c r="C16" s="586">
        <f>IF(C$8&lt;=$H$4,($E$4/$H$4),0)+IF(C$8&lt;=$H$5,($E$5/$H$5),0)</f>
        <v>22103.85</v>
      </c>
      <c r="D16" s="586">
        <f t="shared" ref="D16:I16" si="1">IF(D$8&lt;=$H$4,($E$4/$H$4),0)+IF(D$8&lt;=$H$5,($E$5/$H$5),0)</f>
        <v>22103.85</v>
      </c>
      <c r="E16" s="586">
        <f t="shared" si="1"/>
        <v>22103.85</v>
      </c>
      <c r="F16" s="586">
        <f t="shared" si="1"/>
        <v>22103.85</v>
      </c>
      <c r="G16" s="586">
        <f t="shared" si="1"/>
        <v>22103.85</v>
      </c>
      <c r="H16" s="586">
        <f t="shared" si="1"/>
        <v>22103.85</v>
      </c>
      <c r="I16" s="586">
        <f t="shared" si="1"/>
        <v>22103.85</v>
      </c>
      <c r="K16" s="574" t="e">
        <f>F44</f>
        <v>#VALUE!</v>
      </c>
      <c r="M16" s="512" t="s">
        <v>2716</v>
      </c>
      <c r="O16" s="579">
        <f>E3</f>
        <v>34348344</v>
      </c>
    </row>
    <row r="17" spans="1:17" ht="13.5" customHeight="1">
      <c r="A17" s="512" t="s">
        <v>2713</v>
      </c>
      <c r="C17" s="583" t="e">
        <f t="shared" ref="C17:I17" si="2">C9+C10+C11+C12+C13+C14-C15-C16</f>
        <v>#VALUE!</v>
      </c>
      <c r="D17" s="583" t="e">
        <f t="shared" si="2"/>
        <v>#VALUE!</v>
      </c>
      <c r="E17" s="583" t="e">
        <f t="shared" si="2"/>
        <v>#VALUE!</v>
      </c>
      <c r="F17" s="583" t="e">
        <f t="shared" si="2"/>
        <v>#VALUE!</v>
      </c>
      <c r="G17" s="583" t="e">
        <f t="shared" si="2"/>
        <v>#VALUE!</v>
      </c>
      <c r="H17" s="583" t="e">
        <f t="shared" si="2"/>
        <v>#VALUE!</v>
      </c>
      <c r="I17" s="583" t="e">
        <f t="shared" si="2"/>
        <v>#VALUE!</v>
      </c>
      <c r="K17" s="574" t="e">
        <f>G44</f>
        <v>#VALUE!</v>
      </c>
      <c r="M17" s="512" t="s">
        <v>2710</v>
      </c>
      <c r="O17" s="579">
        <f>20*(E3/H3)</f>
        <v>24980613.81818182</v>
      </c>
    </row>
    <row r="18" spans="1:17" ht="13.5" customHeight="1">
      <c r="A18" s="512" t="s">
        <v>2715</v>
      </c>
      <c r="C18" s="587" t="e">
        <f t="shared" ref="C18:I18" si="3">C17*$H$6</f>
        <v>#VALUE!</v>
      </c>
      <c r="D18" s="587" t="e">
        <f t="shared" si="3"/>
        <v>#VALUE!</v>
      </c>
      <c r="E18" s="587" t="e">
        <f t="shared" si="3"/>
        <v>#VALUE!</v>
      </c>
      <c r="F18" s="587" t="e">
        <f t="shared" si="3"/>
        <v>#VALUE!</v>
      </c>
      <c r="G18" s="587" t="e">
        <f t="shared" si="3"/>
        <v>#VALUE!</v>
      </c>
      <c r="H18" s="587" t="e">
        <f t="shared" si="3"/>
        <v>#VALUE!</v>
      </c>
      <c r="I18" s="587" t="e">
        <f t="shared" si="3"/>
        <v>#VALUE!</v>
      </c>
      <c r="K18" s="574" t="e">
        <f>H44</f>
        <v>#VALUE!</v>
      </c>
      <c r="O18" s="579"/>
    </row>
    <row r="19" spans="1:17" ht="13.5" customHeight="1">
      <c r="C19" s="581"/>
      <c r="D19" s="581"/>
      <c r="E19" s="581"/>
      <c r="F19" s="581"/>
      <c r="G19" s="581"/>
      <c r="H19" s="581"/>
      <c r="I19" s="581"/>
      <c r="K19" s="574" t="e">
        <f>I44</f>
        <v>#VALUE!</v>
      </c>
      <c r="M19" s="512" t="s">
        <v>2720</v>
      </c>
      <c r="O19" s="579">
        <f>O16-O17</f>
        <v>9367730.1818181798</v>
      </c>
    </row>
    <row r="20" spans="1:17" ht="13.5" customHeight="1">
      <c r="A20" s="512" t="s">
        <v>2717</v>
      </c>
      <c r="C20" s="583" t="e">
        <f t="shared" ref="C20:I20" si="4">C9-C18</f>
        <v>#VALUE!</v>
      </c>
      <c r="D20" s="583" t="e">
        <f t="shared" si="4"/>
        <v>#VALUE!</v>
      </c>
      <c r="E20" s="583" t="e">
        <f t="shared" si="4"/>
        <v>#VALUE!</v>
      </c>
      <c r="F20" s="583" t="e">
        <f t="shared" si="4"/>
        <v>#VALUE!</v>
      </c>
      <c r="G20" s="583" t="e">
        <f t="shared" si="4"/>
        <v>#VALUE!</v>
      </c>
      <c r="H20" s="583" t="e">
        <f t="shared" si="4"/>
        <v>#VALUE!</v>
      </c>
      <c r="I20" s="583" t="e">
        <f t="shared" si="4"/>
        <v>#VALUE!</v>
      </c>
      <c r="K20" s="574" t="e">
        <f>C64</f>
        <v>#VALUE!</v>
      </c>
      <c r="O20" s="579"/>
    </row>
    <row r="21" spans="1:17" ht="13.5" customHeight="1">
      <c r="A21" s="512" t="s">
        <v>2718</v>
      </c>
      <c r="C21" s="587">
        <f>'Part III-A-Uses of Funds'!$J$192</f>
        <v>1478480</v>
      </c>
      <c r="D21" s="587">
        <f t="shared" ref="D21:I21" si="5">C21</f>
        <v>1478480</v>
      </c>
      <c r="E21" s="587">
        <f t="shared" si="5"/>
        <v>1478480</v>
      </c>
      <c r="F21" s="587">
        <f t="shared" si="5"/>
        <v>1478480</v>
      </c>
      <c r="G21" s="587">
        <f t="shared" si="5"/>
        <v>1478480</v>
      </c>
      <c r="H21" s="587">
        <f t="shared" si="5"/>
        <v>1478480</v>
      </c>
      <c r="I21" s="587">
        <f t="shared" si="5"/>
        <v>1478480</v>
      </c>
      <c r="J21" s="512" t="s">
        <v>233</v>
      </c>
      <c r="K21" s="574" t="e">
        <f>D64</f>
        <v>#VALUE!</v>
      </c>
      <c r="O21" s="579"/>
    </row>
    <row r="22" spans="1:17" ht="13.5" customHeight="1">
      <c r="A22" s="512" t="s">
        <v>2719</v>
      </c>
      <c r="C22" s="587">
        <f>C21</f>
        <v>1478480</v>
      </c>
      <c r="D22" s="587">
        <f t="shared" ref="D22:I22" si="6">D21</f>
        <v>1478480</v>
      </c>
      <c r="E22" s="587">
        <f t="shared" si="6"/>
        <v>1478480</v>
      </c>
      <c r="F22" s="587">
        <f t="shared" si="6"/>
        <v>1478480</v>
      </c>
      <c r="G22" s="587">
        <f t="shared" si="6"/>
        <v>1478480</v>
      </c>
      <c r="H22" s="587">
        <f t="shared" si="6"/>
        <v>1478480</v>
      </c>
      <c r="I22" s="587">
        <f t="shared" si="6"/>
        <v>1478480</v>
      </c>
      <c r="K22" s="574" t="e">
        <f>E64</f>
        <v>#VALUE!</v>
      </c>
      <c r="M22" s="512" t="s">
        <v>2704</v>
      </c>
      <c r="O22" s="579">
        <f>O6</f>
        <v>0</v>
      </c>
    </row>
    <row r="23" spans="1:17" ht="13.5" customHeight="1">
      <c r="A23" s="512" t="s">
        <v>2721</v>
      </c>
      <c r="C23" s="581">
        <v>0</v>
      </c>
      <c r="D23" s="581">
        <v>0</v>
      </c>
      <c r="E23" s="581">
        <v>0</v>
      </c>
      <c r="F23" s="581">
        <v>0</v>
      </c>
      <c r="G23" s="581">
        <v>0</v>
      </c>
      <c r="H23" s="581">
        <v>0</v>
      </c>
      <c r="I23" s="581">
        <v>0</v>
      </c>
      <c r="K23" s="574" t="e">
        <f>F64</f>
        <v>#VALUE!</v>
      </c>
      <c r="M23" s="512" t="s">
        <v>2723</v>
      </c>
      <c r="O23" s="579">
        <f>O19</f>
        <v>9367730.1818181798</v>
      </c>
    </row>
    <row r="24" spans="1:17" ht="13.5" customHeight="1">
      <c r="A24" s="512" t="s">
        <v>2722</v>
      </c>
      <c r="C24" s="583" t="e">
        <f t="shared" ref="C24:I24" si="7">SUM(C20:C23)</f>
        <v>#VALUE!</v>
      </c>
      <c r="D24" s="583" t="e">
        <f t="shared" si="7"/>
        <v>#VALUE!</v>
      </c>
      <c r="E24" s="583" t="e">
        <f t="shared" si="7"/>
        <v>#VALUE!</v>
      </c>
      <c r="F24" s="583" t="e">
        <f t="shared" si="7"/>
        <v>#VALUE!</v>
      </c>
      <c r="G24" s="583" t="e">
        <f t="shared" si="7"/>
        <v>#VALUE!</v>
      </c>
      <c r="H24" s="583" t="e">
        <f t="shared" si="7"/>
        <v>#VALUE!</v>
      </c>
      <c r="I24" s="583" t="e">
        <f t="shared" si="7"/>
        <v>#VALUE!</v>
      </c>
      <c r="K24" s="574" t="e">
        <f>G64</f>
        <v>#VALUE!</v>
      </c>
      <c r="O24" s="579"/>
    </row>
    <row r="25" spans="1:17" ht="13.5" customHeight="1">
      <c r="K25" s="574" t="e">
        <f>H64</f>
        <v>#VALUE!</v>
      </c>
      <c r="M25" s="512" t="s">
        <v>2724</v>
      </c>
      <c r="O25" s="579">
        <f>O22-O23</f>
        <v>-9367730.1818181798</v>
      </c>
      <c r="Q25" s="588"/>
    </row>
    <row r="26" spans="1:17" ht="13.5" customHeight="1">
      <c r="A26" s="589"/>
      <c r="B26" s="589"/>
      <c r="C26" s="589"/>
      <c r="D26" s="589"/>
      <c r="E26" s="589"/>
      <c r="F26" s="589"/>
      <c r="G26" s="589"/>
      <c r="H26" s="589"/>
      <c r="I26" s="589"/>
      <c r="K26" s="574"/>
      <c r="O26" s="579"/>
    </row>
    <row r="27" spans="1:17" ht="13.5" customHeight="1">
      <c r="K27" s="574"/>
      <c r="M27" s="512" t="s">
        <v>2725</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2706</v>
      </c>
      <c r="C29" s="581">
        <f>'Part VI-Pro Forma'!I33</f>
        <v>0</v>
      </c>
      <c r="D29" s="581">
        <f>'Part VI-Pro Forma'!J33</f>
        <v>95323.799650440167</v>
      </c>
      <c r="E29" s="581">
        <f>'Part VI-Pro Forma'!K33</f>
        <v>117305.16710569698</v>
      </c>
      <c r="F29" s="581">
        <f>'Part VI-Pro Forma'!B65</f>
        <v>117345.47604869772</v>
      </c>
      <c r="G29" s="581">
        <f>'Part VI-Pro Forma'!C65</f>
        <v>117117.56724145911</v>
      </c>
      <c r="H29" s="581">
        <f>'Part VI-Pro Forma'!D65</f>
        <v>116808.07826822957</v>
      </c>
      <c r="I29" s="581">
        <f>'Part VI-Pro Forma'!E65</f>
        <v>116412.70046599349</v>
      </c>
      <c r="N29" s="590"/>
      <c r="O29" s="590"/>
    </row>
    <row r="30" spans="1:17" ht="13.5" customHeight="1">
      <c r="A30" s="512" t="s">
        <v>2707</v>
      </c>
      <c r="C30" s="583">
        <f>'Part VI-Pro Forma'!H40-'Part VI-Pro Forma'!I40</f>
        <v>65197.695011688396</v>
      </c>
      <c r="D30" s="583">
        <f>'Part VI-Pro Forma'!I40-'Part VI-Pro Forma'!J40</f>
        <v>69336.12377214618</v>
      </c>
      <c r="E30" s="583">
        <f>'Part VI-Pro Forma'!J40-'Part VI-Pro Forma'!K40</f>
        <v>73737.239619966596</v>
      </c>
      <c r="F30" s="955">
        <f>'Part VI-Pro Forma'!K40-'Part VI-Pro Forma'!B72</f>
        <v>78417.716638445854</v>
      </c>
      <c r="G30" s="955">
        <f>'Part VI-Pro Forma'!B72-'Part VI-Pro Forma'!C72</f>
        <v>83395.2872996144</v>
      </c>
      <c r="H30" s="955">
        <f>'Part VI-Pro Forma'!C72-'Part VI-Pro Forma'!D72</f>
        <v>88688.809645542875</v>
      </c>
      <c r="I30" s="955">
        <f>'Part VI-Pro Forma'!D72-'Part VI-Pro Forma'!E72</f>
        <v>94318.338733987883</v>
      </c>
    </row>
    <row r="31" spans="1:17" ht="13.5" customHeight="1">
      <c r="A31" s="512" t="s">
        <v>2707</v>
      </c>
      <c r="C31" s="583">
        <f>'Part VI-Pro Forma'!H41-'Part VI-Pro Forma'!I41</f>
        <v>-1020521.3351064734</v>
      </c>
      <c r="D31" s="583">
        <f>'Part VI-Pro Forma'!I41-'Part VI-Pro Forma'!J41</f>
        <v>-1081989.6084861085</v>
      </c>
      <c r="E31" s="583">
        <f>'Part VI-Pro Forma'!J41-'Part VI-Pro Forma'!K41</f>
        <v>-1159756.7698738258</v>
      </c>
      <c r="F31" s="955">
        <f>'Part VI-Pro Forma'!K41-'Part VI-Pro Forma'!B73</f>
        <v>-1243429.1698702164</v>
      </c>
      <c r="G31" s="955">
        <f>'Part VI-Pro Forma'!B73-'Part VI-Pro Forma'!C73</f>
        <v>-1333449.7492282428</v>
      </c>
      <c r="H31" s="955">
        <f>'Part VI-Pro Forma'!C73-'Part VI-Pro Forma'!D73</f>
        <v>-1430290.665665675</v>
      </c>
      <c r="I31" s="955">
        <f>'Part VI-Pro Forma'!D73-'Part VI-Pro Forma'!E73</f>
        <v>-1534462.0327646546</v>
      </c>
      <c r="K31" s="512" t="s">
        <v>233</v>
      </c>
      <c r="M31" s="512" t="s">
        <v>2726</v>
      </c>
      <c r="O31" s="581">
        <f>O25*O27</f>
        <v>-1873546.0363636361</v>
      </c>
    </row>
    <row r="32" spans="1:17" ht="13.5" customHeight="1">
      <c r="A32" s="512" t="s">
        <v>2707</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3046</v>
      </c>
      <c r="B33" s="585"/>
      <c r="C33" s="958">
        <f>'Part VI-Pro Forma'!I23</f>
        <v>-57361.317083415939</v>
      </c>
      <c r="D33" s="958">
        <f>'Part VI-Pro Forma'!J23</f>
        <v>-59082.156595918408</v>
      </c>
      <c r="E33" s="958">
        <f>'Part VI-Pro Forma'!K23</f>
        <v>-60854.621293795964</v>
      </c>
      <c r="F33" s="958">
        <f>'Part VI-Pro Forma'!B55</f>
        <v>-62680.259932609843</v>
      </c>
      <c r="G33" s="958">
        <f>'Part VI-Pro Forma'!C55</f>
        <v>-64560.667730588139</v>
      </c>
      <c r="H33" s="958">
        <f>'Part VI-Pro Forma'!D55</f>
        <v>-66497.487762505771</v>
      </c>
      <c r="I33" s="958">
        <f>'Part VI-Pro Forma'!E55</f>
        <v>-68492.412395380947</v>
      </c>
      <c r="K33" s="512" t="s">
        <v>233</v>
      </c>
      <c r="M33" s="512" t="s">
        <v>2727</v>
      </c>
      <c r="O33" s="581" t="e">
        <f>O14-O31</f>
        <v>#REF!</v>
      </c>
    </row>
    <row r="34" spans="1:15" ht="13.5" customHeight="1">
      <c r="A34" s="585" t="s">
        <v>3047</v>
      </c>
      <c r="B34" s="585"/>
      <c r="C34" s="958">
        <f>'Part VI-Pro Forma'!I32</f>
        <v>-128614.34885456428</v>
      </c>
      <c r="D34" s="958">
        <f>'Part VI-Pro Forma'!J32</f>
        <v>-22062.457779176679</v>
      </c>
      <c r="E34" s="958">
        <f>'Part VI-Pro Forma'!K32</f>
        <v>0</v>
      </c>
      <c r="F34" s="958">
        <f>'Part VI-Pro Forma'!B64</f>
        <v>0</v>
      </c>
      <c r="G34" s="958">
        <f>'Part VI-Pro Forma'!C64</f>
        <v>0</v>
      </c>
      <c r="H34" s="958">
        <f>'Part VI-Pro Forma'!D64</f>
        <v>0</v>
      </c>
      <c r="I34" s="958">
        <f>'Part VI-Pro Forma'!E64</f>
        <v>0</v>
      </c>
    </row>
    <row r="35" spans="1:15" ht="13.5" customHeight="1">
      <c r="A35" s="512" t="s">
        <v>2710</v>
      </c>
      <c r="C35" s="586">
        <f t="shared" ref="C35:I35" si="8">$E$3/$H$3</f>
        <v>1249030.6909090909</v>
      </c>
      <c r="D35" s="586">
        <f t="shared" si="8"/>
        <v>1249030.6909090909</v>
      </c>
      <c r="E35" s="586">
        <f t="shared" si="8"/>
        <v>1249030.6909090909</v>
      </c>
      <c r="F35" s="586">
        <f t="shared" si="8"/>
        <v>1249030.6909090909</v>
      </c>
      <c r="G35" s="586">
        <f t="shared" si="8"/>
        <v>1249030.6909090909</v>
      </c>
      <c r="H35" s="586">
        <f t="shared" si="8"/>
        <v>1249030.6909090909</v>
      </c>
      <c r="I35" s="586">
        <f t="shared" si="8"/>
        <v>1249030.6909090909</v>
      </c>
    </row>
    <row r="36" spans="1:15" ht="13.5" customHeight="1">
      <c r="A36" s="512" t="s">
        <v>2712</v>
      </c>
      <c r="C36" s="581">
        <f>IF(C$28&lt;=$H$4,($E$4/$H$4),0)+IF(C$28&lt;=$H$5,($E$5/$H$5),0)</f>
        <v>22103.85</v>
      </c>
      <c r="D36" s="581">
        <f t="shared" ref="D36:I36" si="9">IF(D$28&lt;=$H$4,($E$4/$H$4),0)+IF(D$28&lt;=$H$5,($E$5/$H$5),0)</f>
        <v>22103.85</v>
      </c>
      <c r="E36" s="581">
        <f t="shared" si="9"/>
        <v>22103.85</v>
      </c>
      <c r="F36" s="581">
        <f t="shared" si="9"/>
        <v>22103.85</v>
      </c>
      <c r="G36" s="581">
        <f t="shared" si="9"/>
        <v>22103.85</v>
      </c>
      <c r="H36" s="581">
        <f t="shared" si="9"/>
        <v>22103.85</v>
      </c>
      <c r="I36" s="581">
        <f t="shared" si="9"/>
        <v>22103.85</v>
      </c>
    </row>
    <row r="37" spans="1:15" ht="13.5" customHeight="1">
      <c r="A37" s="512" t="s">
        <v>2713</v>
      </c>
      <c r="C37" s="583" t="e">
        <f t="shared" ref="C37:I37" si="10">C29+C30+C31+C32+C33+C34-C35-C36</f>
        <v>#VALUE!</v>
      </c>
      <c r="D37" s="583" t="e">
        <f t="shared" si="10"/>
        <v>#VALUE!</v>
      </c>
      <c r="E37" s="583" t="e">
        <f t="shared" si="10"/>
        <v>#VALUE!</v>
      </c>
      <c r="F37" s="583" t="e">
        <f t="shared" si="10"/>
        <v>#VALUE!</v>
      </c>
      <c r="G37" s="583" t="e">
        <f t="shared" si="10"/>
        <v>#VALUE!</v>
      </c>
      <c r="H37" s="583" t="e">
        <f t="shared" si="10"/>
        <v>#VALUE!</v>
      </c>
      <c r="I37" s="583" t="e">
        <f t="shared" si="10"/>
        <v>#VALUE!</v>
      </c>
    </row>
    <row r="38" spans="1:15" ht="13.5" customHeight="1">
      <c r="A38" s="512" t="s">
        <v>2715</v>
      </c>
      <c r="C38" s="587" t="e">
        <f t="shared" ref="C38:I38" si="11">C37*$H$6</f>
        <v>#VALUE!</v>
      </c>
      <c r="D38" s="587" t="e">
        <f t="shared" si="11"/>
        <v>#VALUE!</v>
      </c>
      <c r="E38" s="587" t="e">
        <f t="shared" si="11"/>
        <v>#VALUE!</v>
      </c>
      <c r="F38" s="587" t="e">
        <f t="shared" si="11"/>
        <v>#VALUE!</v>
      </c>
      <c r="G38" s="587" t="e">
        <f t="shared" si="11"/>
        <v>#VALUE!</v>
      </c>
      <c r="H38" s="587" t="e">
        <f t="shared" si="11"/>
        <v>#VALUE!</v>
      </c>
      <c r="I38" s="587" t="e">
        <f t="shared" si="11"/>
        <v>#VALUE!</v>
      </c>
    </row>
    <row r="39" spans="1:15" ht="13.5" customHeight="1">
      <c r="C39" s="583"/>
      <c r="D39" s="583"/>
      <c r="E39" s="583"/>
      <c r="F39" s="583"/>
      <c r="G39" s="583"/>
      <c r="H39" s="583"/>
      <c r="I39" s="583"/>
    </row>
    <row r="40" spans="1:15" ht="13.5" customHeight="1">
      <c r="A40" s="512" t="s">
        <v>2717</v>
      </c>
      <c r="C40" s="583" t="e">
        <f t="shared" ref="C40:I40" si="12">C29-C38</f>
        <v>#VALUE!</v>
      </c>
      <c r="D40" s="583" t="e">
        <f t="shared" si="12"/>
        <v>#VALUE!</v>
      </c>
      <c r="E40" s="583" t="e">
        <f t="shared" si="12"/>
        <v>#VALUE!</v>
      </c>
      <c r="F40" s="583" t="e">
        <f t="shared" si="12"/>
        <v>#VALUE!</v>
      </c>
      <c r="G40" s="583" t="e">
        <f t="shared" si="12"/>
        <v>#VALUE!</v>
      </c>
      <c r="H40" s="583" t="e">
        <f t="shared" si="12"/>
        <v>#VALUE!</v>
      </c>
      <c r="I40" s="583" t="e">
        <f t="shared" si="12"/>
        <v>#VALUE!</v>
      </c>
    </row>
    <row r="41" spans="1:15" ht="13.5" customHeight="1">
      <c r="A41" s="512" t="s">
        <v>2718</v>
      </c>
      <c r="C41" s="587">
        <f>C21</f>
        <v>1478480</v>
      </c>
      <c r="D41" s="587">
        <f>C41</f>
        <v>1478480</v>
      </c>
      <c r="E41" s="587">
        <f>D41</f>
        <v>1478480</v>
      </c>
      <c r="F41" s="587">
        <v>0</v>
      </c>
      <c r="G41" s="587">
        <v>0</v>
      </c>
      <c r="H41" s="587">
        <v>0</v>
      </c>
      <c r="I41" s="587">
        <v>0</v>
      </c>
    </row>
    <row r="42" spans="1:15" ht="13.5" customHeight="1">
      <c r="A42" s="512" t="s">
        <v>2719</v>
      </c>
      <c r="C42" s="587">
        <f>C22</f>
        <v>1478480</v>
      </c>
      <c r="D42" s="587">
        <f>C42</f>
        <v>1478480</v>
      </c>
      <c r="E42" s="587">
        <f>D42</f>
        <v>1478480</v>
      </c>
      <c r="F42" s="587">
        <v>0</v>
      </c>
      <c r="G42" s="587">
        <v>0</v>
      </c>
      <c r="H42" s="587">
        <v>0</v>
      </c>
      <c r="I42" s="587">
        <v>0</v>
      </c>
    </row>
    <row r="43" spans="1:15" ht="13.5" customHeight="1">
      <c r="A43" s="512" t="s">
        <v>2721</v>
      </c>
      <c r="C43" s="583">
        <v>0</v>
      </c>
      <c r="D43" s="583">
        <v>0</v>
      </c>
      <c r="E43" s="583">
        <v>0</v>
      </c>
      <c r="F43" s="583">
        <v>0</v>
      </c>
      <c r="G43" s="583">
        <v>0</v>
      </c>
      <c r="H43" s="583">
        <v>0</v>
      </c>
      <c r="I43" s="583">
        <v>0</v>
      </c>
    </row>
    <row r="44" spans="1:15" ht="13.5" customHeight="1">
      <c r="A44" s="512" t="s">
        <v>2722</v>
      </c>
      <c r="C44" s="583" t="e">
        <f t="shared" ref="C44:I44" si="13">SUM(C40:C43)</f>
        <v>#VALUE!</v>
      </c>
      <c r="D44" s="583" t="e">
        <f t="shared" si="13"/>
        <v>#VALUE!</v>
      </c>
      <c r="E44" s="583" t="e">
        <f t="shared" si="13"/>
        <v>#VALUE!</v>
      </c>
      <c r="F44" s="583" t="e">
        <f t="shared" si="13"/>
        <v>#VALUE!</v>
      </c>
      <c r="G44" s="583" t="e">
        <f t="shared" si="13"/>
        <v>#VALUE!</v>
      </c>
      <c r="H44" s="583" t="e">
        <f t="shared" si="13"/>
        <v>#VALUE!</v>
      </c>
      <c r="I44" s="583" t="e">
        <f t="shared"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2706</v>
      </c>
      <c r="C49" s="581">
        <f>'Part VI-Pro Forma'!F65</f>
        <v>115927.58992668486</v>
      </c>
      <c r="D49" s="581">
        <f>'Part VI-Pro Forma'!G62</f>
        <v>0</v>
      </c>
      <c r="E49" s="581">
        <f>'Part VI-Pro Forma'!H62</f>
        <v>0</v>
      </c>
      <c r="F49" s="581">
        <f>'Part VI-Pro Forma'!I62</f>
        <v>0</v>
      </c>
      <c r="G49" s="581">
        <f>'Part VI-Pro Forma'!J62</f>
        <v>0</v>
      </c>
      <c r="H49" s="581">
        <f>'Part VI-Pro Forma'!K62</f>
        <v>0</v>
      </c>
    </row>
    <row r="50" spans="1:10" ht="13.5" customHeight="1">
      <c r="A50" s="512" t="s">
        <v>2707</v>
      </c>
      <c r="C50" s="956">
        <f>'Part VI-Pro Forma'!E72-'Part VI-Pro Forma'!F72</f>
        <v>100305.20261905901</v>
      </c>
      <c r="D50" s="956">
        <f>'Part VI-Pro Forma'!F72-'Part VI-Pro Forma'!G72</f>
        <v>106672.08315475658</v>
      </c>
      <c r="E50" s="956">
        <f>'Part VI-Pro Forma'!G72-'Part VI-Pro Forma'!H72</f>
        <v>113443.10192752909</v>
      </c>
      <c r="F50" s="956">
        <f>'Part VI-Pro Forma'!H72-'Part VI-Pro Forma'!I72</f>
        <v>120643.91164339799</v>
      </c>
      <c r="G50" s="956">
        <f>'Part VI-Pro Forma'!I72-'Part VI-Pro Forma'!J72</f>
        <v>128301.79331589676</v>
      </c>
      <c r="H50" s="956">
        <f>'Part VI-Pro Forma'!J72-'Part VI-Pro Forma'!K72</f>
        <v>136445.75962301344</v>
      </c>
    </row>
    <row r="51" spans="1:10" ht="13.5" customHeight="1">
      <c r="A51" s="512" t="s">
        <v>2707</v>
      </c>
      <c r="C51" s="956">
        <f>'Part VI-Pro Forma'!E73-'Part VI-Pro Forma'!F73</f>
        <v>-1646508.8985921554</v>
      </c>
      <c r="D51" s="956">
        <f>'Part VI-Pro Forma'!F73-'Part VI-Pro Forma'!G73</f>
        <v>-1647895.8851848319</v>
      </c>
      <c r="E51" s="956">
        <f>'Part VI-Pro Forma'!G73-'Part VI-Pro Forma'!H73</f>
        <v>-1769585.4123147801</v>
      </c>
      <c r="F51" s="956">
        <f>'Part VI-Pro Forma'!H73-'Part VI-Pro Forma'!I73</f>
        <v>-1892290.2272091433</v>
      </c>
      <c r="G51" s="956">
        <f>'Part VI-Pro Forma'!I73-'Part VI-Pro Forma'!J73</f>
        <v>-2032430.274843704</v>
      </c>
      <c r="H51" s="956">
        <f>'Part VI-Pro Forma'!J73-'Part VI-Pro Forma'!K73</f>
        <v>-2183245.9607703462</v>
      </c>
    </row>
    <row r="52" spans="1:10" ht="13.5" customHeight="1">
      <c r="A52" s="512" t="s">
        <v>2707</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3046</v>
      </c>
      <c r="B53" s="585"/>
      <c r="C53" s="958">
        <f>'Part VI-Pro Forma'!F55</f>
        <v>-70547.184767242376</v>
      </c>
      <c r="D53" s="958">
        <f>'Part VI-Pro Forma'!G55</f>
        <v>-72663.600310259659</v>
      </c>
      <c r="E53" s="958">
        <f>'Part VI-Pro Forma'!H55</f>
        <v>-74843.508319567423</v>
      </c>
      <c r="F53" s="958">
        <f>'Part VI-Pro Forma'!I55</f>
        <v>-77088.813569154445</v>
      </c>
      <c r="G53" s="958">
        <f>'Part VI-Pro Forma'!J55</f>
        <v>-79401.477976229085</v>
      </c>
      <c r="H53" s="958">
        <f>'Part VI-Pro Forma'!K55</f>
        <v>-81783.522315515962</v>
      </c>
    </row>
    <row r="54" spans="1:10" ht="13.5" customHeight="1">
      <c r="A54" s="585" t="s">
        <v>3047</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2710</v>
      </c>
      <c r="C55" s="586">
        <f t="shared" ref="C55:H55" si="14">$E$3/$H$3</f>
        <v>1249030.6909090909</v>
      </c>
      <c r="D55" s="586">
        <f t="shared" si="14"/>
        <v>1249030.6909090909</v>
      </c>
      <c r="E55" s="586">
        <f t="shared" si="14"/>
        <v>1249030.6909090909</v>
      </c>
      <c r="F55" s="586">
        <f t="shared" si="14"/>
        <v>1249030.6909090909</v>
      </c>
      <c r="G55" s="586">
        <f t="shared" si="14"/>
        <v>1249030.6909090909</v>
      </c>
      <c r="H55" s="586">
        <f t="shared" si="14"/>
        <v>1249030.6909090909</v>
      </c>
    </row>
    <row r="56" spans="1:10" ht="13.5" customHeight="1">
      <c r="A56" s="512" t="s">
        <v>2712</v>
      </c>
      <c r="C56" s="581">
        <f t="shared" ref="C56:H56" si="15">IF(C$48&lt;=$H$4,($E$4/$H$4),0)+IF(C$48&lt;=$H$5,($E$5/$H$5),0)</f>
        <v>22103.85</v>
      </c>
      <c r="D56" s="581">
        <f t="shared" si="15"/>
        <v>5765.25</v>
      </c>
      <c r="E56" s="581">
        <f t="shared" si="15"/>
        <v>5765.25</v>
      </c>
      <c r="F56" s="581">
        <f t="shared" si="15"/>
        <v>5765.25</v>
      </c>
      <c r="G56" s="581">
        <f t="shared" si="15"/>
        <v>5765.25</v>
      </c>
      <c r="H56" s="581">
        <f t="shared" si="15"/>
        <v>5765.25</v>
      </c>
    </row>
    <row r="57" spans="1:10" ht="13.5" customHeight="1">
      <c r="A57" s="512" t="s">
        <v>2713</v>
      </c>
      <c r="C57" s="581" t="e">
        <f t="shared" ref="C57:H57" si="16">C49+C50+C51+C52+C53+C54-C55-C56</f>
        <v>#VALUE!</v>
      </c>
      <c r="D57" s="581" t="e">
        <f t="shared" si="16"/>
        <v>#VALUE!</v>
      </c>
      <c r="E57" s="581" t="e">
        <f t="shared" si="16"/>
        <v>#VALUE!</v>
      </c>
      <c r="F57" s="581" t="e">
        <f t="shared" si="16"/>
        <v>#VALUE!</v>
      </c>
      <c r="G57" s="581" t="e">
        <f t="shared" si="16"/>
        <v>#VALUE!</v>
      </c>
      <c r="H57" s="581" t="e">
        <f t="shared" si="16"/>
        <v>#VALUE!</v>
      </c>
    </row>
    <row r="58" spans="1:10" ht="13.5" customHeight="1">
      <c r="A58" s="512" t="s">
        <v>2715</v>
      </c>
      <c r="C58" s="586" t="e">
        <f t="shared" ref="C58:H58" si="17">C57*$H$6</f>
        <v>#VALUE!</v>
      </c>
      <c r="D58" s="586" t="e">
        <f t="shared" si="17"/>
        <v>#VALUE!</v>
      </c>
      <c r="E58" s="586" t="e">
        <f t="shared" si="17"/>
        <v>#VALUE!</v>
      </c>
      <c r="F58" s="586" t="e">
        <f t="shared" si="17"/>
        <v>#VALUE!</v>
      </c>
      <c r="G58" s="586" t="e">
        <f t="shared" si="17"/>
        <v>#VALUE!</v>
      </c>
      <c r="H58" s="586" t="e">
        <f t="shared" si="17"/>
        <v>#VALUE!</v>
      </c>
      <c r="J58" s="512" t="s">
        <v>233</v>
      </c>
    </row>
    <row r="59" spans="1:10" s="592" customFormat="1" ht="16.5" customHeight="1">
      <c r="A59" s="512"/>
      <c r="B59" s="512"/>
      <c r="C59" s="581"/>
      <c r="D59" s="581"/>
      <c r="E59" s="581"/>
      <c r="F59" s="581"/>
      <c r="G59" s="581"/>
      <c r="H59" s="581"/>
      <c r="I59" s="512"/>
      <c r="J59" s="512"/>
    </row>
    <row r="60" spans="1:10">
      <c r="A60" s="512" t="s">
        <v>2717</v>
      </c>
      <c r="C60" s="581" t="e">
        <f t="shared" ref="C60:H60" si="18">C49-C58</f>
        <v>#VALUE!</v>
      </c>
      <c r="D60" s="581" t="e">
        <f t="shared" si="18"/>
        <v>#VALUE!</v>
      </c>
      <c r="E60" s="581" t="e">
        <f t="shared" si="18"/>
        <v>#VALUE!</v>
      </c>
      <c r="F60" s="581" t="e">
        <f t="shared" si="18"/>
        <v>#VALUE!</v>
      </c>
      <c r="G60" s="581" t="e">
        <f t="shared" si="18"/>
        <v>#VALUE!</v>
      </c>
      <c r="H60" s="581" t="e">
        <f t="shared" si="18"/>
        <v>#VALUE!</v>
      </c>
    </row>
    <row r="61" spans="1:10">
      <c r="A61" s="512" t="s">
        <v>2718</v>
      </c>
      <c r="C61" s="586">
        <v>0</v>
      </c>
      <c r="D61" s="586">
        <v>0</v>
      </c>
      <c r="E61" s="586">
        <v>0</v>
      </c>
      <c r="F61" s="586">
        <v>0</v>
      </c>
      <c r="G61" s="586">
        <v>0</v>
      </c>
      <c r="H61" s="581">
        <v>0</v>
      </c>
    </row>
    <row r="62" spans="1:10">
      <c r="A62" s="512" t="s">
        <v>2719</v>
      </c>
      <c r="C62" s="586">
        <v>0</v>
      </c>
      <c r="D62" s="581">
        <v>0</v>
      </c>
      <c r="E62" s="581">
        <v>0</v>
      </c>
      <c r="F62" s="581">
        <v>0</v>
      </c>
      <c r="G62" s="581">
        <v>0</v>
      </c>
      <c r="H62" s="581">
        <v>0</v>
      </c>
    </row>
    <row r="63" spans="1:10">
      <c r="A63" s="512" t="s">
        <v>2721</v>
      </c>
      <c r="C63" s="581">
        <v>0</v>
      </c>
      <c r="D63" s="581">
        <v>0</v>
      </c>
      <c r="E63" s="581">
        <v>0</v>
      </c>
      <c r="F63" s="581">
        <v>0</v>
      </c>
      <c r="G63" s="581">
        <v>0</v>
      </c>
      <c r="H63" s="581" t="e">
        <f>O33</f>
        <v>#REF!</v>
      </c>
    </row>
    <row r="64" spans="1:10">
      <c r="A64" s="512" t="s">
        <v>2722</v>
      </c>
      <c r="C64" s="581" t="e">
        <f t="shared" ref="C64:H64" si="19">SUM(C60:C63)</f>
        <v>#VALUE!</v>
      </c>
      <c r="D64" s="581" t="e">
        <f t="shared" si="19"/>
        <v>#VALUE!</v>
      </c>
      <c r="E64" s="581" t="e">
        <f t="shared" si="19"/>
        <v>#VALUE!</v>
      </c>
      <c r="F64" s="581" t="e">
        <f t="shared" si="19"/>
        <v>#VALUE!</v>
      </c>
      <c r="G64" s="581" t="e">
        <f t="shared" si="19"/>
        <v>#VALUE!</v>
      </c>
      <c r="H64" s="581" t="e">
        <f t="shared" si="19"/>
        <v>#VALUE!</v>
      </c>
    </row>
    <row r="66" spans="1:10">
      <c r="A66" s="593"/>
      <c r="B66" s="594"/>
      <c r="C66" s="594"/>
      <c r="D66" s="594"/>
      <c r="E66" s="594"/>
      <c r="F66" s="595" t="s">
        <v>2728</v>
      </c>
      <c r="G66" s="4808" t="e">
        <f>IRR(K5:K25)</f>
        <v>#VALUE!</v>
      </c>
      <c r="H66" s="4809"/>
      <c r="I66" s="592"/>
      <c r="J66" s="592"/>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811" t="str">
        <f>'Sensitivity Analysis'!C8</f>
        <v>Princeton Court</v>
      </c>
      <c r="B1" s="4811"/>
      <c r="C1" s="4811"/>
      <c r="D1" s="4811"/>
      <c r="E1" s="4811"/>
      <c r="F1" s="4811"/>
      <c r="G1" s="4811"/>
      <c r="H1" s="4811"/>
      <c r="I1" s="4811"/>
      <c r="J1" s="4811"/>
      <c r="K1" s="4811"/>
    </row>
    <row r="2" spans="1:11" s="438" customFormat="1" ht="17.649999999999999" customHeight="1">
      <c r="A2" s="4810" t="s">
        <v>2878</v>
      </c>
      <c r="B2" s="4810"/>
      <c r="C2" s="4810"/>
      <c r="D2" s="4810"/>
      <c r="E2" s="4810"/>
      <c r="F2" s="4810"/>
      <c r="G2" s="4810"/>
      <c r="H2" s="4810"/>
      <c r="I2" s="4810"/>
      <c r="J2" s="4810"/>
      <c r="K2" s="4810"/>
    </row>
    <row r="3" spans="1:11" ht="9" customHeight="1">
      <c r="A3" s="1381"/>
      <c r="B3" s="1381"/>
      <c r="C3" s="1381"/>
      <c r="D3" s="1381"/>
      <c r="E3" s="1381"/>
      <c r="G3" s="1381"/>
      <c r="H3" s="1381"/>
      <c r="J3" s="1381"/>
      <c r="K3" s="1381"/>
    </row>
    <row r="4" spans="1:11" ht="12.65" customHeight="1">
      <c r="A4" s="4812" t="s">
        <v>3960</v>
      </c>
      <c r="B4" s="4812"/>
      <c r="C4" s="1382"/>
      <c r="D4" s="4812" t="s">
        <v>3961</v>
      </c>
      <c r="E4" s="4812"/>
      <c r="F4" s="519"/>
      <c r="G4" s="4812" t="s">
        <v>3962</v>
      </c>
      <c r="H4" s="4812"/>
      <c r="I4" s="519"/>
      <c r="J4" s="4812" t="s">
        <v>4071</v>
      </c>
      <c r="K4" s="4812"/>
    </row>
    <row r="5" spans="1:11" ht="25.9" customHeight="1">
      <c r="A5" s="4813" t="str">
        <f>'Part II-Sources of Funds'!E42</f>
        <v>Keybank-Freddie TEL</v>
      </c>
      <c r="B5" s="4814"/>
      <c r="C5" s="438"/>
      <c r="D5" s="4813" t="str">
        <f>'Part II-Sources of Funds'!E43</f>
        <v>National Church Residences - Seller Note</v>
      </c>
      <c r="E5" s="4814"/>
      <c r="F5" s="1383"/>
      <c r="G5" s="4813">
        <f>'Part II-Sources of Funds'!E44</f>
        <v>0</v>
      </c>
      <c r="H5" s="4814"/>
      <c r="I5" s="1383"/>
      <c r="J5" s="4813">
        <f>'Part II-Sources of Funds'!E45</f>
        <v>0</v>
      </c>
      <c r="K5" s="4814"/>
    </row>
    <row r="6" spans="1:11" ht="9" customHeight="1"/>
    <row r="7" spans="1:11" ht="15.5">
      <c r="A7" s="961"/>
      <c r="B7" s="961" t="s">
        <v>2729</v>
      </c>
      <c r="D7" s="961"/>
      <c r="E7" s="961" t="s">
        <v>2729</v>
      </c>
      <c r="G7" s="961"/>
      <c r="H7" s="961" t="s">
        <v>2729</v>
      </c>
      <c r="J7" s="961"/>
      <c r="K7" s="961" t="s">
        <v>2729</v>
      </c>
    </row>
    <row r="8" spans="1:11" ht="15.5">
      <c r="A8" s="984" t="s">
        <v>2278</v>
      </c>
      <c r="B8" s="984" t="s">
        <v>2730</v>
      </c>
      <c r="D8" s="984" t="s">
        <v>2278</v>
      </c>
      <c r="E8" s="984" t="s">
        <v>2730</v>
      </c>
      <c r="G8" s="984" t="s">
        <v>2278</v>
      </c>
      <c r="H8" s="984" t="s">
        <v>2730</v>
      </c>
      <c r="J8" s="984" t="s">
        <v>2278</v>
      </c>
      <c r="K8" s="984" t="s">
        <v>2730</v>
      </c>
    </row>
    <row r="9" spans="1:11" ht="6" customHeight="1">
      <c r="A9" s="503"/>
      <c r="B9" s="503"/>
      <c r="D9" s="503"/>
      <c r="E9" s="503"/>
      <c r="G9" s="503"/>
      <c r="H9" s="503"/>
      <c r="J9" s="503"/>
      <c r="K9" s="503"/>
    </row>
    <row r="10" spans="1:11" ht="20.25" customHeight="1">
      <c r="A10" s="962">
        <v>1</v>
      </c>
      <c r="B10" s="963">
        <f>-'Part VI-Pro Forma'!$B26/12</f>
        <v>40247.079579826575</v>
      </c>
      <c r="D10" s="962">
        <v>1</v>
      </c>
      <c r="E10" s="963">
        <f>-'Part VI-Pro Forma'!$B27/12</f>
        <v>0</v>
      </c>
      <c r="G10" s="962">
        <v>1</v>
      </c>
      <c r="H10" s="963">
        <f>-'Part VI-Pro Forma'!$B28/12</f>
        <v>0</v>
      </c>
      <c r="J10" s="962">
        <v>1</v>
      </c>
      <c r="K10" s="963">
        <f>-'Part VI-Pro Forma'!$B29/12</f>
        <v>0</v>
      </c>
    </row>
    <row r="11" spans="1:11" ht="20.25" customHeight="1">
      <c r="A11" s="962">
        <v>2</v>
      </c>
      <c r="B11" s="963">
        <f>-'Part VI-Pro Forma'!$C26/12</f>
        <v>40247.079579826575</v>
      </c>
      <c r="D11" s="962">
        <v>2</v>
      </c>
      <c r="E11" s="963">
        <f>-'Part VI-Pro Forma'!$C27/12</f>
        <v>0</v>
      </c>
      <c r="G11" s="962">
        <v>2</v>
      </c>
      <c r="H11" s="963">
        <f>-'Part VI-Pro Forma'!$C28/12</f>
        <v>0</v>
      </c>
      <c r="J11" s="962">
        <v>2</v>
      </c>
      <c r="K11" s="963">
        <f>-'Part VI-Pro Forma'!$C29/12</f>
        <v>0</v>
      </c>
    </row>
    <row r="12" spans="1:11" ht="20.25" customHeight="1">
      <c r="A12" s="962">
        <v>3</v>
      </c>
      <c r="B12" s="963">
        <f>-'Part VI-Pro Forma'!$D26/12</f>
        <v>40247.079579826575</v>
      </c>
      <c r="D12" s="962">
        <v>3</v>
      </c>
      <c r="E12" s="963">
        <f>-'Part VI-Pro Forma'!$D27/12</f>
        <v>0</v>
      </c>
      <c r="G12" s="962">
        <v>3</v>
      </c>
      <c r="H12" s="963">
        <f>-'Part VI-Pro Forma'!$D28/12</f>
        <v>0</v>
      </c>
      <c r="J12" s="962">
        <v>3</v>
      </c>
      <c r="K12" s="963">
        <f>-'Part VI-Pro Forma'!$D29/12</f>
        <v>0</v>
      </c>
    </row>
    <row r="13" spans="1:11" ht="20.25" customHeight="1">
      <c r="A13" s="962">
        <v>4</v>
      </c>
      <c r="B13" s="963">
        <f>-'Part VI-Pro Forma'!$E26/12</f>
        <v>40247.079579826575</v>
      </c>
      <c r="D13" s="962">
        <v>4</v>
      </c>
      <c r="E13" s="963">
        <f>-'Part VI-Pro Forma'!$E27/12</f>
        <v>0</v>
      </c>
      <c r="G13" s="962">
        <v>4</v>
      </c>
      <c r="H13" s="963">
        <f>-'Part VI-Pro Forma'!$E28/12</f>
        <v>0</v>
      </c>
      <c r="J13" s="962">
        <v>4</v>
      </c>
      <c r="K13" s="963">
        <f>-'Part VI-Pro Forma'!$E29/12</f>
        <v>0</v>
      </c>
    </row>
    <row r="14" spans="1:11" ht="20.25" customHeight="1">
      <c r="A14" s="1384">
        <v>5</v>
      </c>
      <c r="B14" s="1385">
        <f>-'Part VI-Pro Forma'!$F26/12</f>
        <v>40247.079579826575</v>
      </c>
      <c r="D14" s="1384">
        <v>5</v>
      </c>
      <c r="E14" s="1385">
        <f>-'Part VI-Pro Forma'!$F27/12</f>
        <v>0</v>
      </c>
      <c r="G14" s="1384">
        <v>5</v>
      </c>
      <c r="H14" s="1385">
        <f>-'Part VI-Pro Forma'!$F28/12</f>
        <v>0</v>
      </c>
      <c r="J14" s="1384">
        <v>5</v>
      </c>
      <c r="K14" s="1385">
        <f>-'Part VI-Pro Forma'!$F29/12</f>
        <v>0</v>
      </c>
    </row>
    <row r="15" spans="1:11" ht="20.25" customHeight="1">
      <c r="A15" s="962">
        <v>6</v>
      </c>
      <c r="B15" s="963">
        <f>-'Part VI-Pro Forma'!$G26/12</f>
        <v>40247.079579826575</v>
      </c>
      <c r="D15" s="962">
        <v>6</v>
      </c>
      <c r="E15" s="963">
        <f>-'Part VI-Pro Forma'!$G27/12</f>
        <v>0</v>
      </c>
      <c r="G15" s="962">
        <v>6</v>
      </c>
      <c r="H15" s="963">
        <f>-'Part VI-Pro Forma'!$G28/12</f>
        <v>0</v>
      </c>
      <c r="J15" s="962">
        <v>6</v>
      </c>
      <c r="K15" s="963">
        <f>-'Part VI-Pro Forma'!$G29/12</f>
        <v>0</v>
      </c>
    </row>
    <row r="16" spans="1:11" ht="20.25" customHeight="1">
      <c r="A16" s="962">
        <v>7</v>
      </c>
      <c r="B16" s="963">
        <f>-'Part VI-Pro Forma'!$H26/12</f>
        <v>40247.079579826575</v>
      </c>
      <c r="D16" s="962">
        <v>7</v>
      </c>
      <c r="E16" s="963">
        <f>-'Part VI-Pro Forma'!$H27/12</f>
        <v>0</v>
      </c>
      <c r="G16" s="962">
        <v>7</v>
      </c>
      <c r="H16" s="963">
        <f>-'Part VI-Pro Forma'!$H28/12</f>
        <v>0</v>
      </c>
      <c r="J16" s="962">
        <v>7</v>
      </c>
      <c r="K16" s="963">
        <f>-'Part VI-Pro Forma'!$H29/12</f>
        <v>0</v>
      </c>
    </row>
    <row r="17" spans="1:11" ht="20.25" customHeight="1">
      <c r="A17" s="962">
        <v>8</v>
      </c>
      <c r="B17" s="963">
        <f>-'Part VI-Pro Forma'!$I26/12</f>
        <v>40247.079579826575</v>
      </c>
      <c r="D17" s="962">
        <v>8</v>
      </c>
      <c r="E17" s="963">
        <f>-'Part VI-Pro Forma'!$I27/12</f>
        <v>0</v>
      </c>
      <c r="G17" s="962">
        <v>8</v>
      </c>
      <c r="H17" s="963">
        <f>-'Part VI-Pro Forma'!$I28/12</f>
        <v>0</v>
      </c>
      <c r="J17" s="962">
        <v>8</v>
      </c>
      <c r="K17" s="963">
        <f>-'Part VI-Pro Forma'!$I29/12</f>
        <v>0</v>
      </c>
    </row>
    <row r="18" spans="1:11" ht="20.25" customHeight="1">
      <c r="A18" s="962">
        <v>9</v>
      </c>
      <c r="B18" s="963">
        <f>-'Part VI-Pro Forma'!$J26/12</f>
        <v>40247.079579826575</v>
      </c>
      <c r="D18" s="962">
        <v>9</v>
      </c>
      <c r="E18" s="963">
        <f>-'Part VI-Pro Forma'!$J27/12</f>
        <v>992.95636569174042</v>
      </c>
      <c r="G18" s="962">
        <v>9</v>
      </c>
      <c r="H18" s="963">
        <f>-'Part VI-Pro Forma'!$J28/12</f>
        <v>0</v>
      </c>
      <c r="J18" s="962">
        <v>9</v>
      </c>
      <c r="K18" s="963">
        <f>-'Part VI-Pro Forma'!$J29/12</f>
        <v>0</v>
      </c>
    </row>
    <row r="19" spans="1:11" ht="20.25" customHeight="1">
      <c r="A19" s="1384">
        <v>10</v>
      </c>
      <c r="B19" s="1385">
        <f>-'Part VI-Pro Forma'!$K26/12</f>
        <v>40247.079579826575</v>
      </c>
      <c r="D19" s="1384">
        <v>10</v>
      </c>
      <c r="E19" s="1385">
        <f>-'Part VI-Pro Forma'!$K27/12</f>
        <v>1029.2647617878149</v>
      </c>
      <c r="G19" s="1384">
        <v>10</v>
      </c>
      <c r="H19" s="1385">
        <f>-'Part VI-Pro Forma'!$K28/12</f>
        <v>0</v>
      </c>
      <c r="J19" s="1384">
        <v>10</v>
      </c>
      <c r="K19" s="1385">
        <f>-'Part VI-Pro Forma'!$K29/12</f>
        <v>0</v>
      </c>
    </row>
    <row r="20" spans="1:11" ht="20.25" customHeight="1">
      <c r="A20" s="962">
        <v>11</v>
      </c>
      <c r="B20" s="963">
        <f>-'Part VI-Pro Forma'!$B58/12</f>
        <v>40247.079579826575</v>
      </c>
      <c r="D20" s="962">
        <v>11</v>
      </c>
      <c r="E20" s="963">
        <f>-'Part VI-Pro Forma'!$B59/12</f>
        <v>1042.7010761213944</v>
      </c>
      <c r="G20" s="962">
        <v>11</v>
      </c>
      <c r="H20" s="963">
        <f>-'Part VI-Pro Forma'!$B60/12</f>
        <v>0</v>
      </c>
      <c r="J20" s="962">
        <v>11</v>
      </c>
      <c r="K20" s="963">
        <f>-'Part VI-Pro Forma'!$B61/12</f>
        <v>0</v>
      </c>
    </row>
    <row r="21" spans="1:11" ht="20.25" customHeight="1">
      <c r="A21" s="962">
        <v>12</v>
      </c>
      <c r="B21" s="963">
        <f>-'Part VI-Pro Forma'!$C58/12</f>
        <v>40247.079579826575</v>
      </c>
      <c r="D21" s="962">
        <v>12</v>
      </c>
      <c r="E21" s="963">
        <f>-'Part VI-Pro Forma'!$C59/12</f>
        <v>1031.9701328999993</v>
      </c>
      <c r="G21" s="962">
        <v>12</v>
      </c>
      <c r="H21" s="963">
        <f>-'Part VI-Pro Forma'!$C60/12</f>
        <v>0</v>
      </c>
      <c r="J21" s="962">
        <v>12</v>
      </c>
      <c r="K21" s="963">
        <f>-'Part VI-Pro Forma'!$C61/12</f>
        <v>0</v>
      </c>
    </row>
    <row r="22" spans="1:11" ht="20.25" customHeight="1">
      <c r="A22" s="962">
        <v>13</v>
      </c>
      <c r="B22" s="963">
        <f>-'Part VI-Pro Forma'!$D58/12</f>
        <v>40247.079579826575</v>
      </c>
      <c r="D22" s="962">
        <v>13</v>
      </c>
      <c r="E22" s="963">
        <f>-'Part VI-Pro Forma'!$D59/12</f>
        <v>996.00296079069574</v>
      </c>
      <c r="G22" s="962">
        <v>13</v>
      </c>
      <c r="H22" s="963">
        <f>-'Part VI-Pro Forma'!$D60/12</f>
        <v>0</v>
      </c>
      <c r="J22" s="962">
        <v>13</v>
      </c>
      <c r="K22" s="963">
        <f>-'Part VI-Pro Forma'!$D61/12</f>
        <v>0</v>
      </c>
    </row>
    <row r="23" spans="1:11" ht="20.25" customHeight="1">
      <c r="A23" s="962">
        <v>14</v>
      </c>
      <c r="B23" s="963">
        <f>-'Part VI-Pro Forma'!$E58/12</f>
        <v>40247.079579826575</v>
      </c>
      <c r="D23" s="962">
        <v>14</v>
      </c>
      <c r="E23" s="963">
        <f>-'Part VI-Pro Forma'!$E59/12</f>
        <v>933.42205358156446</v>
      </c>
      <c r="G23" s="962">
        <v>14</v>
      </c>
      <c r="H23" s="963">
        <f>-'Part VI-Pro Forma'!$E60/12</f>
        <v>0</v>
      </c>
      <c r="J23" s="962">
        <v>14</v>
      </c>
      <c r="K23" s="963">
        <f>-'Part VI-Pro Forma'!$E61/12</f>
        <v>0</v>
      </c>
    </row>
    <row r="24" spans="1:11" ht="20.25" customHeight="1">
      <c r="A24" s="1384">
        <v>15</v>
      </c>
      <c r="B24" s="1385">
        <f>-'Part VI-Pro Forma'!$F58/12</f>
        <v>40247.079579826575</v>
      </c>
      <c r="D24" s="1384">
        <v>15</v>
      </c>
      <c r="E24" s="1385">
        <f>-'Part VI-Pro Forma'!$F59/12</f>
        <v>843.00658482097299</v>
      </c>
      <c r="G24" s="1384">
        <v>15</v>
      </c>
      <c r="H24" s="1385">
        <f>-'Part VI-Pro Forma'!$F60/12</f>
        <v>0</v>
      </c>
      <c r="J24" s="1384">
        <v>15</v>
      </c>
      <c r="K24" s="1385">
        <f>-'Part VI-Pro Forma'!$F61/12</f>
        <v>0</v>
      </c>
    </row>
    <row r="25" spans="1:11" ht="20.25" customHeight="1">
      <c r="A25" s="962">
        <v>16</v>
      </c>
      <c r="B25" s="963">
        <f>-'Part VI-Pro Forma'!$G58/12</f>
        <v>40247.079579826575</v>
      </c>
      <c r="D25" s="962">
        <v>16</v>
      </c>
      <c r="E25" s="963">
        <f>-'Part VI-Pro Forma'!$G59/12</f>
        <v>10335.721144986494</v>
      </c>
      <c r="G25" s="962">
        <v>16</v>
      </c>
      <c r="H25" s="963">
        <f>-'Part VI-Pro Forma'!$G60/12</f>
        <v>0</v>
      </c>
      <c r="J25" s="962">
        <v>16</v>
      </c>
      <c r="K25" s="963">
        <f>-'Part VI-Pro Forma'!$G61/12</f>
        <v>0</v>
      </c>
    </row>
    <row r="26" spans="1:11" ht="20.25" customHeight="1">
      <c r="A26" s="962">
        <v>17</v>
      </c>
      <c r="B26" s="963">
        <f>-'Part VI-Pro Forma'!$H58/12</f>
        <v>40247.079579826575</v>
      </c>
      <c r="D26" s="962">
        <v>17</v>
      </c>
      <c r="E26" s="963">
        <f>-'Part VI-Pro Forma'!$H59/12</f>
        <v>10128.903900047022</v>
      </c>
      <c r="G26" s="962">
        <v>17</v>
      </c>
      <c r="H26" s="963">
        <f>-'Part VI-Pro Forma'!$H60/12</f>
        <v>0</v>
      </c>
      <c r="J26" s="962">
        <v>17</v>
      </c>
      <c r="K26" s="963">
        <f>-'Part VI-Pro Forma'!$H61/12</f>
        <v>0</v>
      </c>
    </row>
    <row r="27" spans="1:11" ht="20.25" customHeight="1">
      <c r="A27" s="962">
        <v>18</v>
      </c>
      <c r="B27" s="963">
        <f>-'Part VI-Pro Forma'!$I58/12</f>
        <v>40247.079579826575</v>
      </c>
      <c r="D27" s="962">
        <v>18</v>
      </c>
      <c r="E27" s="963">
        <f>-'Part VI-Pro Forma'!$I59/12</f>
        <v>10550.015195383434</v>
      </c>
      <c r="G27" s="962">
        <v>18</v>
      </c>
      <c r="H27" s="963">
        <f>-'Part VI-Pro Forma'!$I60/12</f>
        <v>0</v>
      </c>
      <c r="J27" s="962">
        <v>18</v>
      </c>
      <c r="K27" s="963">
        <f>-'Part VI-Pro Forma'!$I61/12</f>
        <v>0</v>
      </c>
    </row>
    <row r="28" spans="1:11" ht="20.25" customHeight="1">
      <c r="A28" s="962">
        <v>19</v>
      </c>
      <c r="B28" s="963">
        <f>-'Part VI-Pro Forma'!$J58/12</f>
        <v>40247.079579826575</v>
      </c>
      <c r="D28" s="962">
        <v>19</v>
      </c>
      <c r="E28" s="963">
        <f>-'Part VI-Pro Forma'!$J59/12</f>
        <v>10279.996145448478</v>
      </c>
      <c r="G28" s="962">
        <v>19</v>
      </c>
      <c r="H28" s="963">
        <f>-'Part VI-Pro Forma'!$J60/12</f>
        <v>0</v>
      </c>
      <c r="J28" s="962">
        <v>19</v>
      </c>
      <c r="K28" s="963">
        <f>-'Part VI-Pro Forma'!$J61/12</f>
        <v>0</v>
      </c>
    </row>
    <row r="29" spans="1:11" ht="20.25" customHeight="1">
      <c r="A29" s="1384">
        <v>20</v>
      </c>
      <c r="B29" s="1385">
        <f>-'Part VI-Pro Forma'!$K58/12</f>
        <v>40247.079579826575</v>
      </c>
      <c r="D29" s="1384">
        <v>20</v>
      </c>
      <c r="E29" s="1385">
        <f>-'Part VI-Pro Forma'!$K59/12</f>
        <v>9966.0070194848868</v>
      </c>
      <c r="G29" s="1384">
        <v>20</v>
      </c>
      <c r="H29" s="1385">
        <f>-'Part VI-Pro Forma'!$K60/12</f>
        <v>0</v>
      </c>
      <c r="J29" s="1384">
        <v>20</v>
      </c>
      <c r="K29" s="1385">
        <f>-'Part VI-Pro Forma'!$K61/12</f>
        <v>0</v>
      </c>
    </row>
    <row r="30" spans="1:11" ht="20.25" customHeight="1">
      <c r="A30" s="962">
        <v>21</v>
      </c>
      <c r="B30" s="963">
        <f>-'Part VI-Pro Forma'!$B90/12</f>
        <v>40247.079579826575</v>
      </c>
      <c r="D30" s="962">
        <v>21</v>
      </c>
      <c r="E30" s="963">
        <f>-'Part VI-Pro Forma'!$B91/12</f>
        <v>9605.9886417880625</v>
      </c>
      <c r="G30" s="962">
        <v>21</v>
      </c>
      <c r="H30" s="963">
        <f>-'Part VI-Pro Forma'!$B92/12</f>
        <v>0</v>
      </c>
      <c r="J30" s="962">
        <v>21</v>
      </c>
      <c r="K30" s="963">
        <f>-'Part VI-Pro Forma'!$B93/12</f>
        <v>0</v>
      </c>
    </row>
    <row r="31" spans="1:11" ht="20.25" customHeight="1">
      <c r="A31" s="962">
        <v>22</v>
      </c>
      <c r="B31" s="963">
        <f>-'Part VI-Pro Forma'!$C90/12</f>
        <v>40247.079579826575</v>
      </c>
      <c r="D31" s="962">
        <v>22</v>
      </c>
      <c r="E31" s="963">
        <f>-'Part VI-Pro Forma'!$C91/12</f>
        <v>9197.8965432467758</v>
      </c>
      <c r="G31" s="962">
        <v>22</v>
      </c>
      <c r="H31" s="963">
        <f>-'Part VI-Pro Forma'!$C92/12</f>
        <v>0</v>
      </c>
      <c r="J31" s="962">
        <v>22</v>
      </c>
      <c r="K31" s="963">
        <f>-'Part VI-Pro Forma'!$C93/12</f>
        <v>0</v>
      </c>
    </row>
    <row r="32" spans="1:11" ht="20.25" customHeight="1">
      <c r="A32" s="962">
        <v>23</v>
      </c>
      <c r="B32" s="963">
        <f>-'Part VI-Pro Forma'!$D90/12</f>
        <v>40247.079579826575</v>
      </c>
      <c r="D32" s="962">
        <v>23</v>
      </c>
      <c r="E32" s="963">
        <f>-'Part VI-Pro Forma'!$D91/12</f>
        <v>8739.3652821787255</v>
      </c>
      <c r="G32" s="962">
        <v>23</v>
      </c>
      <c r="H32" s="963">
        <f>-'Part VI-Pro Forma'!$D92/12</f>
        <v>0</v>
      </c>
      <c r="J32" s="962">
        <v>23</v>
      </c>
      <c r="K32" s="963">
        <f>-'Part VI-Pro Forma'!$D93/12</f>
        <v>0</v>
      </c>
    </row>
    <row r="33" spans="1:11" ht="20.25" customHeight="1">
      <c r="A33" s="962">
        <v>24</v>
      </c>
      <c r="B33" s="963">
        <f>-'Part VI-Pro Forma'!$E90/12</f>
        <v>40247.079579826575</v>
      </c>
      <c r="D33" s="962">
        <v>24</v>
      </c>
      <c r="E33" s="963">
        <f>-'Part VI-Pro Forma'!$E91/12</f>
        <v>8228.3726890501803</v>
      </c>
      <c r="G33" s="962">
        <v>24</v>
      </c>
      <c r="H33" s="963">
        <f>-'Part VI-Pro Forma'!$E92/12</f>
        <v>0</v>
      </c>
      <c r="J33" s="962">
        <v>24</v>
      </c>
      <c r="K33" s="963">
        <f>-'Part VI-Pro Forma'!$E93/12</f>
        <v>0</v>
      </c>
    </row>
    <row r="34" spans="1:11" ht="20.25" customHeight="1">
      <c r="A34" s="1384">
        <v>25</v>
      </c>
      <c r="B34" s="1385">
        <f>-'Part VI-Pro Forma'!$F90/12</f>
        <v>40247.079579826575</v>
      </c>
      <c r="D34" s="1384">
        <v>25</v>
      </c>
      <c r="E34" s="1385">
        <f>-'Part VI-Pro Forma'!$F91/12</f>
        <v>7662.3206993479644</v>
      </c>
      <c r="G34" s="1384">
        <v>25</v>
      </c>
      <c r="H34" s="1385">
        <f>-'Part VI-Pro Forma'!$F92/12</f>
        <v>0</v>
      </c>
      <c r="J34" s="1384">
        <v>25</v>
      </c>
      <c r="K34" s="1385">
        <f>-'Part VI-Pro Forma'!$F93/12</f>
        <v>0</v>
      </c>
    </row>
    <row r="35" spans="1:11" ht="20.25" customHeight="1">
      <c r="A35" s="962">
        <v>26</v>
      </c>
      <c r="B35" s="963">
        <f>-'Part VI-Pro Forma'!$G90/12</f>
        <v>40247.079579826575</v>
      </c>
      <c r="D35" s="962">
        <v>26</v>
      </c>
      <c r="E35" s="963">
        <f>-'Part VI-Pro Forma'!$G91/12</f>
        <v>7038.9494387993518</v>
      </c>
      <c r="G35" s="962">
        <v>26</v>
      </c>
      <c r="H35" s="963">
        <f>-'Part VI-Pro Forma'!$G92/12</f>
        <v>0</v>
      </c>
      <c r="J35" s="962">
        <v>26</v>
      </c>
      <c r="K35" s="963">
        <f>-'Part VI-Pro Forma'!$G93/12</f>
        <v>0</v>
      </c>
    </row>
    <row r="36" spans="1:11" ht="20.25" customHeight="1">
      <c r="A36" s="962">
        <v>27</v>
      </c>
      <c r="B36" s="963">
        <f>-'Part VI-Pro Forma'!$H90/12</f>
        <v>40247.079579826575</v>
      </c>
      <c r="D36" s="962">
        <v>27</v>
      </c>
      <c r="E36" s="963">
        <f>-'Part VI-Pro Forma'!$H91/12</f>
        <v>6355.6678917224099</v>
      </c>
      <c r="G36" s="962">
        <v>27</v>
      </c>
      <c r="H36" s="963">
        <f>-'Part VI-Pro Forma'!$H92/12</f>
        <v>0</v>
      </c>
      <c r="J36" s="962">
        <v>27</v>
      </c>
      <c r="K36" s="963">
        <f>-'Part VI-Pro Forma'!$H93/12</f>
        <v>0</v>
      </c>
    </row>
    <row r="37" spans="1:11" ht="20.25" customHeight="1">
      <c r="A37" s="962">
        <v>28</v>
      </c>
      <c r="B37" s="963">
        <f>-'Part VI-Pro Forma'!$I90/12</f>
        <v>40247.079579826575</v>
      </c>
      <c r="D37" s="962">
        <v>28</v>
      </c>
      <c r="E37" s="963">
        <f>-'Part VI-Pro Forma'!$I91/12</f>
        <v>5609.8011498804699</v>
      </c>
      <c r="G37" s="962">
        <v>28</v>
      </c>
      <c r="H37" s="963">
        <f>-'Part VI-Pro Forma'!$I92/12</f>
        <v>0</v>
      </c>
      <c r="J37" s="962">
        <v>28</v>
      </c>
      <c r="K37" s="963">
        <f>-'Part VI-Pro Forma'!$I93/12</f>
        <v>0</v>
      </c>
    </row>
    <row r="38" spans="1:11" ht="20.25" customHeight="1">
      <c r="A38" s="962">
        <v>29</v>
      </c>
      <c r="B38" s="963">
        <f>-'Part VI-Pro Forma'!$J90/12</f>
        <v>40247.079579826575</v>
      </c>
      <c r="D38" s="962">
        <v>29</v>
      </c>
      <c r="E38" s="963">
        <f>-'Part VI-Pro Forma'!$J91/12</f>
        <v>4798.7542391301877</v>
      </c>
      <c r="G38" s="962">
        <v>29</v>
      </c>
      <c r="H38" s="963">
        <f>-'Part VI-Pro Forma'!$J92/12</f>
        <v>0</v>
      </c>
      <c r="J38" s="962">
        <v>29</v>
      </c>
      <c r="K38" s="963">
        <f>-'Part VI-Pro Forma'!$J93/12</f>
        <v>0</v>
      </c>
    </row>
    <row r="39" spans="1:11" ht="20.25" customHeight="1">
      <c r="A39" s="1384">
        <v>30</v>
      </c>
      <c r="B39" s="1385">
        <f>-'Part VI-Pro Forma'!$K90/12</f>
        <v>40247.079579826575</v>
      </c>
      <c r="D39" s="1384">
        <v>30</v>
      </c>
      <c r="E39" s="1385">
        <f>-'Part VI-Pro Forma'!$K91/12</f>
        <v>3919.5925210712353</v>
      </c>
      <c r="G39" s="1384">
        <v>30</v>
      </c>
      <c r="H39" s="1385">
        <f>-'Part VI-Pro Forma'!$K92/12</f>
        <v>0</v>
      </c>
      <c r="J39" s="1384">
        <v>30</v>
      </c>
      <c r="K39" s="1385">
        <f>-'Part VI-Pro Forma'!$K93/12</f>
        <v>0</v>
      </c>
    </row>
    <row r="40" spans="1:11" ht="20.25" customHeight="1">
      <c r="A40" s="962">
        <v>31</v>
      </c>
      <c r="B40" s="963">
        <f>-'Part VI-Pro Forma'!$B120/12</f>
        <v>40247.079579826575</v>
      </c>
      <c r="D40" s="962">
        <v>31</v>
      </c>
      <c r="E40" s="963">
        <f>-'Part VI-Pro Forma'!$B121/12</f>
        <v>2969.4553334846373</v>
      </c>
      <c r="G40" s="962">
        <v>31</v>
      </c>
      <c r="H40" s="963">
        <f>-'Part VI-Pro Forma'!$B122/12</f>
        <v>0</v>
      </c>
      <c r="J40" s="962">
        <v>31</v>
      </c>
      <c r="K40" s="963">
        <f>-'Part VI-Pro Forma'!$B123/12</f>
        <v>0</v>
      </c>
    </row>
    <row r="41" spans="1:11" ht="20.25" customHeight="1">
      <c r="A41" s="962">
        <v>32</v>
      </c>
      <c r="B41" s="963">
        <f>-'Part VI-Pro Forma'!$C120/12</f>
        <v>40247.079579826575</v>
      </c>
      <c r="D41" s="962">
        <v>32</v>
      </c>
      <c r="E41" s="963">
        <f>-'Part VI-Pro Forma'!$C121/12</f>
        <v>1945.3028665913444</v>
      </c>
      <c r="G41" s="962">
        <v>32</v>
      </c>
      <c r="H41" s="963">
        <f>-'Part VI-Pro Forma'!$C122/12</f>
        <v>0</v>
      </c>
      <c r="J41" s="962">
        <v>32</v>
      </c>
      <c r="K41" s="963">
        <f>-'Part VI-Pro Forma'!$C123/12</f>
        <v>0</v>
      </c>
    </row>
    <row r="42" spans="1:11" ht="20.25" customHeight="1">
      <c r="A42" s="962">
        <v>33</v>
      </c>
      <c r="B42" s="963">
        <f>-'Part VI-Pro Forma'!$D120/12</f>
        <v>40247.079579826575</v>
      </c>
      <c r="D42" s="962">
        <v>33</v>
      </c>
      <c r="E42" s="963">
        <f>-'Part VI-Pro Forma'!$D121/12</f>
        <v>843.99627207230276</v>
      </c>
      <c r="G42" s="962">
        <v>33</v>
      </c>
      <c r="H42" s="963">
        <f>-'Part VI-Pro Forma'!$D122/12</f>
        <v>0</v>
      </c>
      <c r="J42" s="962">
        <v>33</v>
      </c>
      <c r="K42" s="963">
        <f>-'Part VI-Pro Forma'!$D123/12</f>
        <v>0</v>
      </c>
    </row>
    <row r="43" spans="1:11" ht="20.25" customHeight="1">
      <c r="A43" s="962">
        <v>34</v>
      </c>
      <c r="B43" s="963">
        <f>-'Part VI-Pro Forma'!$E120/12</f>
        <v>40247.079579826575</v>
      </c>
      <c r="D43" s="962">
        <v>34</v>
      </c>
      <c r="E43" s="963">
        <f>-'Part VI-Pro Forma'!$E121/12</f>
        <v>0</v>
      </c>
      <c r="G43" s="962">
        <v>34</v>
      </c>
      <c r="H43" s="963">
        <f>-'Part VI-Pro Forma'!$E122/12</f>
        <v>0</v>
      </c>
      <c r="J43" s="962">
        <v>34</v>
      </c>
      <c r="K43" s="963">
        <f>-'Part VI-Pro Forma'!$E123/12</f>
        <v>0</v>
      </c>
    </row>
    <row r="44" spans="1:11" ht="20.25" customHeight="1">
      <c r="A44" s="962">
        <v>35</v>
      </c>
      <c r="B44" s="963">
        <f>-'Part VI-Pro Forma'!$F120/12</f>
        <v>40247.079579826575</v>
      </c>
      <c r="D44" s="962">
        <v>35</v>
      </c>
      <c r="E44" s="963">
        <f>-'Part VI-Pro Forma'!$F121/12</f>
        <v>0</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817" t="str">
        <f>CONCATENATE('Sensitivity Analysis'!E8,"  ",'Sensitivity Analysis'!C8)</f>
        <v>2025-5  Princeton Court</v>
      </c>
      <c r="B1" s="4817"/>
      <c r="C1" s="4817"/>
      <c r="D1" s="4817"/>
      <c r="E1" s="4817"/>
      <c r="F1" s="4817"/>
      <c r="G1" s="4817"/>
      <c r="H1" s="4817"/>
    </row>
    <row r="3" spans="1:11" ht="12" customHeight="1">
      <c r="A3" s="4818" t="s">
        <v>3021</v>
      </c>
      <c r="B3" s="4818"/>
      <c r="C3" s="4818"/>
      <c r="D3" s="4818"/>
      <c r="E3" s="4818"/>
      <c r="F3" s="4818"/>
      <c r="G3" s="4818"/>
      <c r="H3" s="4818"/>
      <c r="I3" s="1001"/>
      <c r="J3" s="4820" t="s">
        <v>3370</v>
      </c>
      <c r="K3" s="4820"/>
    </row>
    <row r="4" spans="1:11">
      <c r="J4" s="4820"/>
      <c r="K4" s="4820"/>
    </row>
    <row r="5" spans="1:11" ht="12" customHeight="1">
      <c r="A5" s="431">
        <v>1</v>
      </c>
      <c r="C5" s="431" t="s">
        <v>2731</v>
      </c>
      <c r="E5" s="606">
        <f>'Sensitivity Analysis'!H9</f>
        <v>0</v>
      </c>
      <c r="J5" s="4820"/>
      <c r="K5" s="4820"/>
    </row>
    <row r="6" spans="1:11" ht="3" customHeight="1">
      <c r="H6" s="597"/>
      <c r="J6" s="4820"/>
      <c r="K6" s="4820"/>
    </row>
    <row r="7" spans="1:11" ht="12" customHeight="1">
      <c r="A7" s="431">
        <v>2</v>
      </c>
      <c r="C7" s="431" t="s">
        <v>2732</v>
      </c>
      <c r="E7" s="4816"/>
      <c r="F7" s="4816"/>
      <c r="G7" s="4816"/>
      <c r="H7" s="4816"/>
      <c r="J7" s="4820"/>
      <c r="K7" s="4820"/>
    </row>
    <row r="8" spans="1:11" ht="12" customHeight="1">
      <c r="E8" s="4816"/>
      <c r="F8" s="4816"/>
      <c r="G8" s="4816"/>
      <c r="H8" s="4816"/>
      <c r="J8" s="4820"/>
      <c r="K8" s="4820"/>
    </row>
    <row r="9" spans="1:11" ht="12" customHeight="1">
      <c r="C9" s="431" t="s">
        <v>2733</v>
      </c>
      <c r="E9" s="4819"/>
      <c r="F9" s="4819"/>
      <c r="J9" s="4820"/>
      <c r="K9" s="4820"/>
    </row>
    <row r="10" spans="1:11" ht="12" customHeight="1">
      <c r="C10" s="431" t="s">
        <v>2734</v>
      </c>
      <c r="E10" s="4816"/>
      <c r="F10" s="4816"/>
      <c r="G10" s="4816"/>
      <c r="H10" s="4816"/>
    </row>
    <row r="11" spans="1:11" ht="12" customHeight="1">
      <c r="C11" s="431" t="s">
        <v>3375</v>
      </c>
      <c r="E11" s="4816"/>
      <c r="F11" s="4816"/>
      <c r="G11" s="4816"/>
      <c r="H11" s="4816"/>
    </row>
    <row r="12" spans="1:11" ht="12" customHeight="1">
      <c r="C12" s="431" t="s">
        <v>3371</v>
      </c>
      <c r="E12" s="1879"/>
    </row>
    <row r="13" spans="1:11" ht="12" customHeight="1">
      <c r="C13" s="431" t="s">
        <v>3374</v>
      </c>
      <c r="E13" s="1879"/>
    </row>
    <row r="14" spans="1:11" ht="3" customHeight="1"/>
    <row r="15" spans="1:11" ht="12" customHeight="1">
      <c r="A15" s="431">
        <v>3</v>
      </c>
      <c r="C15" s="431" t="s">
        <v>2735</v>
      </c>
      <c r="E15" s="606" t="str">
        <f>'Sensitivity Analysis'!C8</f>
        <v>Princeton Court</v>
      </c>
    </row>
    <row r="16" spans="1:11" ht="12" customHeight="1">
      <c r="C16" s="431" t="s">
        <v>2736</v>
      </c>
      <c r="E16" s="4816"/>
      <c r="F16" s="4816"/>
      <c r="G16" s="4816"/>
      <c r="H16" s="4816"/>
    </row>
    <row r="17" spans="1:8" ht="12" customHeight="1">
      <c r="E17" s="437" t="str">
        <f>'Part I-Project Identification'!F27</f>
        <v>College Park</v>
      </c>
      <c r="F17" s="596" t="s">
        <v>790</v>
      </c>
      <c r="G17" s="4815" t="s">
        <v>4629</v>
      </c>
      <c r="H17" s="4815"/>
    </row>
    <row r="18" spans="1:8" ht="12" customHeight="1">
      <c r="E18" s="606" t="str">
        <f>'Part I-Project Identification'!J27</f>
        <v>Fulton</v>
      </c>
    </row>
    <row r="19" spans="1:8" ht="3" customHeight="1"/>
    <row r="20" spans="1:8" ht="12" customHeight="1">
      <c r="A20" s="431">
        <v>4</v>
      </c>
      <c r="C20" s="431" t="s">
        <v>2737</v>
      </c>
      <c r="E20" s="4816"/>
      <c r="F20" s="4816"/>
      <c r="G20" s="4816"/>
      <c r="H20" s="4816"/>
    </row>
    <row r="21" spans="1:8" ht="12" customHeight="1">
      <c r="C21" s="431" t="s">
        <v>2738</v>
      </c>
      <c r="E21" s="4816"/>
      <c r="F21" s="4816"/>
      <c r="G21" s="4816"/>
      <c r="H21" s="4816"/>
    </row>
    <row r="22" spans="1:8" ht="12" customHeight="1">
      <c r="E22" s="4816"/>
      <c r="F22" s="4816"/>
      <c r="G22" s="4816"/>
      <c r="H22" s="4816"/>
    </row>
    <row r="23" spans="1:8" ht="12" customHeight="1">
      <c r="C23" s="431" t="s">
        <v>3371</v>
      </c>
      <c r="E23" s="1879"/>
    </row>
    <row r="24" spans="1:8" ht="12" customHeight="1">
      <c r="C24" s="431" t="s">
        <v>3374</v>
      </c>
      <c r="E24" s="1879"/>
    </row>
    <row r="25" spans="1:8" ht="12" customHeight="1">
      <c r="C25" s="431" t="s">
        <v>3375</v>
      </c>
      <c r="E25" s="4816"/>
      <c r="F25" s="4816"/>
      <c r="G25" s="4816"/>
      <c r="H25" s="4816"/>
    </row>
    <row r="26" spans="1:8" ht="3" customHeight="1">
      <c r="E26" s="606"/>
    </row>
    <row r="27" spans="1:8" ht="12" customHeight="1">
      <c r="A27" s="431">
        <v>5</v>
      </c>
      <c r="C27" s="431" t="s">
        <v>2739</v>
      </c>
      <c r="E27" s="606" t="str">
        <f>'Sensitivity Analysis'!$H$7</f>
        <v>Acquisition/Rehabilitation</v>
      </c>
    </row>
    <row r="28" spans="1:8" ht="12" customHeight="1">
      <c r="E28" s="606" t="str">
        <f>'Part I-Project Identification'!F12</f>
        <v>4% Credit/TE Bond</v>
      </c>
    </row>
    <row r="29" spans="1:8" ht="12" customHeight="1">
      <c r="C29" s="431" t="s">
        <v>3020</v>
      </c>
      <c r="E29" s="431" t="str">
        <f>'Sensitivity Analysis'!$C$9</f>
        <v>&lt;&lt;Select&gt;&gt;</v>
      </c>
    </row>
    <row r="30" spans="1:8" ht="3" customHeight="1"/>
    <row r="31" spans="1:8" ht="12" customHeight="1">
      <c r="A31" s="431">
        <v>6</v>
      </c>
      <c r="C31" s="431" t="s">
        <v>2740</v>
      </c>
      <c r="E31" s="431" t="s">
        <v>2212</v>
      </c>
      <c r="F31" s="1002">
        <f>'Part II-Sources of Funds'!L24</f>
        <v>22374269</v>
      </c>
      <c r="G31" s="431" t="s">
        <v>2741</v>
      </c>
    </row>
    <row r="32" spans="1:8" ht="12" customHeight="1">
      <c r="F32" s="1002" t="s">
        <v>2742</v>
      </c>
      <c r="G32" s="431" t="s">
        <v>2743</v>
      </c>
    </row>
    <row r="33" spans="1:8" ht="3" customHeight="1">
      <c r="F33" s="601"/>
    </row>
    <row r="34" spans="1:8" ht="12" customHeight="1">
      <c r="A34" s="431">
        <v>7</v>
      </c>
      <c r="C34" s="431" t="s">
        <v>2744</v>
      </c>
      <c r="F34" s="1003">
        <v>0</v>
      </c>
    </row>
    <row r="35" spans="1:8" ht="3" customHeight="1">
      <c r="F35" s="601"/>
    </row>
    <row r="36" spans="1:8" ht="12" customHeight="1">
      <c r="A36" s="431">
        <v>8</v>
      </c>
      <c r="C36" s="431" t="s">
        <v>2745</v>
      </c>
      <c r="E36" s="431" t="s">
        <v>2212</v>
      </c>
      <c r="F36" s="1004">
        <v>0.01</v>
      </c>
    </row>
    <row r="37" spans="1:8" ht="3" customHeight="1">
      <c r="F37" s="1003"/>
    </row>
    <row r="38" spans="1:8" ht="12" customHeight="1">
      <c r="A38" s="431">
        <v>9</v>
      </c>
      <c r="C38" s="431" t="s">
        <v>2746</v>
      </c>
      <c r="F38" s="1005">
        <v>24</v>
      </c>
      <c r="G38" s="431" t="s">
        <v>2747</v>
      </c>
    </row>
    <row r="39" spans="1:8" ht="3" customHeight="1">
      <c r="F39" s="1003"/>
    </row>
    <row r="40" spans="1:8" ht="12" customHeight="1">
      <c r="A40" s="431">
        <v>10</v>
      </c>
      <c r="C40" s="431" t="s">
        <v>2748</v>
      </c>
      <c r="E40" s="431" t="s">
        <v>2212</v>
      </c>
      <c r="F40" s="601">
        <f>'Part II-Sources of Funds'!L42*12</f>
        <v>204</v>
      </c>
      <c r="G40" s="431" t="s">
        <v>2747</v>
      </c>
    </row>
    <row r="41" spans="1:8" ht="3" customHeight="1">
      <c r="F41" s="601"/>
    </row>
    <row r="42" spans="1:8" ht="12" customHeight="1">
      <c r="A42" s="431">
        <v>11</v>
      </c>
      <c r="C42" s="431" t="s">
        <v>2749</v>
      </c>
      <c r="F42" s="1006">
        <v>24</v>
      </c>
      <c r="G42" s="431" t="s">
        <v>2747</v>
      </c>
    </row>
    <row r="43" spans="1:8" ht="3" customHeight="1"/>
    <row r="44" spans="1:8" ht="12" customHeight="1">
      <c r="A44" s="431">
        <v>12</v>
      </c>
      <c r="C44" s="431" t="s">
        <v>2750</v>
      </c>
      <c r="F44" s="1007" t="s">
        <v>2751</v>
      </c>
    </row>
    <row r="45" spans="1:8" ht="3" customHeight="1"/>
    <row r="46" spans="1:8" ht="12" customHeight="1">
      <c r="A46" s="431">
        <v>13</v>
      </c>
      <c r="C46" s="431" t="s">
        <v>2752</v>
      </c>
      <c r="E46" s="431" t="s">
        <v>2212</v>
      </c>
      <c r="F46" s="606" t="s">
        <v>2753</v>
      </c>
    </row>
    <row r="47" spans="1:8" ht="3" customHeight="1">
      <c r="F47" s="597"/>
    </row>
    <row r="48" spans="1:8" ht="12" customHeight="1">
      <c r="A48" s="431">
        <v>14</v>
      </c>
      <c r="C48" s="431" t="s">
        <v>2754</v>
      </c>
      <c r="E48" s="4816"/>
      <c r="F48" s="4816"/>
      <c r="G48" s="4816"/>
      <c r="H48" s="4816"/>
    </row>
    <row r="49" spans="1:8" ht="3" customHeight="1">
      <c r="E49" s="606"/>
    </row>
    <row r="50" spans="1:8" ht="12" customHeight="1">
      <c r="A50" s="431">
        <v>15</v>
      </c>
      <c r="C50" s="431" t="s">
        <v>3377</v>
      </c>
      <c r="E50" s="4816"/>
      <c r="F50" s="4816"/>
      <c r="G50" s="4816"/>
      <c r="H50" s="4816"/>
    </row>
    <row r="51" spans="1:8" ht="12" customHeight="1">
      <c r="C51" s="431" t="s">
        <v>2755</v>
      </c>
      <c r="E51" s="4816"/>
      <c r="F51" s="4816"/>
      <c r="G51" s="4816"/>
      <c r="H51" s="4816"/>
    </row>
    <row r="52" spans="1:8" ht="3" customHeight="1">
      <c r="F52" s="601"/>
    </row>
    <row r="53" spans="1:8" ht="12" customHeight="1">
      <c r="A53" s="431">
        <v>16</v>
      </c>
      <c r="C53" s="431" t="s">
        <v>2756</v>
      </c>
      <c r="F53" s="1006">
        <f>'Part V-Revenues &amp; Expenses'!E58</f>
        <v>116</v>
      </c>
    </row>
    <row r="54" spans="1:8" ht="3" customHeight="1">
      <c r="F54" s="601"/>
    </row>
    <row r="55" spans="1:8" ht="12" customHeight="1">
      <c r="A55" s="431">
        <v>17</v>
      </c>
      <c r="C55" s="431" t="s">
        <v>2757</v>
      </c>
      <c r="F55" s="1008">
        <f>ProrationMethodCostAllocatnDCA!D64</f>
        <v>0</v>
      </c>
    </row>
    <row r="56" spans="1:8" ht="3" customHeight="1">
      <c r="F56" s="601"/>
    </row>
    <row r="57" spans="1:8" ht="12" customHeight="1">
      <c r="A57" s="431">
        <v>18</v>
      </c>
      <c r="C57" s="431" t="s">
        <v>2758</v>
      </c>
      <c r="F57" s="1008">
        <f>'Part V-Revenues &amp; Expenses'!P75</f>
        <v>1</v>
      </c>
      <c r="G57" s="431" t="s">
        <v>3376</v>
      </c>
    </row>
    <row r="58" spans="1:8" ht="3" customHeight="1">
      <c r="F58" s="601"/>
    </row>
    <row r="59" spans="1:8" ht="12" customHeight="1">
      <c r="A59" s="431">
        <v>19</v>
      </c>
      <c r="C59" s="431" t="s">
        <v>2759</v>
      </c>
      <c r="F59" s="1461">
        <f>'Part VII-Threshold Criteria OLD'!$P$44</f>
        <v>0</v>
      </c>
      <c r="G59" s="431" t="s">
        <v>3022</v>
      </c>
    </row>
    <row r="60" spans="1:8" ht="3" customHeight="1">
      <c r="F60" s="601"/>
    </row>
    <row r="61" spans="1:8" ht="12" customHeight="1">
      <c r="A61" s="431">
        <v>20</v>
      </c>
      <c r="C61" s="431" t="s">
        <v>2760</v>
      </c>
      <c r="F61" s="1009">
        <f>'Subsidy Layering Memo'!$L$70</f>
        <v>5541591.4364955556</v>
      </c>
    </row>
    <row r="62" spans="1:8" ht="3" customHeight="1"/>
    <row r="63" spans="1:8" ht="12" customHeight="1">
      <c r="A63" s="431">
        <v>21</v>
      </c>
      <c r="C63" s="431" t="s">
        <v>3037</v>
      </c>
      <c r="E63" s="1010" t="s">
        <v>3023</v>
      </c>
      <c r="F63" s="1011" t="s">
        <v>3024</v>
      </c>
      <c r="G63" s="1010" t="s">
        <v>2761</v>
      </c>
    </row>
    <row r="64" spans="1:8" ht="12" customHeight="1">
      <c r="E64" s="1010" t="s">
        <v>3023</v>
      </c>
      <c r="F64" s="1011" t="s">
        <v>3024</v>
      </c>
      <c r="G64" s="1010" t="s">
        <v>4055</v>
      </c>
    </row>
    <row r="65" spans="1:7" ht="12" customHeight="1">
      <c r="E65" s="1010" t="s">
        <v>3023</v>
      </c>
      <c r="F65" s="1011" t="s">
        <v>3024</v>
      </c>
      <c r="G65" s="1010" t="s">
        <v>4056</v>
      </c>
    </row>
    <row r="66" spans="1:7" ht="12" customHeight="1">
      <c r="E66" s="1010" t="s">
        <v>3023</v>
      </c>
      <c r="F66" s="1011" t="s">
        <v>3024</v>
      </c>
      <c r="G66" s="1010" t="s">
        <v>4057</v>
      </c>
    </row>
    <row r="67" spans="1:7" ht="3" customHeight="1"/>
    <row r="68" spans="1:7" ht="12" customHeight="1">
      <c r="A68" s="431">
        <v>22</v>
      </c>
      <c r="C68" s="431" t="s">
        <v>2762</v>
      </c>
      <c r="E68" s="606">
        <f>'Sensitivity Analysis'!H9</f>
        <v>0</v>
      </c>
    </row>
    <row r="69" spans="1:7" ht="3" customHeight="1"/>
    <row r="70" spans="1:7" ht="12" customHeight="1">
      <c r="A70" s="431">
        <v>23</v>
      </c>
      <c r="C70" s="431" t="s">
        <v>2763</v>
      </c>
      <c r="F70" s="601" t="s">
        <v>2764</v>
      </c>
    </row>
    <row r="71" spans="1:7" ht="3" customHeight="1"/>
    <row r="72" spans="1:7" ht="12" customHeight="1">
      <c r="A72" s="431">
        <v>24</v>
      </c>
      <c r="C72" s="431" t="s">
        <v>2765</v>
      </c>
      <c r="E72" s="431" t="s">
        <v>2212</v>
      </c>
      <c r="F72" s="601">
        <v>20</v>
      </c>
      <c r="G72" s="431" t="s">
        <v>2267</v>
      </c>
    </row>
    <row r="73" spans="1:7" ht="3" customHeight="1"/>
    <row r="74" spans="1:7" ht="12" customHeight="1">
      <c r="A74" s="431">
        <v>25</v>
      </c>
      <c r="C74" s="431" t="s">
        <v>2766</v>
      </c>
      <c r="F74" s="1012">
        <f>'Part III-A-Uses of Funds'!$G$131</f>
        <v>684979</v>
      </c>
    </row>
    <row r="75" spans="1:7" ht="3" customHeight="1">
      <c r="F75" s="1012"/>
    </row>
    <row r="76" spans="1:7" ht="12" customHeight="1">
      <c r="A76" s="431">
        <v>26</v>
      </c>
      <c r="C76" s="431" t="s">
        <v>2767</v>
      </c>
      <c r="F76" s="1012">
        <f>'Part III-A-Uses of Funds'!$G$133</f>
        <v>116000</v>
      </c>
    </row>
    <row r="77" spans="1:7" ht="3" customHeight="1">
      <c r="F77" s="1012"/>
    </row>
    <row r="78" spans="1:7" ht="12" customHeight="1">
      <c r="A78" s="431">
        <v>27</v>
      </c>
      <c r="C78" s="431" t="s">
        <v>2768</v>
      </c>
      <c r="F78" s="1012">
        <f>'Part III-A-Uses of Funds'!$G$130</f>
        <v>221749</v>
      </c>
    </row>
    <row r="79" spans="1:7" ht="3" customHeight="1">
      <c r="F79" s="1012"/>
    </row>
    <row r="80" spans="1:7" ht="12" customHeight="1">
      <c r="A80" s="431">
        <v>28</v>
      </c>
      <c r="C80" s="431" t="s">
        <v>2769</v>
      </c>
      <c r="F80" s="1013"/>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831" t="s">
        <v>2894</v>
      </c>
      <c r="B1" s="4831"/>
      <c r="C1" s="4831"/>
      <c r="D1" s="4831"/>
      <c r="E1" s="4831"/>
      <c r="F1" s="4831"/>
      <c r="G1" s="4831"/>
      <c r="H1" s="4831"/>
      <c r="I1" s="4831"/>
      <c r="J1" s="4831"/>
    </row>
    <row r="2" spans="1:13" ht="14">
      <c r="A2" s="4831" t="str">
        <f>'Sensitivity Analysis'!E8&amp;"  "&amp;'Sensitivity Analysis'!C8</f>
        <v>2025-5  Princeton Court</v>
      </c>
      <c r="B2" s="4831"/>
      <c r="C2" s="4831"/>
      <c r="D2" s="4831"/>
      <c r="E2" s="4831"/>
      <c r="F2" s="4831"/>
      <c r="G2" s="4831"/>
      <c r="H2" s="4831"/>
      <c r="I2" s="4831"/>
      <c r="J2" s="4831"/>
    </row>
    <row r="3" spans="1:13" ht="6" customHeight="1">
      <c r="K3" s="4820" t="s">
        <v>3370</v>
      </c>
      <c r="L3" s="4820"/>
      <c r="M3" s="4820"/>
    </row>
    <row r="4" spans="1:13" ht="12" customHeight="1">
      <c r="A4" s="599" t="s">
        <v>2770</v>
      </c>
      <c r="K4" s="4820"/>
      <c r="L4" s="4820"/>
      <c r="M4" s="4820"/>
    </row>
    <row r="5" spans="1:13" ht="12" customHeight="1">
      <c r="A5" s="431" t="s">
        <v>2771</v>
      </c>
      <c r="C5" s="548" t="str">
        <f>'Subsidy Layering Memo'!D6</f>
        <v>(Underwriter)</v>
      </c>
      <c r="I5" s="548"/>
      <c r="K5" s="4820"/>
      <c r="L5" s="4820"/>
      <c r="M5" s="4820"/>
    </row>
    <row r="6" spans="1:13" ht="6" customHeight="1">
      <c r="C6" s="548"/>
      <c r="D6" s="548"/>
      <c r="I6" s="548"/>
      <c r="K6" s="4820"/>
      <c r="L6" s="4820"/>
      <c r="M6" s="4820"/>
    </row>
    <row r="7" spans="1:13" ht="12" customHeight="1">
      <c r="A7" s="599" t="s">
        <v>2772</v>
      </c>
      <c r="C7" s="548"/>
      <c r="D7" s="548"/>
      <c r="I7" s="548"/>
      <c r="K7" s="4820"/>
      <c r="L7" s="4820"/>
      <c r="M7" s="4820"/>
    </row>
    <row r="8" spans="1:13" ht="12" customHeight="1">
      <c r="A8" s="431" t="s">
        <v>2773</v>
      </c>
      <c r="C8" s="548">
        <f>'Sensitivity Analysis'!$H$9</f>
        <v>0</v>
      </c>
      <c r="I8" s="548"/>
      <c r="K8" s="4820"/>
      <c r="L8" s="4820"/>
      <c r="M8" s="4820"/>
    </row>
    <row r="9" spans="1:13" ht="3" customHeight="1">
      <c r="C9" s="548"/>
      <c r="D9" s="548"/>
      <c r="I9" s="548"/>
    </row>
    <row r="10" spans="1:13" ht="12" customHeight="1">
      <c r="A10" s="431" t="s">
        <v>2774</v>
      </c>
      <c r="C10" s="965" t="s">
        <v>1641</v>
      </c>
      <c r="I10" s="548"/>
    </row>
    <row r="11" spans="1:13" ht="12" customHeight="1">
      <c r="C11" s="965" t="s">
        <v>1641</v>
      </c>
      <c r="I11" s="548"/>
    </row>
    <row r="12" spans="1:13" ht="12" customHeight="1">
      <c r="C12" s="548" t="s">
        <v>2437</v>
      </c>
      <c r="D12" s="612" t="s">
        <v>1641</v>
      </c>
      <c r="I12" s="548"/>
    </row>
    <row r="13" spans="1:13" ht="12" customHeight="1">
      <c r="C13" s="548" t="s">
        <v>2775</v>
      </c>
      <c r="D13" s="4821"/>
      <c r="E13" s="4821"/>
      <c r="F13" s="4821"/>
      <c r="G13" s="4821"/>
      <c r="H13" s="4821"/>
      <c r="I13" s="4821"/>
      <c r="J13" s="4821"/>
    </row>
    <row r="14" spans="1:13" ht="3" customHeight="1">
      <c r="G14" s="548"/>
      <c r="H14" s="548"/>
      <c r="I14" s="548"/>
    </row>
    <row r="15" spans="1:13" ht="12" customHeight="1">
      <c r="A15" s="431" t="s">
        <v>2776</v>
      </c>
      <c r="C15" s="600">
        <f>'Preview Term'!E10</f>
        <v>0</v>
      </c>
      <c r="G15" s="548"/>
      <c r="I15" s="548"/>
    </row>
    <row r="16" spans="1:13" ht="12" customHeight="1">
      <c r="A16" s="606" t="s">
        <v>3543</v>
      </c>
      <c r="C16" s="600">
        <f>'Part II-Development Team'!Q7</f>
        <v>0</v>
      </c>
      <c r="G16" s="548"/>
      <c r="I16" s="548"/>
    </row>
    <row r="17" spans="1:9" ht="3" customHeight="1">
      <c r="G17" s="548"/>
      <c r="H17" s="548"/>
      <c r="I17" s="548"/>
    </row>
    <row r="18" spans="1:9" ht="12" customHeight="1">
      <c r="A18" s="431" t="s">
        <v>2777</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2778</v>
      </c>
      <c r="C21" s="600" t="str">
        <f>CONCATENATE('Preview Term'!E50," of  ",'Preview Term'!G50)</f>
        <v xml:space="preserve"> of  </v>
      </c>
      <c r="G21" s="548"/>
      <c r="I21" s="548"/>
    </row>
    <row r="22" spans="1:9" ht="3" customHeight="1">
      <c r="C22" s="600"/>
      <c r="G22" s="548"/>
      <c r="I22" s="548"/>
    </row>
    <row r="23" spans="1:9" ht="12" customHeight="1">
      <c r="A23" s="431" t="s">
        <v>2779</v>
      </c>
      <c r="C23" s="600">
        <f>'Preview Term'!E12</f>
        <v>0</v>
      </c>
      <c r="G23" s="548"/>
      <c r="I23" s="548"/>
    </row>
    <row r="24" spans="1:9" ht="3" customHeight="1">
      <c r="C24" s="600"/>
      <c r="G24" s="548"/>
      <c r="I24" s="548"/>
    </row>
    <row r="25" spans="1:9" ht="12" customHeight="1">
      <c r="A25" s="431" t="s">
        <v>2780</v>
      </c>
      <c r="C25" s="967">
        <f>'Preview Term'!E11</f>
        <v>0</v>
      </c>
      <c r="G25" s="548"/>
    </row>
    <row r="26" spans="1:9" ht="6" customHeight="1">
      <c r="G26" s="548"/>
      <c r="H26" s="548"/>
      <c r="I26" s="548"/>
    </row>
    <row r="27" spans="1:9" ht="12" customHeight="1">
      <c r="A27" s="599" t="s">
        <v>2781</v>
      </c>
      <c r="G27" s="548"/>
      <c r="H27" s="548"/>
      <c r="I27" s="548"/>
    </row>
    <row r="28" spans="1:9" ht="12" customHeight="1">
      <c r="A28" s="431" t="s">
        <v>2782</v>
      </c>
      <c r="C28" s="600" t="str">
        <f>'Sensitivity Analysis'!$C$8</f>
        <v>Princeton Court</v>
      </c>
      <c r="I28" s="548"/>
    </row>
    <row r="29" spans="1:9" ht="3" customHeight="1">
      <c r="C29" s="600"/>
      <c r="I29" s="548"/>
    </row>
    <row r="30" spans="1:9" ht="12" customHeight="1">
      <c r="A30" s="431" t="s">
        <v>2783</v>
      </c>
      <c r="C30" s="600">
        <f>'Preview Term'!E16</f>
        <v>0</v>
      </c>
      <c r="I30" s="548"/>
    </row>
    <row r="31" spans="1:9" ht="13">
      <c r="C31" s="548" t="str">
        <f>'Preview Term'!E17</f>
        <v>College Park</v>
      </c>
      <c r="I31" s="548"/>
    </row>
    <row r="32" spans="1:9" ht="3" customHeight="1">
      <c r="C32" s="548"/>
      <c r="D32" s="548"/>
      <c r="I32" s="548"/>
    </row>
    <row r="33" spans="1:10" ht="12" customHeight="1">
      <c r="A33" s="431" t="s">
        <v>2784</v>
      </c>
      <c r="C33" s="548" t="s">
        <v>2785</v>
      </c>
      <c r="D33" s="966">
        <f>'Preview Term'!$F$55</f>
        <v>0</v>
      </c>
      <c r="I33" s="548"/>
    </row>
    <row r="34" spans="1:10" ht="12" customHeight="1">
      <c r="C34" s="548" t="s">
        <v>2786</v>
      </c>
      <c r="D34" s="1881">
        <f>D35-D33</f>
        <v>116</v>
      </c>
      <c r="I34" s="548"/>
    </row>
    <row r="35" spans="1:10" ht="12" customHeight="1">
      <c r="C35" s="548" t="s">
        <v>2787</v>
      </c>
      <c r="D35" s="2350">
        <f>'Preview Term'!$F$53</f>
        <v>116</v>
      </c>
      <c r="I35" s="548"/>
    </row>
    <row r="36" spans="1:10" ht="3" customHeight="1">
      <c r="C36" s="548"/>
      <c r="D36" s="548"/>
      <c r="I36" s="548"/>
    </row>
    <row r="37" spans="1:10" ht="12" customHeight="1">
      <c r="A37" s="431" t="s">
        <v>2788</v>
      </c>
      <c r="C37" s="1010" t="s">
        <v>1641</v>
      </c>
      <c r="D37" s="964">
        <f>'Preview Term'!F57</f>
        <v>1</v>
      </c>
      <c r="E37" s="548" t="s">
        <v>2789</v>
      </c>
      <c r="I37" s="548"/>
    </row>
    <row r="38" spans="1:10" ht="3" customHeight="1">
      <c r="G38" s="602"/>
      <c r="H38" s="548"/>
      <c r="I38" s="548"/>
    </row>
    <row r="39" spans="1:10" ht="25.5" customHeight="1">
      <c r="A39" s="603" t="s">
        <v>4058</v>
      </c>
      <c r="C39" s="4832" t="str">
        <f>_xlfn.CONCAT('Part VII-Threshold Criteria OLD'!K192," and ",'Part VII-Threshold Criteria OLD'!K193)</f>
        <v>&lt;&lt;Select&gt;&gt; and &lt;&lt;Select&gt;&gt;</v>
      </c>
      <c r="D39" s="4832"/>
      <c r="E39" s="4832"/>
      <c r="F39" s="4832"/>
      <c r="G39" s="4832"/>
      <c r="H39" s="4832"/>
      <c r="I39" s="4832"/>
      <c r="J39" s="4832"/>
    </row>
    <row r="40" spans="1:10" ht="25.5" customHeight="1">
      <c r="A40" s="603" t="s">
        <v>4059</v>
      </c>
      <c r="C40" s="483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32"/>
      <c r="E40" s="4832"/>
      <c r="F40" s="4832"/>
      <c r="G40" s="4832"/>
      <c r="H40" s="4832"/>
      <c r="I40" s="4832"/>
      <c r="J40" s="4832"/>
    </row>
    <row r="41" spans="1:10" ht="3" customHeight="1">
      <c r="G41" s="548"/>
      <c r="H41" s="548"/>
      <c r="I41" s="548"/>
    </row>
    <row r="42" spans="1:10" ht="25.5" customHeight="1">
      <c r="A42" s="603" t="s">
        <v>2790</v>
      </c>
      <c r="C42" s="4832" t="s">
        <v>3025</v>
      </c>
      <c r="D42" s="4832"/>
      <c r="E42" s="4832"/>
      <c r="F42" s="4832"/>
      <c r="G42" s="4832"/>
      <c r="H42" s="4832"/>
      <c r="I42" s="4832"/>
      <c r="J42" s="4832"/>
    </row>
    <row r="43" spans="1:10" ht="3" customHeight="1">
      <c r="C43" s="437"/>
      <c r="D43" s="437"/>
      <c r="E43" s="437"/>
      <c r="F43" s="437"/>
      <c r="G43" s="437"/>
      <c r="H43" s="438"/>
      <c r="I43" s="438"/>
      <c r="J43" s="438"/>
    </row>
    <row r="44" spans="1:10" ht="12" customHeight="1">
      <c r="A44" s="431" t="s">
        <v>2791</v>
      </c>
      <c r="C44" s="502" t="str">
        <f>'Part I-Project Identification'!J27</f>
        <v>Fulton</v>
      </c>
      <c r="D44" s="437"/>
      <c r="F44" s="438"/>
      <c r="I44" s="438"/>
      <c r="J44" s="438"/>
    </row>
    <row r="45" spans="1:10" ht="3" customHeight="1">
      <c r="C45" s="437"/>
      <c r="D45" s="437"/>
      <c r="E45" s="437"/>
      <c r="F45" s="438"/>
      <c r="I45" s="438"/>
      <c r="J45" s="438"/>
    </row>
    <row r="46" spans="1:10" ht="12" customHeight="1">
      <c r="A46" s="431" t="s">
        <v>2792</v>
      </c>
      <c r="C46" s="612" t="s">
        <v>1641</v>
      </c>
      <c r="I46" s="438"/>
      <c r="J46" s="438"/>
    </row>
    <row r="47" spans="1:10" ht="3" customHeight="1">
      <c r="C47" s="548"/>
      <c r="D47" s="602"/>
      <c r="I47" s="548"/>
    </row>
    <row r="48" spans="1:10" ht="12" customHeight="1">
      <c r="A48" s="431" t="s">
        <v>2793</v>
      </c>
      <c r="C48" s="1462">
        <f>'Preview Term'!F59</f>
        <v>0</v>
      </c>
      <c r="I48" s="604"/>
      <c r="J48" s="604"/>
    </row>
    <row r="49" spans="1:10" ht="3" customHeight="1">
      <c r="D49" s="604"/>
      <c r="E49" s="604"/>
      <c r="F49" s="604"/>
      <c r="G49" s="604"/>
      <c r="H49" s="548"/>
      <c r="I49" s="604"/>
      <c r="J49" s="604"/>
    </row>
    <row r="50" spans="1:10" ht="12" customHeight="1">
      <c r="A50" s="548"/>
      <c r="B50" s="431" t="s">
        <v>2794</v>
      </c>
      <c r="C50" s="4832" t="s">
        <v>532</v>
      </c>
      <c r="D50" s="4832"/>
      <c r="E50" s="4832"/>
      <c r="F50" s="4832"/>
      <c r="G50" s="4832"/>
      <c r="H50" s="4832"/>
      <c r="I50" s="4832"/>
      <c r="J50" s="4832"/>
    </row>
    <row r="51" spans="1:10" ht="12" customHeight="1">
      <c r="C51" s="4823" t="s">
        <v>1672</v>
      </c>
      <c r="D51" s="4823"/>
      <c r="E51" s="4823"/>
      <c r="F51" s="4823"/>
      <c r="G51" s="4823"/>
      <c r="H51" s="4823"/>
      <c r="I51" s="4823"/>
      <c r="J51" s="4823"/>
    </row>
    <row r="52" spans="1:10" ht="3" customHeight="1">
      <c r="D52" s="604"/>
      <c r="E52" s="604"/>
      <c r="F52" s="604"/>
      <c r="G52" s="604"/>
      <c r="H52" s="548"/>
      <c r="I52" s="604"/>
      <c r="J52" s="604"/>
    </row>
    <row r="53" spans="1:10" ht="12" customHeight="1">
      <c r="A53" s="603" t="s">
        <v>2795</v>
      </c>
      <c r="B53" s="603"/>
      <c r="C53" s="605" t="s">
        <v>2796</v>
      </c>
      <c r="D53" s="605" t="s">
        <v>3026</v>
      </c>
      <c r="E53" s="4824"/>
      <c r="F53" s="4824"/>
      <c r="G53" s="4824"/>
      <c r="H53" s="4824"/>
      <c r="I53" s="4824"/>
      <c r="J53" s="4824"/>
    </row>
    <row r="54" spans="1:10" ht="12" customHeight="1">
      <c r="A54" s="603"/>
      <c r="B54" s="603"/>
      <c r="C54" s="603"/>
      <c r="D54" s="605" t="s">
        <v>3027</v>
      </c>
      <c r="E54" s="4825"/>
      <c r="F54" s="4825"/>
      <c r="G54" s="4825"/>
      <c r="H54" s="4825"/>
      <c r="I54" s="4825"/>
      <c r="J54" s="4825"/>
    </row>
    <row r="55" spans="1:10" ht="12" customHeight="1">
      <c r="A55" s="599" t="s">
        <v>2797</v>
      </c>
      <c r="G55" s="548"/>
      <c r="H55" s="548"/>
      <c r="I55" s="548"/>
    </row>
    <row r="56" spans="1:10" ht="18" customHeight="1">
      <c r="A56" s="431" t="s">
        <v>2798</v>
      </c>
      <c r="C56" s="600">
        <f>'Sensitivity Analysis'!C10</f>
        <v>0</v>
      </c>
      <c r="G56" s="548"/>
      <c r="I56" s="548"/>
    </row>
    <row r="57" spans="1:10" ht="3" customHeight="1">
      <c r="C57" s="600"/>
      <c r="G57" s="548"/>
      <c r="I57" s="548"/>
    </row>
    <row r="58" spans="1:10" ht="12" customHeight="1">
      <c r="A58" s="431" t="s">
        <v>2799</v>
      </c>
      <c r="C58" s="600">
        <f>'Sensitivity Analysis'!C11</f>
        <v>0</v>
      </c>
      <c r="E58" s="600">
        <f>'Sensitivity Analysis'!E11</f>
        <v>0</v>
      </c>
      <c r="G58" s="548"/>
      <c r="I58" s="548"/>
    </row>
    <row r="59" spans="1:10" ht="3" customHeight="1">
      <c r="C59" s="600"/>
      <c r="G59" s="548"/>
      <c r="I59" s="548"/>
    </row>
    <row r="60" spans="1:10" ht="12" customHeight="1">
      <c r="A60" s="431" t="s">
        <v>2800</v>
      </c>
      <c r="C60" s="600" t="s">
        <v>2508</v>
      </c>
      <c r="G60" s="548"/>
      <c r="I60" s="548"/>
    </row>
    <row r="61" spans="1:10" ht="6" customHeight="1">
      <c r="G61" s="548"/>
      <c r="H61" s="548"/>
      <c r="I61" s="548"/>
    </row>
    <row r="62" spans="1:10" ht="12" customHeight="1">
      <c r="A62" s="599" t="s">
        <v>2801</v>
      </c>
      <c r="G62" s="548"/>
      <c r="H62" s="548"/>
      <c r="I62" s="548"/>
    </row>
    <row r="63" spans="1:10" ht="12" customHeight="1">
      <c r="A63" s="431" t="s">
        <v>2802</v>
      </c>
      <c r="C63" s="431" t="s">
        <v>2803</v>
      </c>
      <c r="D63" s="968">
        <f>'Preview Term'!F31</f>
        <v>22374269</v>
      </c>
      <c r="G63" s="548"/>
      <c r="I63" s="548"/>
    </row>
    <row r="64" spans="1:10" ht="3" customHeight="1">
      <c r="D64" s="606"/>
      <c r="G64" s="548"/>
      <c r="H64" s="607"/>
      <c r="I64" s="548"/>
    </row>
    <row r="65" spans="1:10" ht="12" customHeight="1">
      <c r="A65" s="431" t="s">
        <v>2804</v>
      </c>
      <c r="C65" s="431" t="s">
        <v>2806</v>
      </c>
      <c r="D65" s="600" t="s">
        <v>905</v>
      </c>
      <c r="G65" s="548"/>
      <c r="I65" s="548"/>
    </row>
    <row r="66" spans="1:10" ht="3" customHeight="1">
      <c r="D66" s="606"/>
      <c r="G66" s="548"/>
      <c r="H66" s="548"/>
      <c r="I66" s="548"/>
    </row>
    <row r="67" spans="1:10" ht="12" customHeight="1">
      <c r="A67" s="431" t="s">
        <v>2807</v>
      </c>
      <c r="C67" s="969" t="s">
        <v>1641</v>
      </c>
      <c r="D67" s="606"/>
      <c r="I67" s="548"/>
    </row>
    <row r="68" spans="1:10" ht="12" customHeight="1">
      <c r="C68" s="431" t="s">
        <v>2808</v>
      </c>
      <c r="D68" s="1000" t="s">
        <v>1641</v>
      </c>
      <c r="I68" s="548"/>
    </row>
    <row r="69" spans="1:10" ht="12" customHeight="1">
      <c r="C69" s="431" t="s">
        <v>2775</v>
      </c>
      <c r="D69" s="4821"/>
      <c r="E69" s="4821"/>
      <c r="F69" s="4821"/>
      <c r="G69" s="4821"/>
      <c r="H69" s="4821"/>
      <c r="I69" s="4821"/>
      <c r="J69" s="4821"/>
    </row>
    <row r="70" spans="1:10" ht="3" customHeight="1">
      <c r="D70" s="606"/>
      <c r="E70" s="548"/>
      <c r="F70" s="548"/>
      <c r="I70" s="548"/>
    </row>
    <row r="71" spans="1:10" ht="12" customHeight="1">
      <c r="A71" s="431" t="s">
        <v>2809</v>
      </c>
      <c r="C71" s="431" t="s">
        <v>2212</v>
      </c>
      <c r="D71" s="612" t="s">
        <v>1641</v>
      </c>
      <c r="I71" s="548"/>
    </row>
    <row r="72" spans="1:10" ht="3" customHeight="1">
      <c r="D72" s="548"/>
      <c r="E72" s="548"/>
      <c r="I72" s="548"/>
    </row>
    <row r="73" spans="1:10" ht="12" customHeight="1">
      <c r="A73" s="431" t="s">
        <v>2810</v>
      </c>
      <c r="C73" s="969" t="s">
        <v>1641</v>
      </c>
      <c r="I73" s="548"/>
    </row>
    <row r="74" spans="1:10" ht="3" customHeight="1">
      <c r="C74" s="606"/>
      <c r="G74" s="548"/>
      <c r="H74" s="548"/>
      <c r="I74" s="548"/>
    </row>
    <row r="75" spans="1:10" ht="12" customHeight="1">
      <c r="A75" s="431" t="s">
        <v>2811</v>
      </c>
      <c r="C75" s="606" t="s">
        <v>2812</v>
      </c>
      <c r="D75" s="971">
        <v>0</v>
      </c>
      <c r="J75" s="548"/>
    </row>
    <row r="76" spans="1:10" ht="12" customHeight="1">
      <c r="C76" s="608" t="s">
        <v>2906</v>
      </c>
      <c r="D76" s="972">
        <v>0.01</v>
      </c>
      <c r="J76" s="548"/>
    </row>
    <row r="77" spans="1:10" ht="3" customHeight="1">
      <c r="C77" s="606"/>
      <c r="D77" s="606"/>
      <c r="G77" s="548"/>
      <c r="H77" s="548"/>
      <c r="I77" s="548"/>
    </row>
    <row r="78" spans="1:10" ht="12" customHeight="1">
      <c r="A78" s="431" t="s">
        <v>2813</v>
      </c>
      <c r="C78" s="606" t="s">
        <v>3049</v>
      </c>
      <c r="D78" s="610">
        <v>24</v>
      </c>
      <c r="I78" s="548"/>
    </row>
    <row r="79" spans="1:10" ht="3" customHeight="1">
      <c r="D79" s="606"/>
      <c r="E79" s="548"/>
      <c r="F79" s="548"/>
      <c r="I79" s="548"/>
    </row>
    <row r="80" spans="1:10" ht="12" customHeight="1">
      <c r="A80" s="431" t="s">
        <v>2814</v>
      </c>
      <c r="C80" s="431" t="s">
        <v>2212</v>
      </c>
      <c r="D80" s="610">
        <f>'Preview Term'!F40</f>
        <v>204</v>
      </c>
      <c r="E80" s="548" t="s">
        <v>3030</v>
      </c>
      <c r="I80" s="548"/>
    </row>
    <row r="81" spans="1:9" ht="3" customHeight="1">
      <c r="D81" s="606"/>
      <c r="G81" s="548"/>
      <c r="H81" s="548"/>
      <c r="I81" s="548"/>
    </row>
    <row r="82" spans="1:9" ht="12" customHeight="1">
      <c r="A82" s="431" t="s">
        <v>2815</v>
      </c>
      <c r="D82" s="970">
        <v>0</v>
      </c>
      <c r="E82" s="611">
        <f>D82*12</f>
        <v>0</v>
      </c>
      <c r="F82" s="548" t="s">
        <v>3050</v>
      </c>
    </row>
    <row r="83" spans="1:9" ht="3" customHeight="1">
      <c r="D83" s="600"/>
      <c r="E83" s="548"/>
      <c r="G83" s="548"/>
    </row>
    <row r="84" spans="1:9" ht="12" customHeight="1">
      <c r="A84" s="431" t="s">
        <v>2816</v>
      </c>
      <c r="D84" s="1000" t="s">
        <v>905</v>
      </c>
      <c r="E84" s="548" t="s">
        <v>4060</v>
      </c>
      <c r="G84" s="548"/>
    </row>
    <row r="85" spans="1:9" ht="3" customHeight="1">
      <c r="G85" s="548"/>
      <c r="H85" s="548"/>
      <c r="I85" s="548"/>
    </row>
    <row r="86" spans="1:9" ht="12" customHeight="1">
      <c r="A86" s="431" t="s">
        <v>2817</v>
      </c>
      <c r="C86" s="1463">
        <f>'Subsidy Layering Memo'!L70</f>
        <v>5541591.4364955556</v>
      </c>
      <c r="D86" s="613" t="s">
        <v>3028</v>
      </c>
      <c r="I86" s="548"/>
    </row>
    <row r="87" spans="1:9" ht="3" customHeight="1">
      <c r="C87" s="548" t="s">
        <v>1641</v>
      </c>
      <c r="D87" s="548"/>
      <c r="E87" s="548"/>
      <c r="I87" s="548"/>
    </row>
    <row r="88" spans="1:9" ht="12" customHeight="1">
      <c r="A88" s="431" t="s">
        <v>2818</v>
      </c>
      <c r="B88" s="614"/>
      <c r="C88" s="969" t="s">
        <v>1641</v>
      </c>
      <c r="D88" s="974"/>
      <c r="I88" s="548"/>
    </row>
    <row r="89" spans="1:9" ht="3" customHeight="1">
      <c r="G89" s="548"/>
      <c r="H89" s="548"/>
      <c r="I89" s="548"/>
    </row>
    <row r="90" spans="1:9" ht="12" customHeight="1">
      <c r="A90" s="431" t="s">
        <v>2819</v>
      </c>
      <c r="C90" s="606" t="s">
        <v>2820</v>
      </c>
      <c r="D90" s="600" t="s">
        <v>2751</v>
      </c>
      <c r="I90" s="548"/>
    </row>
    <row r="91" spans="1:9" ht="12" customHeight="1">
      <c r="C91" s="606" t="s">
        <v>2821</v>
      </c>
      <c r="D91" s="600" t="s">
        <v>905</v>
      </c>
      <c r="I91" s="548"/>
    </row>
    <row r="92" spans="1:9" ht="3" customHeight="1">
      <c r="G92" s="548"/>
      <c r="H92" s="548"/>
      <c r="I92" s="548"/>
    </row>
    <row r="93" spans="1:9" ht="12" customHeight="1">
      <c r="A93" s="431" t="s">
        <v>2822</v>
      </c>
      <c r="C93" s="606" t="s">
        <v>2812</v>
      </c>
      <c r="D93" s="548" t="s">
        <v>2823</v>
      </c>
      <c r="E93" s="606" t="str">
        <f>'Part II-Sources of Funds'!G24</f>
        <v>Keybank - Construction Loan</v>
      </c>
      <c r="I93" s="548"/>
    </row>
    <row r="94" spans="1:9" ht="12" customHeight="1">
      <c r="C94" s="606"/>
      <c r="D94" s="548"/>
      <c r="E94" s="606" t="s">
        <v>1665</v>
      </c>
      <c r="F94" s="4816"/>
      <c r="G94" s="4816"/>
      <c r="H94" s="4816"/>
      <c r="I94" s="548"/>
    </row>
    <row r="95" spans="1:9" ht="12" customHeight="1">
      <c r="C95" s="606"/>
      <c r="D95" s="548"/>
      <c r="E95" s="606" t="s">
        <v>1835</v>
      </c>
      <c r="F95" s="4826"/>
      <c r="G95" s="4826"/>
      <c r="H95" s="4826"/>
      <c r="I95" s="548"/>
    </row>
    <row r="96" spans="1:9" ht="12" customHeight="1">
      <c r="C96" s="606"/>
      <c r="D96" s="548"/>
      <c r="E96" s="606" t="s">
        <v>1667</v>
      </c>
      <c r="F96" s="4819"/>
      <c r="G96" s="4819"/>
      <c r="H96" s="4819"/>
      <c r="I96" s="548"/>
    </row>
    <row r="97" spans="1:10" ht="12" customHeight="1">
      <c r="B97" s="601"/>
      <c r="C97" s="608" t="s">
        <v>2906</v>
      </c>
      <c r="D97" s="548" t="s">
        <v>2823</v>
      </c>
      <c r="E97" s="606" t="str">
        <f>'Part II-Sources of Funds'!E42</f>
        <v>Keybank-Freddie TEL</v>
      </c>
      <c r="I97" s="548"/>
    </row>
    <row r="98" spans="1:10" ht="12" customHeight="1">
      <c r="C98" s="606"/>
      <c r="D98" s="548"/>
      <c r="E98" s="606" t="s">
        <v>1665</v>
      </c>
      <c r="F98" s="4816"/>
      <c r="G98" s="4816"/>
      <c r="H98" s="4816"/>
      <c r="I98" s="548"/>
    </row>
    <row r="99" spans="1:10" ht="12" customHeight="1">
      <c r="C99" s="606"/>
      <c r="D99" s="548"/>
      <c r="E99" s="606" t="s">
        <v>1835</v>
      </c>
      <c r="F99" s="4826"/>
      <c r="G99" s="4826"/>
      <c r="H99" s="4826"/>
      <c r="I99" s="548"/>
    </row>
    <row r="100" spans="1:10" ht="12" customHeight="1">
      <c r="C100" s="606"/>
      <c r="D100" s="548"/>
      <c r="E100" s="606" t="s">
        <v>1667</v>
      </c>
      <c r="F100" s="4819"/>
      <c r="G100" s="4819"/>
      <c r="H100" s="4819"/>
      <c r="I100" s="548"/>
    </row>
    <row r="101" spans="1:10" ht="3" customHeight="1">
      <c r="D101" s="615"/>
      <c r="G101" s="548"/>
      <c r="H101" s="548"/>
      <c r="I101" s="548"/>
    </row>
    <row r="102" spans="1:10" ht="12" customHeight="1">
      <c r="A102" s="431" t="s">
        <v>2824</v>
      </c>
      <c r="D102" s="1000">
        <f>'Part VIII Scoring Criteria OLD'!O265</f>
        <v>0</v>
      </c>
      <c r="E102" s="548" t="s">
        <v>2805</v>
      </c>
      <c r="G102" s="431">
        <f>'Part VIII Scoring Criteria OLD'!O261</f>
        <v>0</v>
      </c>
      <c r="H102" s="431" t="s">
        <v>3029</v>
      </c>
      <c r="I102" s="548"/>
    </row>
    <row r="103" spans="1:10" ht="3" customHeight="1">
      <c r="E103" s="548"/>
      <c r="F103" s="548"/>
      <c r="I103" s="548"/>
    </row>
    <row r="104" spans="1:10" ht="12" customHeight="1">
      <c r="A104" s="548" t="s">
        <v>2907</v>
      </c>
      <c r="D104" s="431" t="s">
        <v>905</v>
      </c>
      <c r="E104" s="548"/>
      <c r="I104" s="548"/>
    </row>
    <row r="105" spans="1:10" ht="6" customHeight="1">
      <c r="G105" s="548"/>
      <c r="H105" s="548"/>
      <c r="I105" s="548"/>
    </row>
    <row r="106" spans="1:10" ht="12" customHeight="1">
      <c r="A106" s="599" t="s">
        <v>2908</v>
      </c>
      <c r="I106" s="548"/>
    </row>
    <row r="107" spans="1:10" ht="12" customHeight="1">
      <c r="A107" s="431" t="s">
        <v>2825</v>
      </c>
      <c r="C107" s="973" t="s">
        <v>1641</v>
      </c>
      <c r="D107" s="4827"/>
      <c r="E107" s="4827"/>
      <c r="F107" s="4827"/>
      <c r="G107" s="4827"/>
      <c r="H107" s="4827"/>
      <c r="I107" s="4827"/>
      <c r="J107" s="4828"/>
    </row>
    <row r="108" spans="1:10" ht="3" customHeight="1">
      <c r="C108" s="606"/>
      <c r="D108" s="548"/>
      <c r="I108" s="548"/>
    </row>
    <row r="109" spans="1:10" ht="12" customHeight="1">
      <c r="A109" s="431" t="s">
        <v>2826</v>
      </c>
      <c r="C109" s="1000" t="s">
        <v>1641</v>
      </c>
    </row>
    <row r="110" spans="1:10" ht="3" customHeight="1">
      <c r="C110" s="606"/>
      <c r="E110" s="548"/>
      <c r="F110" s="548"/>
      <c r="I110" s="548"/>
    </row>
    <row r="111" spans="1:10" ht="12" customHeight="1">
      <c r="A111" s="431" t="s">
        <v>2827</v>
      </c>
      <c r="C111" s="1000" t="s">
        <v>1641</v>
      </c>
      <c r="I111" s="548"/>
    </row>
    <row r="112" spans="1:10" ht="3" customHeight="1">
      <c r="D112" s="602"/>
      <c r="I112" s="548"/>
    </row>
    <row r="113" spans="1:10" ht="12" customHeight="1">
      <c r="A113" s="431" t="s">
        <v>2828</v>
      </c>
      <c r="D113" s="610">
        <v>24</v>
      </c>
      <c r="E113" s="548" t="s">
        <v>2829</v>
      </c>
      <c r="I113" s="548"/>
    </row>
    <row r="114" spans="1:10" ht="12" customHeight="1">
      <c r="C114" s="600" t="s">
        <v>4061</v>
      </c>
      <c r="I114" s="548"/>
    </row>
    <row r="115" spans="1:10" ht="12" customHeight="1">
      <c r="C115" s="600" t="s">
        <v>4062</v>
      </c>
      <c r="G115" s="548"/>
      <c r="I115" s="548"/>
    </row>
    <row r="116" spans="1:10" ht="3" customHeight="1">
      <c r="G116" s="548"/>
      <c r="H116" s="548"/>
      <c r="I116" s="548"/>
    </row>
    <row r="117" spans="1:10" ht="12" customHeight="1">
      <c r="A117" s="431" t="s">
        <v>2830</v>
      </c>
      <c r="D117" s="616">
        <v>0</v>
      </c>
      <c r="E117" s="617" t="s">
        <v>2831</v>
      </c>
      <c r="I117" s="548"/>
    </row>
    <row r="118" spans="1:10" ht="3" customHeight="1">
      <c r="D118" s="606"/>
      <c r="E118" s="548"/>
      <c r="F118" s="548"/>
      <c r="I118" s="548"/>
    </row>
    <row r="119" spans="1:10" ht="12" customHeight="1">
      <c r="A119" s="431" t="s">
        <v>2832</v>
      </c>
      <c r="C119" s="969" t="s">
        <v>1641</v>
      </c>
      <c r="D119" s="606"/>
      <c r="I119" s="548"/>
    </row>
    <row r="120" spans="1:10" ht="12" customHeight="1">
      <c r="C120" s="548" t="s">
        <v>2833</v>
      </c>
      <c r="D120" s="609"/>
      <c r="E120" s="4830" t="s">
        <v>4063</v>
      </c>
      <c r="F120" s="4830"/>
      <c r="G120" s="4830"/>
      <c r="H120" s="4830"/>
      <c r="I120" s="4830"/>
      <c r="J120" s="4830"/>
    </row>
    <row r="121" spans="1:10" ht="12" customHeight="1">
      <c r="C121" s="548" t="s">
        <v>2834</v>
      </c>
      <c r="D121" s="975"/>
      <c r="E121" s="4830"/>
      <c r="F121" s="4830"/>
      <c r="G121" s="4830"/>
      <c r="H121" s="4830"/>
      <c r="I121" s="4830"/>
      <c r="J121" s="4830"/>
    </row>
    <row r="122" spans="1:10" ht="12" customHeight="1">
      <c r="C122" s="548" t="s">
        <v>2835</v>
      </c>
      <c r="D122" s="975"/>
      <c r="E122" s="4830"/>
      <c r="F122" s="4830"/>
      <c r="G122" s="4830"/>
      <c r="H122" s="4830"/>
      <c r="I122" s="4830"/>
      <c r="J122" s="4830"/>
    </row>
    <row r="123" spans="1:10" ht="12" customHeight="1">
      <c r="C123" s="548" t="s">
        <v>2835</v>
      </c>
      <c r="D123" s="975"/>
      <c r="E123" s="4830"/>
      <c r="F123" s="4830"/>
      <c r="G123" s="4830"/>
      <c r="H123" s="4830"/>
      <c r="I123" s="4830"/>
      <c r="J123" s="4830"/>
    </row>
    <row r="124" spans="1:10" ht="3" customHeight="1">
      <c r="E124" s="548"/>
      <c r="F124" s="548"/>
      <c r="I124" s="548"/>
    </row>
    <row r="125" spans="1:10" ht="12" customHeight="1">
      <c r="A125" s="431" t="s">
        <v>2836</v>
      </c>
      <c r="D125" s="611" t="s">
        <v>2805</v>
      </c>
      <c r="I125" s="548"/>
    </row>
    <row r="126" spans="1:10" ht="3" customHeight="1">
      <c r="D126" s="548"/>
      <c r="I126" s="548"/>
    </row>
    <row r="127" spans="1:10" ht="12" customHeight="1">
      <c r="A127" s="431" t="s">
        <v>2837</v>
      </c>
      <c r="D127" s="548" t="s">
        <v>2805</v>
      </c>
      <c r="I127" s="548"/>
    </row>
    <row r="128" spans="1:10" ht="3" customHeight="1">
      <c r="G128" s="548"/>
      <c r="H128" s="548"/>
      <c r="I128" s="548"/>
    </row>
    <row r="129" spans="1:10" ht="12" customHeight="1">
      <c r="A129" s="431" t="s">
        <v>2838</v>
      </c>
      <c r="D129" s="548" t="s">
        <v>2839</v>
      </c>
      <c r="G129" s="548"/>
      <c r="I129" s="548"/>
    </row>
    <row r="130" spans="1:10" ht="7.5" customHeight="1">
      <c r="G130" s="548"/>
      <c r="H130" s="548"/>
      <c r="I130" s="548"/>
    </row>
    <row r="131" spans="1:10" ht="12" customHeight="1">
      <c r="A131" s="599" t="s">
        <v>2840</v>
      </c>
      <c r="G131" s="548"/>
      <c r="H131" s="548"/>
      <c r="I131" s="548"/>
    </row>
    <row r="132" spans="1:10" ht="12" customHeight="1">
      <c r="A132" s="431" t="s">
        <v>2841</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2842</v>
      </c>
      <c r="C135" s="618">
        <f>('Part III-A-Uses of Funds'!G127-'Part II-Sources of Funds'!I47)/2</f>
        <v>906693</v>
      </c>
      <c r="G135" s="548"/>
      <c r="I135" s="548"/>
    </row>
    <row r="136" spans="1:10" ht="3" customHeight="1">
      <c r="C136" s="548"/>
      <c r="G136" s="548"/>
      <c r="I136" s="548"/>
    </row>
    <row r="137" spans="1:10" ht="12" customHeight="1">
      <c r="A137" s="431" t="s">
        <v>2843</v>
      </c>
      <c r="C137" s="1000" t="s">
        <v>2844</v>
      </c>
      <c r="G137" s="548"/>
      <c r="I137" s="548"/>
    </row>
    <row r="138" spans="1:10" ht="3" customHeight="1">
      <c r="C138" s="600"/>
      <c r="G138" s="548"/>
      <c r="I138" s="548"/>
    </row>
    <row r="139" spans="1:10" ht="12" customHeight="1">
      <c r="A139" s="431" t="s">
        <v>2845</v>
      </c>
      <c r="C139" s="600">
        <f>'Preview Term'!E20</f>
        <v>0</v>
      </c>
      <c r="G139" s="548"/>
      <c r="I139" s="548"/>
      <c r="J139" s="619"/>
    </row>
    <row r="140" spans="1:10" ht="3" customHeight="1">
      <c r="C140" s="600"/>
      <c r="G140" s="548"/>
      <c r="I140" s="548"/>
    </row>
    <row r="141" spans="1:10" ht="12" customHeight="1">
      <c r="A141" s="431" t="s">
        <v>2846</v>
      </c>
      <c r="C141" s="600">
        <f>C8</f>
        <v>0</v>
      </c>
      <c r="G141" s="548"/>
      <c r="I141" s="548"/>
    </row>
    <row r="142" spans="1:10" ht="3" customHeight="1">
      <c r="C142" s="600"/>
      <c r="G142" s="548"/>
      <c r="I142" s="548"/>
    </row>
    <row r="143" spans="1:10" ht="12" customHeight="1">
      <c r="A143" s="431" t="s">
        <v>2847</v>
      </c>
      <c r="C143" s="600">
        <f>C18</f>
        <v>0</v>
      </c>
      <c r="G143" s="548"/>
      <c r="I143" s="548"/>
    </row>
    <row r="144" spans="1:10" ht="13">
      <c r="C144" s="600">
        <f>C19</f>
        <v>0</v>
      </c>
      <c r="G144" s="548"/>
      <c r="I144" s="548"/>
    </row>
    <row r="145" spans="1:10" ht="3" customHeight="1">
      <c r="C145" s="548"/>
      <c r="G145" s="548"/>
      <c r="I145" s="548"/>
    </row>
    <row r="146" spans="1:10" ht="12" customHeight="1">
      <c r="A146" s="431" t="s">
        <v>2848</v>
      </c>
      <c r="C146" s="600">
        <f>'Sensitivity Analysis'!H10</f>
        <v>0</v>
      </c>
      <c r="G146" s="548"/>
      <c r="I146" s="548"/>
      <c r="J146" s="619"/>
    </row>
    <row r="147" spans="1:10" ht="3" customHeight="1">
      <c r="C147" s="600"/>
      <c r="G147" s="548"/>
      <c r="I147" s="548"/>
    </row>
    <row r="148" spans="1:10" ht="12" customHeight="1">
      <c r="A148" s="431" t="s">
        <v>2849</v>
      </c>
      <c r="C148" s="600">
        <f>'Sensitivity Analysis'!K10</f>
        <v>0</v>
      </c>
      <c r="G148" s="548"/>
      <c r="I148" s="548"/>
      <c r="J148" s="619"/>
    </row>
    <row r="149" spans="1:10" ht="3" customHeight="1">
      <c r="C149" s="548"/>
      <c r="G149" s="548"/>
      <c r="I149" s="548"/>
    </row>
    <row r="150" spans="1:10" ht="12" customHeight="1">
      <c r="A150" s="431" t="s">
        <v>2850</v>
      </c>
      <c r="C150" s="548" t="s">
        <v>2805</v>
      </c>
      <c r="G150" s="548"/>
      <c r="I150" s="548"/>
    </row>
    <row r="151" spans="1:10" ht="3" customHeight="1">
      <c r="C151" s="548"/>
      <c r="G151" s="548"/>
      <c r="I151" s="548"/>
    </row>
    <row r="152" spans="1:10" ht="12" customHeight="1">
      <c r="A152" s="431" t="s">
        <v>2851</v>
      </c>
      <c r="C152" s="548" t="s">
        <v>2805</v>
      </c>
      <c r="G152" s="548"/>
      <c r="I152" s="548"/>
    </row>
    <row r="153" spans="1:10" ht="7.5" customHeight="1">
      <c r="G153" s="548"/>
      <c r="H153" s="548"/>
      <c r="I153" s="548"/>
    </row>
    <row r="154" spans="1:10" ht="12" customHeight="1">
      <c r="A154" s="599" t="s">
        <v>2852</v>
      </c>
      <c r="G154" s="548"/>
      <c r="H154" s="548"/>
      <c r="I154" s="548"/>
    </row>
    <row r="155" spans="1:10" ht="3" customHeight="1">
      <c r="D155" s="548"/>
      <c r="E155" s="548"/>
      <c r="G155" s="548"/>
    </row>
    <row r="156" spans="1:10" ht="12" customHeight="1">
      <c r="A156" s="431" t="s">
        <v>2853</v>
      </c>
      <c r="C156" s="548" t="s">
        <v>3031</v>
      </c>
      <c r="D156" s="548"/>
      <c r="G156" s="548"/>
      <c r="H156" s="548"/>
      <c r="I156" s="548"/>
    </row>
    <row r="157" spans="1:10" ht="3" customHeight="1">
      <c r="D157" s="548"/>
      <c r="E157" s="548"/>
      <c r="G157" s="548"/>
    </row>
    <row r="158" spans="1:10" ht="12" customHeight="1">
      <c r="A158" s="431" t="s">
        <v>2854</v>
      </c>
      <c r="D158" s="1000">
        <v>20</v>
      </c>
      <c r="E158" s="548" t="s">
        <v>2212</v>
      </c>
    </row>
    <row r="159" spans="1:10" ht="3" customHeight="1">
      <c r="D159" s="548"/>
      <c r="E159" s="548"/>
      <c r="G159" s="548"/>
    </row>
    <row r="160" spans="1:10" ht="12" customHeight="1">
      <c r="A160" s="431" t="s">
        <v>2855</v>
      </c>
      <c r="C160" s="969" t="str">
        <f>'Part V-Revenues &amp; Expenses'!$G$6</f>
        <v>&lt;Select&gt;</v>
      </c>
      <c r="D160" s="548" t="s">
        <v>3051</v>
      </c>
      <c r="G160" s="548"/>
    </row>
    <row r="161" spans="1:9" ht="3" customHeight="1">
      <c r="G161" s="548"/>
      <c r="H161" s="548"/>
      <c r="I161" s="548"/>
    </row>
    <row r="162" spans="1:9" ht="12" customHeight="1">
      <c r="A162" s="431" t="s">
        <v>2856</v>
      </c>
      <c r="G162" s="548"/>
      <c r="H162" s="548"/>
      <c r="I162" s="548"/>
    </row>
    <row r="163" spans="1:9" ht="7.5" customHeight="1">
      <c r="G163" s="548"/>
      <c r="H163" s="548"/>
      <c r="I163" s="548"/>
    </row>
    <row r="164" spans="1:9" ht="12" customHeight="1">
      <c r="A164" s="599" t="s">
        <v>2857</v>
      </c>
      <c r="G164" s="548"/>
      <c r="H164" s="548"/>
      <c r="I164" s="548"/>
    </row>
    <row r="165" spans="1:9" ht="12" customHeight="1">
      <c r="A165" s="431" t="s">
        <v>2898</v>
      </c>
      <c r="C165" s="431" t="s">
        <v>2899</v>
      </c>
      <c r="E165" s="612">
        <f>'Preview Term'!F80</f>
        <v>0</v>
      </c>
      <c r="G165" s="548"/>
      <c r="I165" s="548"/>
    </row>
    <row r="166" spans="1:9" ht="12" customHeight="1">
      <c r="C166" s="431" t="s">
        <v>3032</v>
      </c>
      <c r="E166" s="4821"/>
      <c r="F166" s="4821"/>
      <c r="G166" s="4821"/>
      <c r="I166" s="548"/>
    </row>
    <row r="167" spans="1:9" ht="3" customHeight="1">
      <c r="E167" s="548"/>
      <c r="G167" s="548"/>
      <c r="I167" s="548"/>
    </row>
    <row r="168" spans="1:9" ht="12" customHeight="1">
      <c r="A168" s="431" t="s">
        <v>2858</v>
      </c>
      <c r="C168" s="431" t="s">
        <v>2859</v>
      </c>
      <c r="E168" s="618">
        <f>'Preview Term'!F74</f>
        <v>684979</v>
      </c>
      <c r="G168" s="548"/>
      <c r="I168" s="548"/>
    </row>
    <row r="169" spans="1:9" ht="12" customHeight="1">
      <c r="C169" s="431" t="s">
        <v>3032</v>
      </c>
      <c r="E169" s="4821"/>
      <c r="F169" s="4821"/>
      <c r="G169" s="4821"/>
      <c r="I169" s="548"/>
    </row>
    <row r="170" spans="1:9" ht="12" customHeight="1">
      <c r="C170" s="431" t="s">
        <v>2860</v>
      </c>
      <c r="E170" s="600" t="s">
        <v>2508</v>
      </c>
      <c r="G170" s="548"/>
      <c r="I170" s="548"/>
    </row>
    <row r="171" spans="1:9" ht="3" customHeight="1">
      <c r="E171" s="600"/>
      <c r="G171" s="548"/>
      <c r="I171" s="548"/>
    </row>
    <row r="172" spans="1:9" ht="12" customHeight="1">
      <c r="A172" s="431" t="s">
        <v>2900</v>
      </c>
      <c r="C172" s="431" t="s">
        <v>2901</v>
      </c>
      <c r="E172" s="618">
        <f>'Preview Term'!F76</f>
        <v>116000</v>
      </c>
      <c r="G172" s="548"/>
      <c r="I172" s="548"/>
    </row>
    <row r="173" spans="1:9" ht="12" customHeight="1">
      <c r="C173" s="431" t="s">
        <v>2861</v>
      </c>
      <c r="E173" s="618">
        <f>'Preview Term'!F76</f>
        <v>116000</v>
      </c>
      <c r="G173" s="548"/>
      <c r="I173" s="548"/>
    </row>
    <row r="174" spans="1:9" ht="12" customHeight="1">
      <c r="C174" s="431" t="s">
        <v>2862</v>
      </c>
      <c r="E174" s="618">
        <f>'Part V-Revenues &amp; Expenses'!Q256</f>
        <v>46640</v>
      </c>
      <c r="F174" s="548" t="s">
        <v>2863</v>
      </c>
    </row>
    <row r="175" spans="1:9" ht="13">
      <c r="E175" s="618">
        <f>E174/12</f>
        <v>3886.6666666666665</v>
      </c>
      <c r="F175" s="548" t="s">
        <v>2729</v>
      </c>
    </row>
    <row r="176" spans="1:9" ht="12" customHeight="1">
      <c r="C176" s="431" t="s">
        <v>3033</v>
      </c>
      <c r="E176" s="4821"/>
      <c r="F176" s="4821"/>
      <c r="G176" s="4821"/>
      <c r="I176" s="548"/>
    </row>
    <row r="177" spans="1:10" ht="12" customHeight="1">
      <c r="C177" s="431" t="s">
        <v>2864</v>
      </c>
      <c r="E177" s="548" t="s">
        <v>2642</v>
      </c>
      <c r="I177" s="548"/>
    </row>
    <row r="178" spans="1:10" ht="12" customHeight="1">
      <c r="C178" s="431" t="s">
        <v>2865</v>
      </c>
      <c r="E178" s="548" t="s">
        <v>2508</v>
      </c>
      <c r="I178" s="548"/>
    </row>
    <row r="179" spans="1:10" ht="3" customHeight="1">
      <c r="E179" s="548"/>
      <c r="F179" s="548"/>
      <c r="I179" s="548"/>
    </row>
    <row r="180" spans="1:10" ht="12" customHeight="1">
      <c r="A180" s="431" t="s">
        <v>2896</v>
      </c>
      <c r="C180" s="431" t="s">
        <v>2897</v>
      </c>
      <c r="E180" s="612" t="s">
        <v>1641</v>
      </c>
      <c r="I180" s="548"/>
    </row>
    <row r="181" spans="1:10" ht="12" customHeight="1">
      <c r="C181" s="431" t="s">
        <v>2866</v>
      </c>
      <c r="E181" s="612" t="s">
        <v>1641</v>
      </c>
      <c r="F181" s="4821"/>
      <c r="G181" s="4821"/>
      <c r="H181" s="4821"/>
      <c r="I181" s="4821"/>
      <c r="J181" s="4821"/>
    </row>
    <row r="182" spans="1:10" ht="12" customHeight="1">
      <c r="C182" s="431" t="s">
        <v>3034</v>
      </c>
      <c r="E182" s="548" t="s">
        <v>2805</v>
      </c>
      <c r="I182" s="548"/>
    </row>
    <row r="183" spans="1:10" ht="12" customHeight="1">
      <c r="C183" s="431" t="s">
        <v>2867</v>
      </c>
      <c r="E183" s="548" t="s">
        <v>2508</v>
      </c>
      <c r="I183" s="548"/>
    </row>
    <row r="184" spans="1:10" ht="3" customHeight="1">
      <c r="G184" s="548"/>
      <c r="H184" s="548"/>
      <c r="I184" s="548"/>
    </row>
    <row r="185" spans="1:10" ht="12" customHeight="1">
      <c r="A185" s="431" t="s">
        <v>2902</v>
      </c>
      <c r="C185" s="431" t="s">
        <v>2903</v>
      </c>
      <c r="E185" s="618">
        <f>'Preview Term'!F78</f>
        <v>221749</v>
      </c>
      <c r="G185" s="548"/>
      <c r="I185" s="548"/>
    </row>
    <row r="186" spans="1:10" ht="12" customHeight="1">
      <c r="C186" s="431" t="s">
        <v>3032</v>
      </c>
      <c r="E186" s="600">
        <f>E169</f>
        <v>0</v>
      </c>
      <c r="G186" s="548"/>
      <c r="I186" s="548"/>
    </row>
    <row r="187" spans="1:10" ht="12" customHeight="1">
      <c r="C187" s="431" t="s">
        <v>2868</v>
      </c>
      <c r="E187" s="600" t="s">
        <v>2805</v>
      </c>
      <c r="G187" s="548"/>
      <c r="I187" s="548"/>
    </row>
    <row r="188" spans="1:10" ht="3" customHeight="1">
      <c r="E188" s="600"/>
      <c r="G188" s="548"/>
      <c r="I188" s="548"/>
    </row>
    <row r="189" spans="1:10" ht="12" customHeight="1">
      <c r="A189" s="431" t="s">
        <v>2904</v>
      </c>
      <c r="C189" s="431" t="s">
        <v>2905</v>
      </c>
      <c r="E189" s="600" t="s">
        <v>2805</v>
      </c>
      <c r="G189" s="548"/>
      <c r="I189" s="548"/>
    </row>
    <row r="190" spans="1:10" ht="12" customHeight="1">
      <c r="C190" s="431" t="s">
        <v>2859</v>
      </c>
      <c r="E190" s="606"/>
      <c r="G190" s="548"/>
      <c r="H190" s="611"/>
      <c r="I190" s="548"/>
    </row>
    <row r="191" spans="1:10" ht="12" customHeight="1">
      <c r="C191" s="431" t="s">
        <v>3032</v>
      </c>
      <c r="E191" s="606"/>
      <c r="I191" s="600"/>
    </row>
    <row r="192" spans="1:10" ht="12" customHeight="1">
      <c r="C192" s="431" t="s">
        <v>2860</v>
      </c>
      <c r="E192" s="606"/>
      <c r="G192" s="548"/>
      <c r="H192" s="548"/>
      <c r="I192" s="548"/>
    </row>
    <row r="193" spans="1:10" ht="9" customHeight="1">
      <c r="G193" s="548"/>
      <c r="H193" s="548"/>
      <c r="I193" s="548"/>
    </row>
    <row r="194" spans="1:10" ht="12" customHeight="1">
      <c r="A194" s="599" t="s">
        <v>2869</v>
      </c>
      <c r="C194" s="548" t="s">
        <v>2870</v>
      </c>
      <c r="E194" s="548"/>
      <c r="I194" s="548"/>
    </row>
    <row r="195" spans="1:10" ht="9" customHeight="1">
      <c r="E195" s="548"/>
      <c r="F195" s="548"/>
      <c r="I195" s="548"/>
    </row>
    <row r="196" spans="1:10" ht="12" customHeight="1">
      <c r="A196" s="599" t="s">
        <v>2871</v>
      </c>
      <c r="E196" s="548"/>
      <c r="F196" s="548"/>
      <c r="I196" s="548"/>
    </row>
    <row r="197" spans="1:10" ht="12" customHeight="1">
      <c r="A197" s="431" t="s">
        <v>2872</v>
      </c>
      <c r="C197" s="965" t="s">
        <v>1641</v>
      </c>
      <c r="E197" s="548"/>
      <c r="F197" s="548"/>
      <c r="I197" s="548"/>
    </row>
    <row r="198" spans="1:10" ht="3" customHeight="1">
      <c r="G198" s="548"/>
      <c r="H198" s="548"/>
      <c r="I198" s="548"/>
    </row>
    <row r="199" spans="1:10" ht="13">
      <c r="A199" s="603" t="s">
        <v>3036</v>
      </c>
      <c r="B199" s="603"/>
      <c r="C199" s="603"/>
      <c r="D199" s="603"/>
      <c r="E199" s="605" t="s">
        <v>3035</v>
      </c>
      <c r="F199" s="4829">
        <f>'Part VII-Threshold Criteria OLD'!E372</f>
        <v>0</v>
      </c>
      <c r="G199" s="4829"/>
      <c r="H199" s="4829"/>
      <c r="I199" s="4829"/>
      <c r="J199" s="4829"/>
    </row>
    <row r="200" spans="1:10" ht="9" customHeight="1">
      <c r="G200" s="548"/>
      <c r="H200" s="548"/>
      <c r="I200" s="548"/>
    </row>
    <row r="201" spans="1:10" ht="12" customHeight="1">
      <c r="A201" s="620" t="s">
        <v>2895</v>
      </c>
      <c r="G201" s="548"/>
      <c r="H201" s="548"/>
      <c r="I201" s="611"/>
    </row>
    <row r="202" spans="1:10" ht="25.5" hidden="1" customHeight="1">
      <c r="A202" s="4822" t="str">
        <f>'Subsidy Layering Memo'!A105</f>
        <v>Include any reserve requirements; explain any reserves far in excess of 6 month ODR, 3 mo lease up, 1 year RR, 6 mo T&amp;I standards.</v>
      </c>
      <c r="B202" s="4822"/>
      <c r="C202" s="4822"/>
      <c r="D202" s="4822"/>
      <c r="E202" s="4822"/>
      <c r="F202" s="4822"/>
      <c r="G202" s="4822"/>
      <c r="H202" s="4822"/>
      <c r="I202" s="4822"/>
      <c r="J202" s="4822"/>
    </row>
    <row r="203" spans="1:10" ht="13">
      <c r="A203" s="548"/>
      <c r="G203" s="548"/>
      <c r="H203" s="548"/>
      <c r="I203" s="548"/>
    </row>
    <row r="204" spans="1:10" s="512" customFormat="1" ht="14">
      <c r="A204" s="518" t="s">
        <v>4050</v>
      </c>
    </row>
    <row r="205" spans="1:10" s="512" customFormat="1" ht="14.25" customHeight="1">
      <c r="A205" s="47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5"/>
      <c r="C205" s="4795"/>
      <c r="D205" s="4795"/>
      <c r="E205" s="4795"/>
      <c r="F205" s="4795"/>
      <c r="G205" s="4795"/>
      <c r="H205" s="4795"/>
      <c r="I205" s="4795"/>
      <c r="J205" s="4795"/>
    </row>
    <row r="206" spans="1:10" s="512" customFormat="1" ht="14.25" customHeight="1">
      <c r="A206" s="4795"/>
      <c r="B206" s="4795"/>
      <c r="C206" s="4795"/>
      <c r="D206" s="4795"/>
      <c r="E206" s="4795"/>
      <c r="F206" s="4795"/>
      <c r="G206" s="4795"/>
      <c r="H206" s="4795"/>
      <c r="I206" s="4795"/>
      <c r="J206" s="4795"/>
    </row>
    <row r="207" spans="1:10" s="512" customFormat="1" ht="6.75" customHeight="1">
      <c r="A207" s="4795"/>
      <c r="B207" s="4795"/>
      <c r="C207" s="4795"/>
      <c r="D207" s="4795"/>
      <c r="E207" s="4795"/>
      <c r="F207" s="4795"/>
      <c r="G207" s="4795"/>
      <c r="H207" s="4795"/>
      <c r="I207" s="4795"/>
      <c r="J207" s="4795"/>
    </row>
    <row r="208" spans="1:10" s="512" customFormat="1" ht="21.75" customHeight="1">
      <c r="A208" s="4795"/>
      <c r="B208" s="4795"/>
      <c r="C208" s="4795"/>
      <c r="D208" s="4795"/>
      <c r="E208" s="4795"/>
      <c r="F208" s="4795"/>
      <c r="G208" s="4795"/>
      <c r="H208" s="4795"/>
      <c r="I208" s="4795"/>
      <c r="J208" s="4795"/>
    </row>
    <row r="209" spans="1:10" s="512" customFormat="1" ht="20.25" customHeight="1">
      <c r="A209" s="4795"/>
      <c r="B209" s="4795"/>
      <c r="C209" s="4795"/>
      <c r="D209" s="4795"/>
      <c r="E209" s="4795"/>
      <c r="F209" s="4795"/>
      <c r="G209" s="4795"/>
      <c r="H209" s="4795"/>
      <c r="I209" s="4795"/>
      <c r="J209" s="4795"/>
    </row>
    <row r="210" spans="1:10" s="512" customFormat="1" ht="54.75" customHeight="1">
      <c r="A210" s="4795"/>
      <c r="B210" s="4795"/>
      <c r="C210" s="4795"/>
      <c r="D210" s="4795"/>
      <c r="E210" s="4795"/>
      <c r="F210" s="4795"/>
      <c r="G210" s="4795"/>
      <c r="H210" s="4795"/>
      <c r="I210" s="4795"/>
      <c r="J210" s="4795"/>
    </row>
    <row r="211" spans="1:10" s="512" customFormat="1" ht="0.75" hidden="1" customHeight="1">
      <c r="A211" s="4795"/>
      <c r="B211" s="4795"/>
      <c r="C211" s="4795"/>
      <c r="D211" s="4795"/>
      <c r="E211" s="4795"/>
      <c r="F211" s="4795"/>
      <c r="G211" s="4795"/>
      <c r="H211" s="4795"/>
      <c r="I211" s="4795"/>
      <c r="J211" s="4795"/>
    </row>
    <row r="212" spans="1:10" s="512" customFormat="1" ht="3.75" hidden="1" customHeight="1">
      <c r="A212" s="4795"/>
      <c r="B212" s="4795"/>
      <c r="C212" s="4795"/>
      <c r="D212" s="4795"/>
      <c r="E212" s="4795"/>
      <c r="F212" s="4795"/>
      <c r="G212" s="4795"/>
      <c r="H212" s="4795"/>
      <c r="I212" s="4795"/>
      <c r="J212" s="4795"/>
    </row>
    <row r="213" spans="1:10" s="512" customFormat="1" ht="5.25" customHeight="1">
      <c r="A213" s="1184"/>
      <c r="B213" s="1184"/>
      <c r="C213" s="1184"/>
      <c r="D213" s="1184"/>
      <c r="E213" s="1184"/>
      <c r="F213" s="1184"/>
      <c r="G213" s="1184"/>
      <c r="H213" s="1184"/>
      <c r="I213" s="1184"/>
      <c r="J213" s="1184"/>
    </row>
    <row r="214" spans="1:10" s="512" customFormat="1" ht="19.5" customHeight="1">
      <c r="A214" s="4794" t="s">
        <v>4053</v>
      </c>
      <c r="B214" s="4794"/>
      <c r="C214" s="4794"/>
      <c r="D214" s="1182"/>
      <c r="E214" s="1182"/>
      <c r="F214" s="1182"/>
      <c r="G214" s="1182"/>
      <c r="H214" s="1182"/>
      <c r="I214" s="1182"/>
      <c r="J214" s="1182"/>
    </row>
    <row r="215" spans="1:10" s="512" customFormat="1" ht="22.5" customHeight="1">
      <c r="A215" s="4776" t="str">
        <f>'Subsidy Layering Memo'!A37</f>
        <v>1)</v>
      </c>
      <c r="B215" s="4776"/>
      <c r="C215" s="4776"/>
      <c r="D215" s="4776"/>
      <c r="E215" s="4776"/>
      <c r="F215" s="4776"/>
      <c r="G215" s="4776"/>
      <c r="H215" s="4776"/>
      <c r="I215" s="4776"/>
      <c r="J215" s="4776"/>
    </row>
    <row r="216" spans="1:10" s="512" customFormat="1" ht="22.5" customHeight="1">
      <c r="A216" s="4776" t="str">
        <f>'Subsidy Layering Memo'!A38</f>
        <v>2)</v>
      </c>
      <c r="B216" s="4776"/>
      <c r="C216" s="4776"/>
      <c r="D216" s="4776"/>
      <c r="E216" s="4776"/>
      <c r="F216" s="4776"/>
      <c r="G216" s="4776"/>
      <c r="H216" s="4776"/>
      <c r="I216" s="4776"/>
      <c r="J216" s="4776"/>
    </row>
    <row r="217" spans="1:10" s="512" customFormat="1" ht="22.5" customHeight="1">
      <c r="A217" s="4776" t="str">
        <f>'Subsidy Layering Memo'!A39</f>
        <v>3)</v>
      </c>
      <c r="B217" s="4776"/>
      <c r="C217" s="4776"/>
      <c r="D217" s="4776"/>
      <c r="E217" s="4776"/>
      <c r="F217" s="4776"/>
      <c r="G217" s="4776"/>
      <c r="H217" s="4776"/>
      <c r="I217" s="4776"/>
      <c r="J217" s="4776"/>
    </row>
    <row r="218" spans="1:10" s="512" customFormat="1" ht="22.5" customHeight="1">
      <c r="A218" s="4776" t="str">
        <f>'Subsidy Layering Memo'!A40</f>
        <v>4)</v>
      </c>
      <c r="B218" s="4776"/>
      <c r="C218" s="4776"/>
      <c r="D218" s="4776"/>
      <c r="E218" s="4776"/>
      <c r="F218" s="4776"/>
      <c r="G218" s="4776"/>
      <c r="H218" s="4776"/>
      <c r="I218" s="4776"/>
      <c r="J218" s="4776"/>
    </row>
    <row r="219" spans="1:10" s="512" customFormat="1" ht="22.5" customHeight="1">
      <c r="A219" s="4776" t="str">
        <f>'Subsidy Layering Memo'!A41</f>
        <v>5)</v>
      </c>
      <c r="B219" s="4776"/>
      <c r="C219" s="4776"/>
      <c r="D219" s="4776"/>
      <c r="E219" s="4776"/>
      <c r="F219" s="4776"/>
      <c r="G219" s="4776"/>
      <c r="H219" s="4776"/>
      <c r="I219" s="4776"/>
      <c r="J219" s="4776"/>
    </row>
    <row r="220" spans="1:10" s="512" customFormat="1" ht="22.5" customHeight="1">
      <c r="A220" s="4776" t="str">
        <f>'Subsidy Layering Memo'!A42</f>
        <v>6)</v>
      </c>
      <c r="B220" s="4776"/>
      <c r="C220" s="4776"/>
      <c r="D220" s="4776"/>
      <c r="E220" s="4776"/>
      <c r="F220" s="4776"/>
      <c r="G220" s="4776"/>
      <c r="H220" s="4776"/>
      <c r="I220" s="4776"/>
      <c r="J220" s="4776"/>
    </row>
    <row r="221" spans="1:10" s="512" customFormat="1" ht="22.5" customHeight="1">
      <c r="A221" s="4776" t="str">
        <f>'Subsidy Layering Memo'!A43</f>
        <v>7)</v>
      </c>
      <c r="B221" s="4776"/>
      <c r="C221" s="4776"/>
      <c r="D221" s="4776"/>
      <c r="E221" s="4776"/>
      <c r="F221" s="4776"/>
      <c r="G221" s="4776"/>
      <c r="H221" s="4776"/>
      <c r="I221" s="4776"/>
      <c r="J221" s="4776"/>
    </row>
    <row r="222" spans="1:10" s="512" customFormat="1" ht="22.5" customHeight="1">
      <c r="A222" s="4776" t="str">
        <f>'Subsidy Layering Memo'!A44</f>
        <v>8)</v>
      </c>
      <c r="B222" s="4776"/>
      <c r="C222" s="4776"/>
      <c r="D222" s="4776"/>
      <c r="E222" s="4776"/>
      <c r="F222" s="4776"/>
      <c r="G222" s="4776"/>
      <c r="H222" s="4776"/>
      <c r="I222" s="4776"/>
      <c r="J222" s="4776"/>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3835</v>
      </c>
      <c r="B1" s="1302"/>
      <c r="C1" s="1302"/>
      <c r="D1" s="1302"/>
      <c r="E1" s="1302"/>
      <c r="F1" s="1302"/>
      <c r="G1" s="1302"/>
      <c r="H1" s="1302"/>
    </row>
    <row r="2" spans="1:11" ht="18.5" thickBot="1">
      <c r="A2" s="1302" t="s">
        <v>3836</v>
      </c>
      <c r="B2" s="1302"/>
      <c r="C2" s="1302"/>
      <c r="D2" s="1302"/>
      <c r="E2" s="1302"/>
      <c r="F2" s="1302"/>
      <c r="G2" s="1302"/>
      <c r="H2" s="1302"/>
    </row>
    <row r="3" spans="1:11" ht="15" customHeight="1" thickBot="1">
      <c r="A3" s="1256" t="s">
        <v>3837</v>
      </c>
      <c r="B3" s="1257"/>
      <c r="C3" s="1258"/>
      <c r="D3" s="4157" t="str">
        <f>'Part I-Project Identification'!F26</f>
        <v>Princeton Court</v>
      </c>
      <c r="E3" s="4158"/>
      <c r="F3" s="4158"/>
      <c r="G3" s="4158"/>
      <c r="H3" s="4158"/>
      <c r="I3" s="4158"/>
      <c r="J3" s="4837" t="s">
        <v>3840</v>
      </c>
      <c r="K3" s="4838"/>
    </row>
    <row r="4" spans="1:11" ht="15" customHeight="1">
      <c r="A4" s="1260" t="s">
        <v>3838</v>
      </c>
      <c r="B4" s="1261"/>
      <c r="C4" s="1262"/>
      <c r="D4" s="4833">
        <f>'Preview Term'!$E$16</f>
        <v>0</v>
      </c>
      <c r="E4" s="4834"/>
      <c r="F4" s="4834"/>
      <c r="G4" s="4834"/>
      <c r="H4" s="4834"/>
      <c r="I4" s="4834"/>
      <c r="J4" s="4163" t="s">
        <v>3879</v>
      </c>
      <c r="K4" s="4164"/>
    </row>
    <row r="5" spans="1:11" ht="15" customHeight="1" thickBot="1">
      <c r="A5" s="1263" t="s">
        <v>3839</v>
      </c>
      <c r="B5" s="1264"/>
      <c r="C5" s="1265"/>
      <c r="D5" s="4835"/>
      <c r="E5" s="4836"/>
      <c r="F5" s="4836"/>
      <c r="G5" s="4836"/>
      <c r="H5" s="4836"/>
      <c r="I5" s="4836"/>
      <c r="J5" s="4165"/>
      <c r="K5" s="4166"/>
    </row>
    <row r="6" spans="1:11" ht="9" customHeight="1" thickBot="1">
      <c r="E6" s="1255"/>
    </row>
    <row r="7" spans="1:11">
      <c r="A7" s="4151" t="s">
        <v>3841</v>
      </c>
      <c r="B7" s="4152"/>
      <c r="C7" s="4152"/>
      <c r="D7" s="4152"/>
      <c r="E7" s="4152"/>
      <c r="F7" s="4152"/>
      <c r="G7" s="4152"/>
      <c r="H7" s="4152"/>
      <c r="I7" s="4152"/>
      <c r="J7" s="4152"/>
      <c r="K7" s="4153"/>
    </row>
    <row r="8" spans="1:11" ht="14.25" customHeight="1">
      <c r="A8" s="1261"/>
      <c r="B8" s="1261"/>
      <c r="C8" s="1293">
        <v>1</v>
      </c>
      <c r="D8" s="1280" t="s">
        <v>3842</v>
      </c>
      <c r="E8" s="1280"/>
      <c r="F8" s="1280"/>
      <c r="G8" s="1280"/>
      <c r="H8" s="1280"/>
      <c r="I8" s="1280"/>
      <c r="J8" s="4860"/>
      <c r="K8" s="4861"/>
    </row>
    <row r="9" spans="1:11" ht="7.15" customHeight="1">
      <c r="A9" s="4173"/>
      <c r="B9" s="4173"/>
      <c r="C9" s="4173"/>
      <c r="D9" s="4174"/>
      <c r="E9" s="4174"/>
      <c r="F9" s="4174"/>
      <c r="G9" s="4174"/>
      <c r="H9" s="4174"/>
      <c r="I9" s="4174"/>
      <c r="J9" s="4174"/>
      <c r="K9" s="1281"/>
    </row>
    <row r="10" spans="1:11">
      <c r="A10" s="4175" t="s">
        <v>3843</v>
      </c>
      <c r="B10" s="4176"/>
      <c r="C10" s="4176"/>
      <c r="D10" s="4176"/>
      <c r="E10" s="4176"/>
      <c r="F10" s="4176"/>
      <c r="G10" s="4176"/>
      <c r="H10" s="4176"/>
      <c r="I10" s="4176"/>
      <c r="J10" s="4176"/>
      <c r="K10" s="4177"/>
    </row>
    <row r="11" spans="1:11" ht="14.25" customHeight="1">
      <c r="A11" s="1261"/>
      <c r="B11" s="1261"/>
      <c r="C11" s="1293">
        <v>2</v>
      </c>
      <c r="D11" s="1280" t="s">
        <v>3844</v>
      </c>
      <c r="E11" s="1282"/>
      <c r="F11" s="1282"/>
      <c r="G11" s="1282"/>
      <c r="H11" s="1282"/>
      <c r="I11" s="1282"/>
      <c r="J11" s="4858"/>
      <c r="K11" s="4859"/>
    </row>
    <row r="12" spans="1:11" ht="7.15" customHeight="1">
      <c r="A12" s="4173"/>
      <c r="B12" s="4173"/>
      <c r="C12" s="4173"/>
      <c r="D12" s="4174"/>
      <c r="E12" s="4174"/>
      <c r="F12" s="4174"/>
      <c r="G12" s="4174"/>
      <c r="H12" s="4174"/>
      <c r="I12" s="4174"/>
      <c r="J12" s="4174"/>
      <c r="K12" s="1283"/>
    </row>
    <row r="13" spans="1:11">
      <c r="A13" s="4175" t="s">
        <v>3845</v>
      </c>
      <c r="B13" s="4176"/>
      <c r="C13" s="4176"/>
      <c r="D13" s="4176"/>
      <c r="E13" s="4176"/>
      <c r="F13" s="4176"/>
      <c r="G13" s="4176"/>
      <c r="H13" s="4176"/>
      <c r="I13" s="4176"/>
      <c r="J13" s="4176"/>
      <c r="K13" s="4177"/>
    </row>
    <row r="14" spans="1:11" ht="14.25" customHeight="1">
      <c r="A14" s="1261"/>
      <c r="B14" s="1261"/>
      <c r="C14" s="1294">
        <v>3</v>
      </c>
      <c r="D14" s="1284" t="s">
        <v>3846</v>
      </c>
      <c r="E14" s="1284"/>
      <c r="F14" s="1284"/>
      <c r="G14" s="1284"/>
      <c r="H14" s="1284"/>
      <c r="I14" s="1284"/>
      <c r="J14" s="4856"/>
      <c r="K14" s="4857"/>
    </row>
    <row r="15" spans="1:11" ht="14.25" customHeight="1">
      <c r="A15" s="1261"/>
      <c r="B15" s="1261"/>
      <c r="C15" s="1295">
        <v>4</v>
      </c>
      <c r="D15" s="1261" t="s">
        <v>3847</v>
      </c>
      <c r="E15" s="1261"/>
      <c r="F15" s="1261"/>
      <c r="G15" s="1261"/>
      <c r="H15" s="1261"/>
      <c r="I15" s="1261"/>
      <c r="J15" s="4854"/>
      <c r="K15" s="4855"/>
    </row>
    <row r="16" spans="1:11" ht="14.25" customHeight="1">
      <c r="A16" s="1261"/>
      <c r="B16" s="1261"/>
      <c r="C16" s="1295">
        <v>5</v>
      </c>
      <c r="D16" s="1261" t="s">
        <v>3848</v>
      </c>
      <c r="E16" s="1261"/>
      <c r="F16" s="1261"/>
      <c r="G16" s="1261"/>
      <c r="H16" s="1261"/>
      <c r="I16" s="1261"/>
      <c r="J16" s="4854"/>
      <c r="K16" s="4855"/>
    </row>
    <row r="17" spans="1:13" ht="14.25" customHeight="1">
      <c r="A17" s="1261"/>
      <c r="B17" s="1261"/>
      <c r="C17" s="1296">
        <v>6</v>
      </c>
      <c r="D17" s="1264" t="s">
        <v>3849</v>
      </c>
      <c r="E17" s="1264"/>
      <c r="F17" s="1264"/>
      <c r="G17" s="1264"/>
      <c r="H17" s="1264"/>
      <c r="I17" s="1264"/>
      <c r="J17" s="4862"/>
      <c r="K17" s="4863"/>
    </row>
    <row r="18" spans="1:13" ht="7.15" customHeight="1">
      <c r="A18" s="4173"/>
      <c r="B18" s="4173"/>
      <c r="C18" s="4173"/>
      <c r="D18" s="4174"/>
      <c r="E18" s="4174"/>
      <c r="F18" s="4174"/>
      <c r="G18" s="4174"/>
      <c r="H18" s="4174"/>
      <c r="I18" s="4174"/>
      <c r="J18" s="4174"/>
      <c r="K18" s="1283"/>
    </row>
    <row r="19" spans="1:13" ht="14.25" customHeight="1">
      <c r="A19" s="1261"/>
      <c r="B19" s="1261"/>
      <c r="C19" s="1294">
        <v>7</v>
      </c>
      <c r="D19" s="1284" t="s">
        <v>3850</v>
      </c>
      <c r="E19" s="1284"/>
      <c r="F19" s="1284"/>
      <c r="G19" s="1284"/>
      <c r="H19" s="1284"/>
      <c r="I19" s="1284"/>
      <c r="J19" s="4169" t="str">
        <f>IF(J17="No",J14-J15,IF(J17="Yes",J14-J15-J16,"Error"))</f>
        <v>Error</v>
      </c>
      <c r="K19" s="4170"/>
    </row>
    <row r="20" spans="1:13" ht="14.25" customHeight="1">
      <c r="A20" s="1261"/>
      <c r="B20" s="1261"/>
      <c r="C20" s="1296">
        <v>8</v>
      </c>
      <c r="D20" s="1264" t="s">
        <v>3851</v>
      </c>
      <c r="E20" s="1264"/>
      <c r="F20" s="1264"/>
      <c r="G20" s="1264"/>
      <c r="H20" s="1264"/>
      <c r="I20" s="1264"/>
      <c r="J20" s="4188" t="e">
        <f>ROUNDDOWN(J19/J8,2)</f>
        <v>#VALUE!</v>
      </c>
      <c r="K20" s="4189"/>
    </row>
    <row r="21" spans="1:13" ht="7.15" customHeight="1">
      <c r="A21" s="4173"/>
      <c r="B21" s="4173"/>
      <c r="C21" s="4173"/>
      <c r="D21" s="4174"/>
      <c r="E21" s="4174"/>
      <c r="F21" s="4174"/>
      <c r="G21" s="4174"/>
      <c r="H21" s="4174"/>
      <c r="I21" s="4174"/>
      <c r="J21" s="4174"/>
      <c r="K21" s="1283"/>
    </row>
    <row r="22" spans="1:13" ht="14.25" customHeight="1" thickBot="1">
      <c r="A22" s="1261"/>
      <c r="B22" s="1261"/>
      <c r="C22" s="1293">
        <v>9</v>
      </c>
      <c r="D22" s="1285" t="s">
        <v>3852</v>
      </c>
      <c r="E22" s="1285"/>
      <c r="F22" s="1285"/>
      <c r="G22" s="1285"/>
      <c r="H22" s="1285"/>
      <c r="I22" s="1285"/>
      <c r="J22" s="4190" t="e">
        <f>J11/J19</f>
        <v>#VALUE!</v>
      </c>
      <c r="K22" s="4191"/>
    </row>
    <row r="23" spans="1:13" ht="9" customHeight="1">
      <c r="A23" s="1270"/>
      <c r="C23" s="1271"/>
      <c r="D23" s="1271"/>
      <c r="E23" s="1271"/>
      <c r="F23" s="1271"/>
      <c r="G23" s="1271"/>
      <c r="H23" s="1271"/>
      <c r="I23" s="1271"/>
      <c r="J23" s="1271"/>
      <c r="K23" s="1272"/>
    </row>
    <row r="24" spans="1:13" ht="18">
      <c r="A24" s="1273" t="s">
        <v>3853</v>
      </c>
      <c r="C24" s="1271"/>
      <c r="D24" s="1271"/>
      <c r="E24" s="1271"/>
      <c r="F24" s="1271"/>
      <c r="G24" s="1271"/>
      <c r="H24" s="1271"/>
      <c r="I24" s="1271"/>
      <c r="J24" s="1271"/>
      <c r="K24" s="1272"/>
    </row>
    <row r="25" spans="1:13" ht="14.25" customHeight="1">
      <c r="A25" s="1325" t="s">
        <v>3884</v>
      </c>
      <c r="C25" s="1271"/>
      <c r="D25" s="1271"/>
      <c r="E25" s="1271"/>
      <c r="F25" s="1271"/>
      <c r="G25" s="1271"/>
      <c r="H25" s="1271"/>
      <c r="I25" s="1271"/>
      <c r="J25" s="1271"/>
      <c r="K25" s="1272"/>
    </row>
    <row r="26" spans="1:13" ht="14.25" customHeight="1">
      <c r="A26" s="1325" t="s">
        <v>3885</v>
      </c>
      <c r="C26" s="1271"/>
      <c r="D26" s="1271"/>
      <c r="E26" s="1271"/>
      <c r="F26" s="1271"/>
      <c r="G26" s="1271"/>
      <c r="H26" s="1271"/>
      <c r="I26" s="1271"/>
      <c r="J26" s="1271"/>
      <c r="K26" s="1272"/>
    </row>
    <row r="27" spans="1:13" ht="14.25" customHeight="1">
      <c r="A27" s="1325" t="s">
        <v>3886</v>
      </c>
      <c r="C27" s="1271"/>
      <c r="D27" s="1271"/>
      <c r="E27" s="1271"/>
      <c r="F27" s="1271"/>
      <c r="G27" s="1271"/>
      <c r="H27" s="1271"/>
      <c r="I27" s="1271"/>
      <c r="J27" s="1271"/>
      <c r="K27" s="1272"/>
    </row>
    <row r="28" spans="1:13" ht="14.25" customHeight="1">
      <c r="A28" s="1325" t="s">
        <v>3887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92" t="s">
        <v>3883</v>
      </c>
      <c r="B30" s="4193"/>
      <c r="C30" s="4193"/>
      <c r="D30" s="4193"/>
      <c r="E30" s="4193"/>
      <c r="F30" s="4193"/>
      <c r="G30" s="4193"/>
      <c r="H30" s="4193"/>
      <c r="I30" s="4193"/>
      <c r="J30" s="4193"/>
      <c r="K30" s="4194"/>
    </row>
    <row r="31" spans="1:13">
      <c r="B31" s="4849" t="s">
        <v>3840</v>
      </c>
      <c r="C31" s="4849"/>
      <c r="D31" s="4849"/>
      <c r="E31" s="4849"/>
      <c r="F31" s="4849"/>
      <c r="G31" s="4196" t="s">
        <v>3854</v>
      </c>
      <c r="H31" s="4197"/>
      <c r="I31" s="4197"/>
      <c r="J31" s="4197"/>
      <c r="K31" s="4198"/>
    </row>
    <row r="32" spans="1:13" ht="56.25" customHeight="1">
      <c r="A32" s="1279"/>
      <c r="B32" s="1297" t="s">
        <v>3882</v>
      </c>
      <c r="C32" s="1298" t="s">
        <v>3878</v>
      </c>
      <c r="D32" s="1298" t="s">
        <v>3877</v>
      </c>
      <c r="E32" s="4199" t="s">
        <v>3996</v>
      </c>
      <c r="F32" s="4200"/>
      <c r="G32" s="1299" t="s">
        <v>3855</v>
      </c>
      <c r="H32" s="1299" t="s">
        <v>3856</v>
      </c>
      <c r="J32" s="1299" t="s">
        <v>3857</v>
      </c>
      <c r="K32" s="1299" t="s">
        <v>3858</v>
      </c>
      <c r="L32" s="4201" t="s">
        <v>3859</v>
      </c>
      <c r="M32" s="4201"/>
    </row>
    <row r="33" spans="2:14" ht="12.75" customHeight="1">
      <c r="B33" s="1400"/>
      <c r="C33" s="1401"/>
      <c r="D33" s="1402"/>
      <c r="E33" s="4841"/>
      <c r="F33" s="4842"/>
      <c r="G33" s="1315" t="e">
        <f t="shared" ref="G33:G51" si="0">$J$22*B33</f>
        <v>#VALUE!</v>
      </c>
      <c r="H33" s="1316" t="e">
        <f>ROUNDUP(G33,0)</f>
        <v>#VALUE!</v>
      </c>
      <c r="I33" s="1317"/>
      <c r="J33" s="1318" t="e">
        <f t="shared" ref="J33:J51" si="1">$J$20*E33</f>
        <v>#VALUE!</v>
      </c>
      <c r="K33" s="1318" t="e">
        <f t="shared" ref="K33:K51" si="2">ROUNDDOWN(J33*H33,0)</f>
        <v>#VALUE!</v>
      </c>
      <c r="L33" s="4201"/>
      <c r="M33" s="4201"/>
    </row>
    <row r="34" spans="2:14" ht="12.75" customHeight="1">
      <c r="B34" s="1403"/>
      <c r="C34" s="1404"/>
      <c r="D34" s="1405"/>
      <c r="E34" s="4843"/>
      <c r="F34" s="4844"/>
      <c r="G34" s="1319" t="e">
        <f t="shared" si="0"/>
        <v>#VALUE!</v>
      </c>
      <c r="H34" s="1320" t="e">
        <f t="shared" ref="H34:H51" si="3">ROUNDUP(G34,0)</f>
        <v>#VALUE!</v>
      </c>
      <c r="I34" s="1317"/>
      <c r="J34" s="1321" t="e">
        <f t="shared" si="1"/>
        <v>#VALUE!</v>
      </c>
      <c r="K34" s="1321" t="e">
        <f t="shared" si="2"/>
        <v>#VALUE!</v>
      </c>
      <c r="L34" s="4201"/>
      <c r="M34" s="4201"/>
    </row>
    <row r="35" spans="2:14" ht="12.75" customHeight="1">
      <c r="B35" s="1403"/>
      <c r="C35" s="1404"/>
      <c r="D35" s="1405"/>
      <c r="E35" s="4843"/>
      <c r="F35" s="4844"/>
      <c r="G35" s="1319" t="e">
        <f t="shared" si="0"/>
        <v>#VALUE!</v>
      </c>
      <c r="H35" s="1320" t="e">
        <f t="shared" si="3"/>
        <v>#VALUE!</v>
      </c>
      <c r="I35" s="1317"/>
      <c r="J35" s="1321" t="e">
        <f t="shared" si="1"/>
        <v>#VALUE!</v>
      </c>
      <c r="K35" s="1321" t="e">
        <f t="shared" si="2"/>
        <v>#VALUE!</v>
      </c>
      <c r="L35" s="4201"/>
      <c r="M35" s="4201"/>
    </row>
    <row r="36" spans="2:14" ht="12.75" customHeight="1">
      <c r="B36" s="1403"/>
      <c r="C36" s="1404"/>
      <c r="D36" s="1405"/>
      <c r="E36" s="4843"/>
      <c r="F36" s="4844"/>
      <c r="G36" s="1319" t="e">
        <f t="shared" si="0"/>
        <v>#VALUE!</v>
      </c>
      <c r="H36" s="1320" t="e">
        <f t="shared" si="3"/>
        <v>#VALUE!</v>
      </c>
      <c r="I36" s="1317"/>
      <c r="J36" s="1321" t="e">
        <f t="shared" si="1"/>
        <v>#VALUE!</v>
      </c>
      <c r="K36" s="1321" t="e">
        <f t="shared" si="2"/>
        <v>#VALUE!</v>
      </c>
      <c r="L36" s="4201"/>
      <c r="M36" s="4201"/>
      <c r="N36" s="1274"/>
    </row>
    <row r="37" spans="2:14" ht="12.75" customHeight="1">
      <c r="B37" s="1403"/>
      <c r="C37" s="1404"/>
      <c r="D37" s="1405"/>
      <c r="E37" s="4843"/>
      <c r="F37" s="4844"/>
      <c r="G37" s="1319" t="e">
        <f t="shared" si="0"/>
        <v>#VALUE!</v>
      </c>
      <c r="H37" s="1320" t="e">
        <f t="shared" si="3"/>
        <v>#VALUE!</v>
      </c>
      <c r="I37" s="1317"/>
      <c r="J37" s="1321" t="e">
        <f t="shared" si="1"/>
        <v>#VALUE!</v>
      </c>
      <c r="K37" s="1321" t="e">
        <f t="shared" si="2"/>
        <v>#VALUE!</v>
      </c>
      <c r="L37" s="4201"/>
      <c r="M37" s="4201"/>
    </row>
    <row r="38" spans="2:14" ht="12.75" customHeight="1">
      <c r="B38" s="1403"/>
      <c r="C38" s="1404"/>
      <c r="D38" s="1405"/>
      <c r="E38" s="4843"/>
      <c r="F38" s="4844"/>
      <c r="G38" s="1319" t="e">
        <f t="shared" si="0"/>
        <v>#VALUE!</v>
      </c>
      <c r="H38" s="1320" t="e">
        <f t="shared" si="3"/>
        <v>#VALUE!</v>
      </c>
      <c r="I38" s="1317"/>
      <c r="J38" s="1321" t="e">
        <f t="shared" si="1"/>
        <v>#VALUE!</v>
      </c>
      <c r="K38" s="1321" t="e">
        <f t="shared" si="2"/>
        <v>#VALUE!</v>
      </c>
      <c r="L38" s="4201"/>
      <c r="M38" s="4201"/>
    </row>
    <row r="39" spans="2:14" ht="12.75" customHeight="1">
      <c r="B39" s="1403"/>
      <c r="C39" s="1404"/>
      <c r="D39" s="1405"/>
      <c r="E39" s="4843"/>
      <c r="F39" s="4844"/>
      <c r="G39" s="1319" t="e">
        <f t="shared" si="0"/>
        <v>#VALUE!</v>
      </c>
      <c r="H39" s="1320" t="e">
        <f t="shared" si="3"/>
        <v>#VALUE!</v>
      </c>
      <c r="I39" s="1317"/>
      <c r="J39" s="1321" t="e">
        <f t="shared" si="1"/>
        <v>#VALUE!</v>
      </c>
      <c r="K39" s="1321" t="e">
        <f t="shared" si="2"/>
        <v>#VALUE!</v>
      </c>
      <c r="L39" s="4201"/>
      <c r="M39" s="4201"/>
    </row>
    <row r="40" spans="2:14" ht="12.75" customHeight="1">
      <c r="B40" s="1403"/>
      <c r="C40" s="1404"/>
      <c r="D40" s="1405"/>
      <c r="E40" s="4843"/>
      <c r="F40" s="4844"/>
      <c r="G40" s="1319" t="e">
        <f t="shared" si="0"/>
        <v>#VALUE!</v>
      </c>
      <c r="H40" s="1320" t="e">
        <f t="shared" si="3"/>
        <v>#VALUE!</v>
      </c>
      <c r="I40" s="1317"/>
      <c r="J40" s="1321" t="e">
        <f t="shared" si="1"/>
        <v>#VALUE!</v>
      </c>
      <c r="K40" s="1321" t="e">
        <f t="shared" si="2"/>
        <v>#VALUE!</v>
      </c>
      <c r="L40" s="4201"/>
      <c r="M40" s="4201"/>
    </row>
    <row r="41" spans="2:14" ht="12.75" customHeight="1">
      <c r="B41" s="1403"/>
      <c r="C41" s="1404"/>
      <c r="D41" s="1405"/>
      <c r="E41" s="4843"/>
      <c r="F41" s="4844"/>
      <c r="G41" s="1319" t="e">
        <f t="shared" si="0"/>
        <v>#VALUE!</v>
      </c>
      <c r="H41" s="1320" t="e">
        <f t="shared" si="3"/>
        <v>#VALUE!</v>
      </c>
      <c r="I41" s="1317"/>
      <c r="J41" s="1321" t="e">
        <f t="shared" si="1"/>
        <v>#VALUE!</v>
      </c>
      <c r="K41" s="1321" t="e">
        <f t="shared" si="2"/>
        <v>#VALUE!</v>
      </c>
      <c r="L41" s="4201"/>
      <c r="M41" s="4201"/>
    </row>
    <row r="42" spans="2:14" ht="12.75" customHeight="1">
      <c r="B42" s="1403"/>
      <c r="C42" s="1404"/>
      <c r="D42" s="1405"/>
      <c r="E42" s="4843"/>
      <c r="F42" s="4844"/>
      <c r="G42" s="1319" t="e">
        <f t="shared" si="0"/>
        <v>#VALUE!</v>
      </c>
      <c r="H42" s="1320" t="e">
        <f>ROUNDUP(G42,0)</f>
        <v>#VALUE!</v>
      </c>
      <c r="I42" s="1317"/>
      <c r="J42" s="1321" t="e">
        <f t="shared" si="1"/>
        <v>#VALUE!</v>
      </c>
      <c r="K42" s="1321" t="e">
        <f t="shared" si="2"/>
        <v>#VALUE!</v>
      </c>
      <c r="L42" s="4201"/>
      <c r="M42" s="4201"/>
    </row>
    <row r="43" spans="2:14" ht="12.75" customHeight="1">
      <c r="B43" s="1403"/>
      <c r="C43" s="1404"/>
      <c r="D43" s="1405"/>
      <c r="E43" s="4843"/>
      <c r="F43" s="4844"/>
      <c r="G43" s="1319" t="e">
        <f t="shared" si="0"/>
        <v>#VALUE!</v>
      </c>
      <c r="H43" s="1320" t="e">
        <f>ROUNDUP(G43,0)</f>
        <v>#VALUE!</v>
      </c>
      <c r="I43" s="1317"/>
      <c r="J43" s="1321" t="e">
        <f t="shared" si="1"/>
        <v>#VALUE!</v>
      </c>
      <c r="K43" s="1321" t="e">
        <f t="shared" si="2"/>
        <v>#VALUE!</v>
      </c>
      <c r="L43" s="4201"/>
      <c r="M43" s="4201"/>
    </row>
    <row r="44" spans="2:14" ht="12.75" customHeight="1">
      <c r="B44" s="1403"/>
      <c r="C44" s="1404"/>
      <c r="D44" s="1405"/>
      <c r="E44" s="4843"/>
      <c r="F44" s="4844"/>
      <c r="G44" s="1319" t="e">
        <f t="shared" si="0"/>
        <v>#VALUE!</v>
      </c>
      <c r="H44" s="1320" t="e">
        <f>ROUNDUP(G44,0)</f>
        <v>#VALUE!</v>
      </c>
      <c r="I44" s="1317"/>
      <c r="J44" s="1321" t="e">
        <f t="shared" si="1"/>
        <v>#VALUE!</v>
      </c>
      <c r="K44" s="1321" t="e">
        <f t="shared" si="2"/>
        <v>#VALUE!</v>
      </c>
      <c r="L44" s="4201"/>
      <c r="M44" s="4201"/>
    </row>
    <row r="45" spans="2:14" ht="12.75" customHeight="1">
      <c r="B45" s="1403"/>
      <c r="C45" s="1404"/>
      <c r="D45" s="1405"/>
      <c r="E45" s="4843"/>
      <c r="F45" s="4844"/>
      <c r="G45" s="1319" t="e">
        <f t="shared" si="0"/>
        <v>#VALUE!</v>
      </c>
      <c r="H45" s="1320" t="e">
        <f>ROUNDUP(G45,0)</f>
        <v>#VALUE!</v>
      </c>
      <c r="I45" s="1317"/>
      <c r="J45" s="1321" t="e">
        <f t="shared" si="1"/>
        <v>#VALUE!</v>
      </c>
      <c r="K45" s="1321" t="e">
        <f t="shared" si="2"/>
        <v>#VALUE!</v>
      </c>
      <c r="L45" s="4201"/>
      <c r="M45" s="4201"/>
    </row>
    <row r="46" spans="2:14" ht="12.75" customHeight="1">
      <c r="B46" s="1403"/>
      <c r="C46" s="1404"/>
      <c r="D46" s="1405"/>
      <c r="E46" s="4843"/>
      <c r="F46" s="4844"/>
      <c r="G46" s="1319" t="e">
        <f t="shared" si="0"/>
        <v>#VALUE!</v>
      </c>
      <c r="H46" s="1320" t="e">
        <f t="shared" si="3"/>
        <v>#VALUE!</v>
      </c>
      <c r="I46" s="1317"/>
      <c r="J46" s="1321" t="e">
        <f t="shared" si="1"/>
        <v>#VALUE!</v>
      </c>
      <c r="K46" s="1321" t="e">
        <f t="shared" si="2"/>
        <v>#VALUE!</v>
      </c>
      <c r="L46" s="4201"/>
      <c r="M46" s="4201"/>
    </row>
    <row r="47" spans="2:14" ht="12.75" customHeight="1">
      <c r="B47" s="1403"/>
      <c r="C47" s="1404"/>
      <c r="D47" s="1405"/>
      <c r="E47" s="4843"/>
      <c r="F47" s="4844"/>
      <c r="G47" s="1319" t="e">
        <f t="shared" si="0"/>
        <v>#VALUE!</v>
      </c>
      <c r="H47" s="1320" t="e">
        <f t="shared" si="3"/>
        <v>#VALUE!</v>
      </c>
      <c r="I47" s="1317"/>
      <c r="J47" s="1321" t="e">
        <f t="shared" si="1"/>
        <v>#VALUE!</v>
      </c>
      <c r="K47" s="1321" t="e">
        <f t="shared" si="2"/>
        <v>#VALUE!</v>
      </c>
      <c r="L47" s="4201"/>
      <c r="M47" s="4201"/>
    </row>
    <row r="48" spans="2:14" ht="12.75" customHeight="1">
      <c r="B48" s="1403"/>
      <c r="C48" s="1404"/>
      <c r="D48" s="1405"/>
      <c r="E48" s="4843"/>
      <c r="F48" s="4844"/>
      <c r="G48" s="1319" t="e">
        <f t="shared" si="0"/>
        <v>#VALUE!</v>
      </c>
      <c r="H48" s="1320" t="e">
        <f>ROUNDUP(G48,0)</f>
        <v>#VALUE!</v>
      </c>
      <c r="I48" s="1317"/>
      <c r="J48" s="1321" t="e">
        <f t="shared" si="1"/>
        <v>#VALUE!</v>
      </c>
      <c r="K48" s="1321" t="e">
        <f t="shared" si="2"/>
        <v>#VALUE!</v>
      </c>
      <c r="L48" s="4201"/>
      <c r="M48" s="4201"/>
    </row>
    <row r="49" spans="1:13" ht="12.75" customHeight="1">
      <c r="B49" s="1403"/>
      <c r="C49" s="1404"/>
      <c r="D49" s="1405"/>
      <c r="E49" s="4843"/>
      <c r="F49" s="4844"/>
      <c r="G49" s="1319" t="e">
        <f t="shared" si="0"/>
        <v>#VALUE!</v>
      </c>
      <c r="H49" s="1320" t="e">
        <f t="shared" si="3"/>
        <v>#VALUE!</v>
      </c>
      <c r="I49" s="1317"/>
      <c r="J49" s="1321" t="e">
        <f t="shared" si="1"/>
        <v>#VALUE!</v>
      </c>
      <c r="K49" s="1321" t="e">
        <f t="shared" si="2"/>
        <v>#VALUE!</v>
      </c>
      <c r="L49" s="4201"/>
      <c r="M49" s="4201"/>
    </row>
    <row r="50" spans="1:13" ht="12.75" customHeight="1">
      <c r="B50" s="1403"/>
      <c r="C50" s="1404"/>
      <c r="D50" s="1405"/>
      <c r="E50" s="4843"/>
      <c r="F50" s="4844"/>
      <c r="G50" s="1319" t="e">
        <f t="shared" si="0"/>
        <v>#VALUE!</v>
      </c>
      <c r="H50" s="1320" t="e">
        <f t="shared" si="3"/>
        <v>#VALUE!</v>
      </c>
      <c r="I50" s="1317"/>
      <c r="J50" s="1321" t="e">
        <f t="shared" si="1"/>
        <v>#VALUE!</v>
      </c>
      <c r="K50" s="1321" t="e">
        <f t="shared" si="2"/>
        <v>#VALUE!</v>
      </c>
      <c r="L50" s="4201"/>
      <c r="M50" s="4201"/>
    </row>
    <row r="51" spans="1:13" ht="12.75" customHeight="1" thickBot="1">
      <c r="B51" s="1406"/>
      <c r="C51" s="1407"/>
      <c r="D51" s="1408"/>
      <c r="E51" s="4852"/>
      <c r="F51" s="4853"/>
      <c r="G51" s="1322" t="e">
        <f t="shared" si="0"/>
        <v>#VALUE!</v>
      </c>
      <c r="H51" s="1323" t="e">
        <f t="shared" si="3"/>
        <v>#VALUE!</v>
      </c>
      <c r="I51" s="1317"/>
      <c r="J51" s="1324" t="e">
        <f t="shared" si="1"/>
        <v>#VALUE!</v>
      </c>
      <c r="K51" s="1324" t="e">
        <f t="shared" si="2"/>
        <v>#VALUE!</v>
      </c>
      <c r="L51" s="4201"/>
      <c r="M51" s="4201"/>
    </row>
    <row r="52" spans="1:13" ht="15" customHeight="1" thickBot="1">
      <c r="B52" s="1290"/>
      <c r="D52" s="1284"/>
      <c r="E52" s="1284"/>
      <c r="F52" s="1284"/>
      <c r="G52" s="1301" t="s">
        <v>3860</v>
      </c>
      <c r="H52" s="1300" t="e">
        <f>SUM(H33:H51)</f>
        <v>#VALUE!</v>
      </c>
      <c r="I52" s="1284"/>
      <c r="J52" s="1290" t="s">
        <v>3861</v>
      </c>
      <c r="K52" s="1286" t="e">
        <f>SUM(K33:K51)</f>
        <v>#VALUE!</v>
      </c>
      <c r="L52" s="4201"/>
      <c r="M52" s="4201"/>
    </row>
    <row r="53" spans="1:13" ht="15" customHeight="1">
      <c r="B53" s="1291"/>
      <c r="C53" s="4206" t="s">
        <v>3862</v>
      </c>
      <c r="D53" s="4206"/>
      <c r="E53" s="4206"/>
      <c r="F53" s="4206"/>
      <c r="G53" s="4206"/>
      <c r="H53" s="4206"/>
      <c r="I53" s="4206"/>
      <c r="J53" s="4207"/>
      <c r="K53" s="1292" t="str">
        <f>IF(J17="no",0,IF(J17="yes",J16,"Error"))</f>
        <v>Error</v>
      </c>
      <c r="L53" s="4201"/>
      <c r="M53" s="4201"/>
    </row>
    <row r="54" spans="1:13" ht="15" customHeight="1" thickBot="1">
      <c r="B54" s="1291"/>
      <c r="C54" s="4210" t="s">
        <v>3863</v>
      </c>
      <c r="D54" s="4210"/>
      <c r="E54" s="4210"/>
      <c r="F54" s="4210"/>
      <c r="G54" s="4210"/>
      <c r="H54" s="4210"/>
      <c r="I54" s="4210"/>
      <c r="J54" s="4211"/>
      <c r="K54" s="1303" t="e">
        <f>K52+K53</f>
        <v>#VALUE!</v>
      </c>
    </row>
    <row r="55" spans="1:13" ht="7.9" customHeight="1">
      <c r="A55" s="4212"/>
      <c r="B55" s="4213"/>
      <c r="C55" s="4213"/>
      <c r="D55" s="4213"/>
      <c r="E55" s="4213"/>
      <c r="F55" s="4213"/>
      <c r="G55" s="4213"/>
      <c r="H55" s="4213"/>
      <c r="I55" s="4213"/>
      <c r="J55" s="4213"/>
      <c r="K55" s="1314"/>
    </row>
    <row r="56" spans="1:13" ht="15" customHeight="1">
      <c r="A56" s="4214" t="s">
        <v>3864</v>
      </c>
      <c r="B56" s="4215"/>
      <c r="C56" s="4215"/>
      <c r="D56" s="4215"/>
      <c r="E56" s="4215"/>
      <c r="F56" s="4215"/>
      <c r="G56" s="4215"/>
      <c r="H56" s="4215"/>
      <c r="I56" s="4215"/>
      <c r="J56" s="4215"/>
      <c r="K56" s="4216"/>
    </row>
    <row r="57" spans="1:13" ht="48" customHeight="1">
      <c r="A57" s="1276"/>
      <c r="B57" s="1267"/>
      <c r="C57" s="1278" t="s">
        <v>3865</v>
      </c>
      <c r="D57" s="1389" t="s">
        <v>3963</v>
      </c>
      <c r="E57" s="4217" t="s">
        <v>3881</v>
      </c>
      <c r="F57" s="4218"/>
      <c r="G57" s="4845" t="s">
        <v>3866</v>
      </c>
      <c r="H57" s="4846"/>
      <c r="I57" s="4217" t="s">
        <v>3880</v>
      </c>
      <c r="J57" s="4218"/>
      <c r="K57" s="4221"/>
    </row>
    <row r="58" spans="1:13" ht="15" customHeight="1">
      <c r="A58" s="1379"/>
      <c r="B58" s="1309"/>
      <c r="C58" s="1287">
        <f>SUMIF(C33:C51, "0", H33:H51)</f>
        <v>0</v>
      </c>
      <c r="D58" s="1390">
        <f t="shared" ref="D58:D63" si="4">ROUNDUP(C58*1.1,0)</f>
        <v>0</v>
      </c>
      <c r="E58" s="4223" t="s">
        <v>3867</v>
      </c>
      <c r="F58" s="4224"/>
      <c r="G58" s="4847">
        <f>'DCA Underwriting Assumptions'!H156</f>
        <v>181488</v>
      </c>
      <c r="H58" s="4848"/>
      <c r="I58" s="4227">
        <f t="shared" ref="I58:I63" si="5">D58*G58</f>
        <v>0</v>
      </c>
      <c r="J58" s="4227"/>
      <c r="K58" s="4222"/>
    </row>
    <row r="59" spans="1:13">
      <c r="A59" s="1379"/>
      <c r="B59" s="1309"/>
      <c r="C59" s="1288">
        <f>SUMIF(C33:C51, "1", H33:H51)</f>
        <v>0</v>
      </c>
      <c r="D59" s="1391">
        <f t="shared" si="4"/>
        <v>0</v>
      </c>
      <c r="E59" s="4228" t="s">
        <v>2456</v>
      </c>
      <c r="F59" s="4229"/>
      <c r="G59" s="4839">
        <f>'DCA Underwriting Assumptions'!H157</f>
        <v>208048.8</v>
      </c>
      <c r="H59" s="4840"/>
      <c r="I59" s="4230">
        <f t="shared" si="5"/>
        <v>0</v>
      </c>
      <c r="J59" s="4230"/>
      <c r="K59" s="4222"/>
    </row>
    <row r="60" spans="1:13" ht="15" customHeight="1">
      <c r="A60" s="1379"/>
      <c r="B60" s="1309"/>
      <c r="C60" s="1288">
        <f>SUMIF(C33:C51, "2", H33:H51)</f>
        <v>0</v>
      </c>
      <c r="D60" s="1391">
        <f t="shared" si="4"/>
        <v>0</v>
      </c>
      <c r="E60" s="4228" t="s">
        <v>2457</v>
      </c>
      <c r="F60" s="4229"/>
      <c r="G60" s="4839">
        <f>'DCA Underwriting Assumptions'!H158</f>
        <v>252993.59999999998</v>
      </c>
      <c r="H60" s="4840"/>
      <c r="I60" s="4230">
        <f t="shared" si="5"/>
        <v>0</v>
      </c>
      <c r="J60" s="4230"/>
      <c r="K60" s="4222"/>
    </row>
    <row r="61" spans="1:13">
      <c r="A61" s="1379"/>
      <c r="B61" s="1309"/>
      <c r="C61" s="1288">
        <f>SUMIF(C33:C51, "3", H33:H51)</f>
        <v>0</v>
      </c>
      <c r="D61" s="1391">
        <f t="shared" si="4"/>
        <v>0</v>
      </c>
      <c r="E61" s="4228" t="s">
        <v>2460</v>
      </c>
      <c r="F61" s="4229"/>
      <c r="G61" s="4839">
        <f>'DCA Underwriting Assumptions'!H159</f>
        <v>327292.79999999999</v>
      </c>
      <c r="H61" s="4840"/>
      <c r="I61" s="4230">
        <f t="shared" si="5"/>
        <v>0</v>
      </c>
      <c r="J61" s="4230"/>
      <c r="K61" s="4222"/>
    </row>
    <row r="62" spans="1:13">
      <c r="A62" s="1379"/>
      <c r="B62" s="1309"/>
      <c r="C62" s="1288">
        <f>SUMIF(C33:C51, "4", H33:H51)</f>
        <v>0</v>
      </c>
      <c r="D62" s="1391">
        <f t="shared" si="4"/>
        <v>0</v>
      </c>
      <c r="E62" s="4228" t="s">
        <v>3868</v>
      </c>
      <c r="F62" s="4229"/>
      <c r="G62" s="4839">
        <f>'DCA Underwriting Assumptions'!H160</f>
        <v>359263.2</v>
      </c>
      <c r="H62" s="4840"/>
      <c r="I62" s="4230">
        <f t="shared" si="5"/>
        <v>0</v>
      </c>
      <c r="J62" s="4230"/>
      <c r="K62" s="4222"/>
    </row>
    <row r="63" spans="1:13">
      <c r="A63" s="1388"/>
      <c r="B63" s="1310"/>
      <c r="C63" s="1289">
        <f>SUMIF(C33:C51, "5", H33:H51)</f>
        <v>0</v>
      </c>
      <c r="D63" s="1392">
        <f t="shared" si="4"/>
        <v>0</v>
      </c>
      <c r="E63" s="4232" t="s">
        <v>3869</v>
      </c>
      <c r="F63" s="4233"/>
      <c r="G63" s="4850">
        <f>'DCA Underwriting Assumptions'!H160</f>
        <v>359263.2</v>
      </c>
      <c r="H63" s="4851"/>
      <c r="I63" s="4234">
        <f t="shared" si="5"/>
        <v>0</v>
      </c>
      <c r="J63" s="4234"/>
      <c r="K63" s="1312"/>
    </row>
    <row r="64" spans="1:13" ht="14.5" thickBot="1">
      <c r="A64" s="1387" t="s">
        <v>3870</v>
      </c>
      <c r="B64" s="1305">
        <f>SUM(C58:C63)</f>
        <v>0</v>
      </c>
      <c r="C64" s="1393"/>
      <c r="D64" s="1393">
        <f>SUM(D58:D63)</f>
        <v>0</v>
      </c>
      <c r="E64" s="1386"/>
      <c r="F64" s="1386"/>
      <c r="G64" s="1386"/>
      <c r="H64" s="1386"/>
      <c r="I64" s="1386"/>
      <c r="J64" s="1380" t="s">
        <v>3871</v>
      </c>
      <c r="K64" s="1304">
        <f>SUM(I58:I62)</f>
        <v>0</v>
      </c>
    </row>
    <row r="65" spans="1:11">
      <c r="A65" s="4213"/>
      <c r="B65" s="4213"/>
      <c r="C65" s="4213"/>
      <c r="D65" s="4213"/>
      <c r="E65" s="4213"/>
      <c r="F65" s="4213"/>
      <c r="G65" s="4213"/>
      <c r="H65" s="4213"/>
      <c r="I65" s="4213"/>
      <c r="J65" s="4213"/>
    </row>
    <row r="66" spans="1:11">
      <c r="A66" s="4214" t="s">
        <v>3872</v>
      </c>
      <c r="B66" s="4215"/>
      <c r="C66" s="4215"/>
      <c r="D66" s="4215"/>
      <c r="E66" s="4215"/>
      <c r="F66" s="4215"/>
      <c r="G66" s="4215"/>
      <c r="H66" s="4215"/>
      <c r="I66" s="4215"/>
      <c r="J66" s="4215"/>
      <c r="K66" s="4216"/>
    </row>
    <row r="67" spans="1:11" ht="15" customHeight="1">
      <c r="A67" s="1306"/>
      <c r="B67" s="1266"/>
      <c r="C67" s="1266"/>
      <c r="D67" s="1266"/>
      <c r="E67" s="1266" t="s">
        <v>3873</v>
      </c>
      <c r="F67" s="1266"/>
      <c r="G67" s="1266"/>
      <c r="H67" s="1266"/>
      <c r="I67" s="1266"/>
      <c r="J67" s="1267"/>
      <c r="K67" s="1275">
        <f>J11</f>
        <v>0</v>
      </c>
    </row>
    <row r="68" spans="1:11">
      <c r="A68" s="1307"/>
      <c r="E68" s="1255" t="s">
        <v>3874</v>
      </c>
      <c r="J68" s="1309"/>
      <c r="K68" s="1275" t="e">
        <f>K54</f>
        <v>#VALUE!</v>
      </c>
    </row>
    <row r="69" spans="1:11" ht="14.5" thickBot="1">
      <c r="A69" s="1308"/>
      <c r="B69" s="1268"/>
      <c r="C69" s="1268"/>
      <c r="D69" s="1268"/>
      <c r="E69" s="1268" t="s">
        <v>3875</v>
      </c>
      <c r="F69" s="1268"/>
      <c r="G69" s="1268"/>
      <c r="H69" s="1268"/>
      <c r="I69" s="1268"/>
      <c r="J69" s="1310"/>
      <c r="K69" s="1313">
        <f>K64</f>
        <v>0</v>
      </c>
    </row>
    <row r="70" spans="1:11" ht="14.5" thickBot="1">
      <c r="A70" s="1277"/>
      <c r="B70" s="1269"/>
      <c r="C70" s="4231" t="s">
        <v>3876</v>
      </c>
      <c r="D70" s="4231"/>
      <c r="E70" s="4231"/>
      <c r="F70" s="4231"/>
      <c r="G70" s="4231"/>
      <c r="H70" s="4231"/>
      <c r="I70" s="4231"/>
      <c r="J70" s="4231"/>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8" t="s">
        <v>2873</v>
      </c>
      <c r="H1" s="601" t="str">
        <f>'Sensitivity Analysis'!C8</f>
        <v>Princeton Court</v>
      </c>
    </row>
    <row r="2" spans="1:11" ht="13">
      <c r="A2" s="548" t="s">
        <v>2874</v>
      </c>
      <c r="H2" s="431" t="str">
        <f>'Sensitivity Analysis'!E8</f>
        <v>2025-5</v>
      </c>
    </row>
    <row r="3" spans="1:11" ht="3" customHeight="1"/>
    <row r="4" spans="1:11" ht="51.75" customHeight="1">
      <c r="A4" s="4864" t="s">
        <v>2912</v>
      </c>
      <c r="B4" s="4864"/>
      <c r="C4" s="4864"/>
      <c r="D4" s="4864"/>
      <c r="E4" s="4864"/>
      <c r="F4" s="4864"/>
      <c r="G4" s="4864"/>
      <c r="H4" s="4864"/>
      <c r="J4" s="986">
        <f>SUM('Part VI-Pro Forma'!B15:B17)/12</f>
        <v>128116.01880000001</v>
      </c>
      <c r="K4" s="985" t="s">
        <v>3544</v>
      </c>
    </row>
    <row r="5" spans="1:11" ht="1.5" customHeight="1"/>
    <row r="6" spans="1:11" ht="12.75" customHeight="1">
      <c r="B6" s="621" t="s">
        <v>2234</v>
      </c>
      <c r="C6" s="4864" t="s">
        <v>2875</v>
      </c>
      <c r="D6" s="4864"/>
      <c r="E6" s="4864"/>
      <c r="F6" s="4864"/>
      <c r="G6" s="4864"/>
      <c r="H6" s="4864"/>
    </row>
    <row r="7" spans="1:11" ht="12.75" customHeight="1">
      <c r="B7" s="621" t="s">
        <v>2235</v>
      </c>
      <c r="C7" s="4864" t="s">
        <v>2876</v>
      </c>
      <c r="D7" s="4864"/>
      <c r="E7" s="4864"/>
      <c r="F7" s="4864"/>
      <c r="G7" s="4864"/>
      <c r="H7" s="4864"/>
    </row>
    <row r="8" spans="1:11" ht="3" customHeight="1"/>
    <row r="9" spans="1:11">
      <c r="A9" s="431" t="s">
        <v>2877</v>
      </c>
    </row>
    <row r="10" spans="1:11" ht="1.5" customHeight="1"/>
    <row r="11" spans="1:11" ht="26.25" customHeight="1">
      <c r="A11" s="622" t="s">
        <v>1836</v>
      </c>
      <c r="B11" s="4866" t="s">
        <v>2909</v>
      </c>
      <c r="C11" s="4866"/>
      <c r="D11" s="4866"/>
      <c r="E11" s="4866"/>
      <c r="F11" s="4866"/>
      <c r="G11" s="4867">
        <f>'Part II-Sources of Funds'!I53+'Part II-Sources of Funds'!I54</f>
        <v>20290892</v>
      </c>
      <c r="H11" s="4867"/>
    </row>
    <row r="12" spans="1:11" ht="1.5" customHeight="1">
      <c r="G12" s="603"/>
      <c r="H12" s="603"/>
    </row>
    <row r="13" spans="1:11" ht="26.25" customHeight="1">
      <c r="A13" s="622" t="s">
        <v>1838</v>
      </c>
      <c r="B13" s="4866" t="s">
        <v>2910</v>
      </c>
      <c r="C13" s="4866"/>
      <c r="D13" s="4866"/>
      <c r="E13" s="4866"/>
      <c r="F13" s="4866"/>
      <c r="G13" s="4868" t="s">
        <v>2805</v>
      </c>
      <c r="H13" s="4868"/>
    </row>
    <row r="14" spans="1:11" ht="12" hidden="1" customHeight="1">
      <c r="A14" s="622"/>
      <c r="B14" s="4832"/>
      <c r="C14" s="4832"/>
      <c r="D14" s="4832"/>
      <c r="E14" s="4832"/>
      <c r="F14" s="4832"/>
      <c r="G14" s="4832"/>
      <c r="H14" s="4832"/>
    </row>
    <row r="15" spans="1:11" ht="1.5" customHeight="1"/>
    <row r="16" spans="1:11" ht="12" customHeight="1">
      <c r="A16" s="622" t="s">
        <v>697</v>
      </c>
      <c r="B16" s="431" t="s">
        <v>2913</v>
      </c>
      <c r="G16" s="4869" t="s">
        <v>2645</v>
      </c>
      <c r="H16" s="4869"/>
    </row>
    <row r="17" spans="1:8" ht="1.5" customHeight="1">
      <c r="G17" s="606"/>
    </row>
    <row r="18" spans="1:8" ht="12" customHeight="1">
      <c r="A18" s="622" t="s">
        <v>1957</v>
      </c>
      <c r="B18" s="603" t="s">
        <v>2911</v>
      </c>
      <c r="C18" s="622"/>
      <c r="D18" s="622"/>
      <c r="E18" s="622"/>
      <c r="G18" s="4832" t="s">
        <v>2508</v>
      </c>
      <c r="H18" s="4832"/>
    </row>
    <row r="19" spans="1:8" ht="12" hidden="1" customHeight="1">
      <c r="B19" s="4832"/>
      <c r="C19" s="4832"/>
      <c r="D19" s="4832"/>
      <c r="E19" s="4832"/>
      <c r="F19" s="4832"/>
      <c r="G19" s="4832"/>
      <c r="H19" s="4832"/>
    </row>
    <row r="20" spans="1:8" ht="13.5" customHeight="1"/>
    <row r="21" spans="1:8" ht="12" customHeight="1">
      <c r="A21" s="548" t="s">
        <v>2878</v>
      </c>
    </row>
    <row r="22" spans="1:8" ht="3" customHeight="1"/>
    <row r="23" spans="1:8" ht="24.75" customHeight="1">
      <c r="A23" s="4870" t="s">
        <v>3948</v>
      </c>
      <c r="B23" s="4870"/>
      <c r="C23" s="4870"/>
      <c r="D23" s="4870"/>
      <c r="E23" s="4870"/>
      <c r="F23" s="4870"/>
      <c r="G23" s="4870"/>
      <c r="H23" s="4870"/>
    </row>
    <row r="24" spans="1:8" ht="9" customHeight="1" thickBot="1">
      <c r="A24" s="598"/>
    </row>
    <row r="25" spans="1:8" ht="16.149999999999999" customHeight="1" thickBot="1">
      <c r="A25" s="4871">
        <v>20</v>
      </c>
      <c r="B25" s="4872"/>
      <c r="C25" s="1378" t="s">
        <v>974</v>
      </c>
    </row>
    <row r="26" spans="1:8" ht="9" customHeight="1">
      <c r="A26" s="598"/>
    </row>
    <row r="27" spans="1:8" ht="28.15" customHeight="1">
      <c r="A27" s="4864" t="s">
        <v>3953</v>
      </c>
      <c r="B27" s="4864"/>
      <c r="C27" s="4864"/>
      <c r="D27" s="4864"/>
      <c r="E27" s="4864"/>
      <c r="F27" s="4864"/>
      <c r="G27" s="4864"/>
      <c r="H27" s="4864"/>
    </row>
    <row r="28" spans="1:8" ht="9" customHeight="1">
      <c r="A28" s="598"/>
    </row>
    <row r="29" spans="1:8" ht="13">
      <c r="A29" s="606" t="s">
        <v>2914</v>
      </c>
      <c r="B29" s="623" t="str">
        <f>IF('Part V-Revenues &amp; Expenses'!$K$71=0,"",'Part V-Revenues &amp; Expenses'!$K$71)</f>
        <v/>
      </c>
      <c r="C29" s="606" t="s">
        <v>3946</v>
      </c>
      <c r="D29" s="624" t="s">
        <v>3947</v>
      </c>
    </row>
    <row r="30" spans="1:8" ht="1.9" customHeight="1"/>
    <row r="31" spans="1:8" ht="12.75" customHeight="1">
      <c r="C31" s="603" t="s">
        <v>2879</v>
      </c>
      <c r="D31" s="625" t="s">
        <v>1839</v>
      </c>
      <c r="E31" s="626"/>
      <c r="F31" s="4864" t="s">
        <v>2880</v>
      </c>
      <c r="G31" s="4864"/>
      <c r="H31" s="4864"/>
    </row>
    <row r="32" spans="1:8" ht="12.75" customHeight="1">
      <c r="C32" s="627" t="s">
        <v>1273</v>
      </c>
      <c r="D32" s="625" t="s">
        <v>1841</v>
      </c>
      <c r="E32" s="4864" t="s">
        <v>2919</v>
      </c>
      <c r="F32" s="4864"/>
      <c r="G32" s="4864"/>
      <c r="H32" s="4864"/>
    </row>
    <row r="33" spans="1:11" ht="12.75" customHeight="1">
      <c r="C33" s="1376" t="s">
        <v>3951</v>
      </c>
      <c r="E33" s="4864" t="s">
        <v>3038</v>
      </c>
      <c r="F33" s="4864"/>
      <c r="G33" s="4864"/>
      <c r="H33" s="4864"/>
    </row>
    <row r="34" spans="1:11" ht="12.75" customHeight="1">
      <c r="C34" s="1377"/>
      <c r="D34" s="1375" t="s">
        <v>2918</v>
      </c>
      <c r="E34" s="4865" t="s">
        <v>3039</v>
      </c>
      <c r="F34" s="4865"/>
      <c r="G34" s="4865"/>
      <c r="H34" s="4865"/>
    </row>
    <row r="35" spans="1:11" ht="3" customHeight="1">
      <c r="D35" s="625"/>
      <c r="E35" s="999"/>
      <c r="F35" s="999"/>
      <c r="G35" s="999"/>
      <c r="H35" s="999"/>
    </row>
    <row r="36" spans="1:11" ht="12.75" customHeight="1">
      <c r="C36" s="603" t="s">
        <v>2879</v>
      </c>
      <c r="D36" s="625" t="s">
        <v>1839</v>
      </c>
      <c r="E36" s="626"/>
      <c r="F36" s="622" t="s">
        <v>2880</v>
      </c>
      <c r="G36" s="622"/>
      <c r="H36" s="622"/>
    </row>
    <row r="37" spans="1:11" ht="12.75" customHeight="1">
      <c r="C37" s="627" t="s">
        <v>1273</v>
      </c>
      <c r="D37" s="625" t="s">
        <v>1841</v>
      </c>
      <c r="E37" s="4864" t="s">
        <v>2919</v>
      </c>
      <c r="F37" s="4864"/>
      <c r="G37" s="4864"/>
      <c r="H37" s="4864"/>
    </row>
    <row r="38" spans="1:11" ht="12.75" customHeight="1">
      <c r="C38" s="1376" t="s">
        <v>3951</v>
      </c>
      <c r="E38" s="4864" t="s">
        <v>3038</v>
      </c>
      <c r="F38" s="4864"/>
      <c r="G38" s="4864"/>
      <c r="H38" s="4864"/>
    </row>
    <row r="39" spans="1:11" ht="12.75" customHeight="1">
      <c r="C39" s="1377"/>
      <c r="D39" s="1375" t="s">
        <v>2918</v>
      </c>
      <c r="E39" s="4865" t="s">
        <v>3039</v>
      </c>
      <c r="F39" s="4865"/>
      <c r="G39" s="4865"/>
      <c r="H39" s="4865"/>
    </row>
    <row r="40" spans="1:11" ht="3" customHeight="1">
      <c r="D40" s="625"/>
      <c r="E40" s="999"/>
      <c r="F40" s="999"/>
      <c r="G40" s="999"/>
      <c r="H40" s="999"/>
    </row>
    <row r="41" spans="1:11" ht="12.75" customHeight="1">
      <c r="C41" s="603" t="s">
        <v>2879</v>
      </c>
      <c r="D41" s="625" t="s">
        <v>1839</v>
      </c>
      <c r="E41" s="626"/>
      <c r="F41" s="622" t="s">
        <v>2880</v>
      </c>
      <c r="G41" s="622"/>
      <c r="H41" s="622"/>
    </row>
    <row r="42" spans="1:11" ht="12.75" customHeight="1">
      <c r="C42" s="627" t="s">
        <v>1273</v>
      </c>
      <c r="D42" s="625" t="s">
        <v>1841</v>
      </c>
      <c r="E42" s="4864" t="s">
        <v>2919</v>
      </c>
      <c r="F42" s="4864"/>
      <c r="G42" s="4864"/>
      <c r="H42" s="4864"/>
    </row>
    <row r="43" spans="1:11" ht="12.75" customHeight="1">
      <c r="C43" s="1376" t="s">
        <v>3951</v>
      </c>
      <c r="E43" s="4864" t="s">
        <v>3038</v>
      </c>
      <c r="F43" s="4864"/>
      <c r="G43" s="4864"/>
      <c r="H43" s="4864"/>
    </row>
    <row r="44" spans="1:11" ht="12.75" customHeight="1">
      <c r="C44" s="1377"/>
      <c r="D44" s="1375" t="s">
        <v>2918</v>
      </c>
      <c r="E44" s="4865" t="s">
        <v>3039</v>
      </c>
      <c r="F44" s="4865"/>
      <c r="G44" s="4865"/>
      <c r="H44" s="4865"/>
    </row>
    <row r="45" spans="1:11" ht="6" customHeight="1">
      <c r="D45" s="625"/>
      <c r="E45" s="999"/>
      <c r="F45" s="999"/>
      <c r="G45" s="999"/>
      <c r="H45" s="999"/>
    </row>
    <row r="46" spans="1:11" ht="13">
      <c r="A46" s="606" t="s">
        <v>2914</v>
      </c>
      <c r="B46" s="623" t="str">
        <f>IF('Part V-Revenues &amp; Expenses'!$L$71=0,"",'Part V-Revenues &amp; Expenses'!$L$71)</f>
        <v/>
      </c>
      <c r="C46" s="606" t="s">
        <v>2915</v>
      </c>
      <c r="D46" s="624" t="s">
        <v>3040</v>
      </c>
    </row>
    <row r="47" spans="1:11" ht="1.9" customHeight="1">
      <c r="K47" s="597"/>
    </row>
    <row r="48" spans="1:11" ht="12.75" customHeight="1">
      <c r="C48" s="603" t="s">
        <v>2879</v>
      </c>
      <c r="D48" s="625" t="s">
        <v>1839</v>
      </c>
      <c r="E48" s="626"/>
      <c r="F48" s="622" t="s">
        <v>2880</v>
      </c>
      <c r="G48" s="622"/>
      <c r="H48" s="622"/>
      <c r="K48" s="597"/>
    </row>
    <row r="49" spans="1:11" ht="12.75" customHeight="1">
      <c r="C49" s="627" t="s">
        <v>1273</v>
      </c>
      <c r="D49" s="625" t="s">
        <v>1841</v>
      </c>
      <c r="E49" s="4864" t="s">
        <v>2919</v>
      </c>
      <c r="F49" s="4864"/>
      <c r="G49" s="4864"/>
      <c r="H49" s="4864"/>
      <c r="K49" s="597"/>
    </row>
    <row r="50" spans="1:11" ht="12.75" customHeight="1">
      <c r="C50" s="1376" t="s">
        <v>3951</v>
      </c>
      <c r="E50" s="4864" t="s">
        <v>3038</v>
      </c>
      <c r="F50" s="4864"/>
      <c r="G50" s="4864"/>
      <c r="H50" s="4864"/>
    </row>
    <row r="51" spans="1:11" ht="12.75" customHeight="1">
      <c r="C51" s="1377"/>
      <c r="D51" s="628" t="s">
        <v>2918</v>
      </c>
      <c r="E51" s="4864" t="s">
        <v>3039</v>
      </c>
      <c r="F51" s="4864"/>
      <c r="G51" s="4864"/>
      <c r="H51" s="4864"/>
    </row>
    <row r="52" spans="1:11" ht="3" customHeight="1">
      <c r="D52" s="625"/>
      <c r="E52" s="999"/>
      <c r="F52" s="999"/>
      <c r="G52" s="999"/>
      <c r="H52" s="999"/>
    </row>
    <row r="53" spans="1:11" ht="12.75" customHeight="1">
      <c r="C53" s="603" t="s">
        <v>2879</v>
      </c>
      <c r="D53" s="625" t="s">
        <v>1839</v>
      </c>
      <c r="E53" s="626"/>
      <c r="F53" s="622" t="s">
        <v>2880</v>
      </c>
      <c r="G53" s="622"/>
      <c r="H53" s="622"/>
    </row>
    <row r="54" spans="1:11" ht="12.75" customHeight="1">
      <c r="C54" s="627" t="s">
        <v>1273</v>
      </c>
      <c r="D54" s="625" t="s">
        <v>1841</v>
      </c>
      <c r="E54" s="4864" t="s">
        <v>2919</v>
      </c>
      <c r="F54" s="4864"/>
      <c r="G54" s="4864"/>
      <c r="H54" s="4864"/>
    </row>
    <row r="55" spans="1:11" ht="12.75" customHeight="1">
      <c r="C55" s="1376" t="s">
        <v>3951</v>
      </c>
      <c r="E55" s="4864" t="s">
        <v>3038</v>
      </c>
      <c r="F55" s="4864"/>
      <c r="G55" s="4864"/>
      <c r="H55" s="4864"/>
    </row>
    <row r="56" spans="1:11" ht="12.75" customHeight="1">
      <c r="C56" s="1377"/>
      <c r="D56" s="1375" t="s">
        <v>2918</v>
      </c>
      <c r="E56" s="4865" t="s">
        <v>3039</v>
      </c>
      <c r="F56" s="4865"/>
      <c r="G56" s="4865"/>
      <c r="H56" s="4865"/>
    </row>
    <row r="57" spans="1:11" ht="3" customHeight="1">
      <c r="D57" s="625"/>
      <c r="E57" s="999"/>
      <c r="F57" s="999"/>
      <c r="G57" s="999"/>
      <c r="H57" s="999"/>
    </row>
    <row r="58" spans="1:11" ht="12.75" customHeight="1">
      <c r="C58" s="603" t="s">
        <v>2879</v>
      </c>
      <c r="D58" s="625" t="s">
        <v>1839</v>
      </c>
      <c r="E58" s="626"/>
      <c r="F58" s="622" t="s">
        <v>2880</v>
      </c>
      <c r="G58" s="622"/>
      <c r="H58" s="622"/>
    </row>
    <row r="59" spans="1:11" ht="12.75" customHeight="1">
      <c r="C59" s="627" t="s">
        <v>1273</v>
      </c>
      <c r="D59" s="625" t="s">
        <v>1841</v>
      </c>
      <c r="E59" s="4864" t="s">
        <v>2919</v>
      </c>
      <c r="F59" s="4864"/>
      <c r="G59" s="4864"/>
      <c r="H59" s="4864"/>
    </row>
    <row r="60" spans="1:11" ht="12.75" customHeight="1">
      <c r="C60" s="1376" t="s">
        <v>3951</v>
      </c>
      <c r="E60" s="4864" t="s">
        <v>3038</v>
      </c>
      <c r="F60" s="4864"/>
      <c r="G60" s="4864"/>
      <c r="H60" s="4864"/>
    </row>
    <row r="61" spans="1:11" ht="12.75" customHeight="1">
      <c r="C61" s="1377"/>
      <c r="D61" s="1375" t="s">
        <v>2918</v>
      </c>
      <c r="E61" s="4865" t="s">
        <v>3039</v>
      </c>
      <c r="F61" s="4865"/>
      <c r="G61" s="4865"/>
      <c r="H61" s="4865"/>
    </row>
    <row r="62" spans="1:11" ht="6" customHeight="1">
      <c r="D62" s="625"/>
      <c r="E62" s="999"/>
      <c r="F62" s="999"/>
      <c r="G62" s="999"/>
      <c r="H62" s="999"/>
    </row>
    <row r="63" spans="1:11" ht="13">
      <c r="A63" s="606" t="s">
        <v>2914</v>
      </c>
      <c r="B63" s="623" t="str">
        <f>IF('Part V-Revenues &amp; Expenses'!$M$71=0,"",'Part V-Revenues &amp; Expenses'!$M$71)</f>
        <v/>
      </c>
      <c r="C63" s="606" t="s">
        <v>2916</v>
      </c>
      <c r="D63" s="624" t="s">
        <v>3041</v>
      </c>
    </row>
    <row r="64" spans="1:11" ht="1.9" customHeight="1"/>
    <row r="65" spans="1:8" ht="12.75" customHeight="1">
      <c r="C65" s="603" t="s">
        <v>2879</v>
      </c>
      <c r="D65" s="625" t="s">
        <v>1839</v>
      </c>
      <c r="E65" s="626"/>
      <c r="F65" s="622" t="s">
        <v>2880</v>
      </c>
      <c r="G65" s="622"/>
      <c r="H65" s="622"/>
    </row>
    <row r="66" spans="1:8" ht="12.75" customHeight="1">
      <c r="C66" s="627" t="s">
        <v>1273</v>
      </c>
      <c r="D66" s="625" t="s">
        <v>1841</v>
      </c>
      <c r="E66" s="4864" t="s">
        <v>2919</v>
      </c>
      <c r="F66" s="4864"/>
      <c r="G66" s="4864"/>
      <c r="H66" s="4864"/>
    </row>
    <row r="67" spans="1:8" ht="12.75" customHeight="1">
      <c r="C67" s="1376" t="s">
        <v>3951</v>
      </c>
      <c r="E67" s="4864" t="s">
        <v>3038</v>
      </c>
      <c r="F67" s="4864"/>
      <c r="G67" s="4864"/>
      <c r="H67" s="4864"/>
    </row>
    <row r="68" spans="1:8" ht="12.75" customHeight="1">
      <c r="C68" s="1377"/>
      <c r="D68" s="628" t="s">
        <v>2918</v>
      </c>
      <c r="E68" s="4864" t="s">
        <v>3039</v>
      </c>
      <c r="F68" s="4864"/>
      <c r="G68" s="4864"/>
      <c r="H68" s="4864"/>
    </row>
    <row r="69" spans="1:8" ht="3" customHeight="1">
      <c r="D69" s="625"/>
      <c r="E69" s="999"/>
      <c r="F69" s="999"/>
      <c r="G69" s="999"/>
      <c r="H69" s="999"/>
    </row>
    <row r="70" spans="1:8" ht="12.75" customHeight="1">
      <c r="C70" s="603" t="s">
        <v>2879</v>
      </c>
      <c r="D70" s="625" t="s">
        <v>1839</v>
      </c>
      <c r="E70" s="626"/>
      <c r="F70" s="622" t="s">
        <v>2880</v>
      </c>
      <c r="G70" s="622"/>
      <c r="H70" s="622"/>
    </row>
    <row r="71" spans="1:8" ht="12.75" customHeight="1">
      <c r="C71" s="627" t="s">
        <v>1273</v>
      </c>
      <c r="D71" s="625" t="s">
        <v>1841</v>
      </c>
      <c r="E71" s="4864" t="s">
        <v>2919</v>
      </c>
      <c r="F71" s="4864"/>
      <c r="G71" s="4864"/>
      <c r="H71" s="4864"/>
    </row>
    <row r="72" spans="1:8" ht="12.75" customHeight="1">
      <c r="C72" s="1376" t="s">
        <v>3951</v>
      </c>
      <c r="E72" s="4864" t="s">
        <v>3038</v>
      </c>
      <c r="F72" s="4864"/>
      <c r="G72" s="4864"/>
      <c r="H72" s="4864"/>
    </row>
    <row r="73" spans="1:8" ht="12.75" customHeight="1">
      <c r="C73" s="1377"/>
      <c r="D73" s="1375" t="s">
        <v>2918</v>
      </c>
      <c r="E73" s="4865" t="s">
        <v>3039</v>
      </c>
      <c r="F73" s="4865"/>
      <c r="G73" s="4865"/>
      <c r="H73" s="4865"/>
    </row>
    <row r="74" spans="1:8" ht="3" customHeight="1">
      <c r="D74" s="625"/>
      <c r="E74" s="999"/>
      <c r="F74" s="999"/>
      <c r="G74" s="999"/>
      <c r="H74" s="999"/>
    </row>
    <row r="75" spans="1:8" ht="12.75" customHeight="1">
      <c r="C75" s="603" t="s">
        <v>2879</v>
      </c>
      <c r="D75" s="625" t="s">
        <v>1839</v>
      </c>
      <c r="E75" s="626"/>
      <c r="F75" s="622" t="s">
        <v>2880</v>
      </c>
      <c r="G75" s="622"/>
      <c r="H75" s="622"/>
    </row>
    <row r="76" spans="1:8" ht="12.75" customHeight="1">
      <c r="C76" s="627" t="s">
        <v>1273</v>
      </c>
      <c r="D76" s="625" t="s">
        <v>1841</v>
      </c>
      <c r="E76" s="4864" t="s">
        <v>2919</v>
      </c>
      <c r="F76" s="4864"/>
      <c r="G76" s="4864"/>
      <c r="H76" s="4864"/>
    </row>
    <row r="77" spans="1:8" ht="12.75" customHeight="1">
      <c r="C77" s="1376" t="s">
        <v>3951</v>
      </c>
      <c r="E77" s="4864" t="s">
        <v>3038</v>
      </c>
      <c r="F77" s="4864"/>
      <c r="G77" s="4864"/>
      <c r="H77" s="4864"/>
    </row>
    <row r="78" spans="1:8" ht="12.75" customHeight="1">
      <c r="C78" s="1377"/>
      <c r="D78" s="1375" t="s">
        <v>2918</v>
      </c>
      <c r="E78" s="4865" t="s">
        <v>3039</v>
      </c>
      <c r="F78" s="4865"/>
      <c r="G78" s="4865"/>
      <c r="H78" s="4865"/>
    </row>
    <row r="79" spans="1:8" ht="6" customHeight="1">
      <c r="D79" s="625"/>
      <c r="E79" s="999"/>
      <c r="F79" s="999"/>
      <c r="G79" s="999"/>
      <c r="H79" s="999"/>
    </row>
    <row r="80" spans="1:8" ht="13">
      <c r="A80" s="606" t="s">
        <v>2914</v>
      </c>
      <c r="B80" s="623" t="str">
        <f>IF('Part V-Revenues &amp; Expenses'!$N$71=0,"",'Part V-Revenues &amp; Expenses'!$N$71)</f>
        <v/>
      </c>
      <c r="C80" s="606" t="s">
        <v>2917</v>
      </c>
      <c r="D80" s="624" t="s">
        <v>3042</v>
      </c>
    </row>
    <row r="81" spans="3:8" ht="1.9" customHeight="1"/>
    <row r="82" spans="3:8" ht="12.75" customHeight="1">
      <c r="C82" s="603" t="s">
        <v>2879</v>
      </c>
      <c r="D82" s="625" t="s">
        <v>1839</v>
      </c>
      <c r="E82" s="626"/>
      <c r="F82" s="622" t="s">
        <v>2880</v>
      </c>
      <c r="G82" s="622"/>
      <c r="H82" s="622"/>
    </row>
    <row r="83" spans="3:8" ht="12.75" customHeight="1">
      <c r="C83" s="627" t="s">
        <v>1273</v>
      </c>
      <c r="D83" s="625" t="s">
        <v>1841</v>
      </c>
      <c r="E83" s="4864" t="s">
        <v>2919</v>
      </c>
      <c r="F83" s="4864"/>
      <c r="G83" s="4864"/>
      <c r="H83" s="4864"/>
    </row>
    <row r="84" spans="3:8" ht="12.75" customHeight="1">
      <c r="C84" s="1376" t="s">
        <v>3951</v>
      </c>
      <c r="E84" s="4864" t="s">
        <v>3038</v>
      </c>
      <c r="F84" s="4864"/>
      <c r="G84" s="4864"/>
      <c r="H84" s="4864"/>
    </row>
    <row r="85" spans="3:8" ht="12.75" customHeight="1">
      <c r="C85" s="1377"/>
      <c r="D85" s="628" t="s">
        <v>2918</v>
      </c>
      <c r="E85" s="4864" t="s">
        <v>3039</v>
      </c>
      <c r="F85" s="4864"/>
      <c r="G85" s="4864"/>
      <c r="H85" s="4864"/>
    </row>
    <row r="86" spans="3:8" ht="3" customHeight="1">
      <c r="D86" s="625"/>
      <c r="E86" s="999"/>
      <c r="F86" s="999"/>
      <c r="G86" s="999"/>
      <c r="H86" s="999"/>
    </row>
    <row r="87" spans="3:8" ht="12.75" customHeight="1">
      <c r="C87" s="603" t="s">
        <v>2879</v>
      </c>
      <c r="D87" s="625" t="s">
        <v>1839</v>
      </c>
      <c r="E87" s="626"/>
      <c r="F87" s="622" t="s">
        <v>2880</v>
      </c>
      <c r="G87" s="622"/>
      <c r="H87" s="622"/>
    </row>
    <row r="88" spans="3:8" ht="12.75" customHeight="1">
      <c r="C88" s="627" t="s">
        <v>1273</v>
      </c>
      <c r="D88" s="625" t="s">
        <v>1841</v>
      </c>
      <c r="E88" s="4864" t="s">
        <v>2919</v>
      </c>
      <c r="F88" s="4864"/>
      <c r="G88" s="4864"/>
      <c r="H88" s="4864"/>
    </row>
    <row r="89" spans="3:8" ht="12.75" customHeight="1">
      <c r="C89" s="1376" t="s">
        <v>3951</v>
      </c>
      <c r="E89" s="4864" t="s">
        <v>3038</v>
      </c>
      <c r="F89" s="4864"/>
      <c r="G89" s="4864"/>
      <c r="H89" s="4864"/>
    </row>
    <row r="90" spans="3:8" ht="12.75" customHeight="1">
      <c r="C90" s="1377"/>
      <c r="D90" s="1375" t="s">
        <v>2918</v>
      </c>
      <c r="E90" s="4865" t="s">
        <v>3039</v>
      </c>
      <c r="F90" s="4865"/>
      <c r="G90" s="4865"/>
      <c r="H90" s="4865"/>
    </row>
    <row r="91" spans="3:8" ht="3" customHeight="1">
      <c r="D91" s="625"/>
      <c r="E91" s="999"/>
      <c r="F91" s="999"/>
      <c r="G91" s="999"/>
      <c r="H91" s="999"/>
    </row>
    <row r="92" spans="3:8" ht="12.75" customHeight="1">
      <c r="C92" s="603" t="s">
        <v>2879</v>
      </c>
      <c r="D92" s="625" t="s">
        <v>1839</v>
      </c>
      <c r="E92" s="626"/>
      <c r="F92" s="622" t="s">
        <v>2880</v>
      </c>
      <c r="G92" s="622"/>
      <c r="H92" s="622"/>
    </row>
    <row r="93" spans="3:8" ht="12.75" customHeight="1">
      <c r="C93" s="627" t="s">
        <v>1273</v>
      </c>
      <c r="D93" s="625" t="s">
        <v>1841</v>
      </c>
      <c r="E93" s="4864" t="s">
        <v>2919</v>
      </c>
      <c r="F93" s="4864"/>
      <c r="G93" s="4864"/>
      <c r="H93" s="4864"/>
    </row>
    <row r="94" spans="3:8" ht="12.75" customHeight="1">
      <c r="C94" s="1376" t="s">
        <v>3951</v>
      </c>
      <c r="E94" s="4864" t="s">
        <v>3038</v>
      </c>
      <c r="F94" s="4864"/>
      <c r="G94" s="4864"/>
      <c r="H94" s="4864"/>
    </row>
    <row r="95" spans="3:8" ht="12.75" customHeight="1">
      <c r="C95" s="1377"/>
      <c r="D95" s="1375" t="s">
        <v>2918</v>
      </c>
      <c r="E95" s="4865" t="s">
        <v>3039</v>
      </c>
      <c r="F95" s="4865"/>
      <c r="G95" s="4865"/>
      <c r="H95" s="4865"/>
    </row>
    <row r="96" spans="3:8" ht="6" customHeight="1">
      <c r="D96" s="625"/>
      <c r="E96" s="999"/>
      <c r="F96" s="999"/>
      <c r="G96" s="999"/>
      <c r="H96" s="999"/>
    </row>
    <row r="97" spans="1:11" ht="13">
      <c r="A97" s="606" t="s">
        <v>2914</v>
      </c>
      <c r="B97" s="623" t="str">
        <f>IF('Part V-Revenues &amp; Expenses'!$O$71=0,"",'Part V-Revenues &amp; Expenses'!$O$71)</f>
        <v/>
      </c>
      <c r="C97" s="606" t="s">
        <v>3949</v>
      </c>
      <c r="D97" s="624" t="s">
        <v>3950</v>
      </c>
    </row>
    <row r="98" spans="1:11" ht="1.9" customHeight="1"/>
    <row r="99" spans="1:11" ht="12.75" customHeight="1">
      <c r="C99" s="603" t="s">
        <v>2879</v>
      </c>
      <c r="D99" s="625" t="s">
        <v>1839</v>
      </c>
      <c r="E99" s="626"/>
      <c r="F99" s="4864" t="s">
        <v>2880</v>
      </c>
      <c r="G99" s="4864"/>
      <c r="H99" s="4864"/>
      <c r="K99" s="431" t="s">
        <v>233</v>
      </c>
    </row>
    <row r="100" spans="1:11" ht="12.75" customHeight="1">
      <c r="C100" s="627" t="s">
        <v>1273</v>
      </c>
      <c r="D100" s="625" t="s">
        <v>1841</v>
      </c>
      <c r="E100" s="4864" t="s">
        <v>2920</v>
      </c>
      <c r="F100" s="4864"/>
      <c r="G100" s="4864"/>
      <c r="H100" s="4864"/>
    </row>
    <row r="101" spans="1:11" ht="12.75" customHeight="1">
      <c r="E101" s="4864" t="s">
        <v>3038</v>
      </c>
      <c r="F101" s="4864"/>
      <c r="G101" s="4864"/>
      <c r="H101" s="4864"/>
    </row>
    <row r="102" spans="1:11" ht="12.75" customHeight="1">
      <c r="D102" s="628" t="s">
        <v>2918</v>
      </c>
      <c r="E102" s="4864" t="s">
        <v>3039</v>
      </c>
      <c r="F102" s="4864"/>
      <c r="G102" s="4864"/>
      <c r="H102" s="4864"/>
    </row>
    <row r="103" spans="1:11" ht="9" customHeight="1" thickBot="1"/>
    <row r="104" spans="1:11" ht="16.149999999999999" customHeight="1" thickBot="1">
      <c r="A104" s="4871">
        <v>30</v>
      </c>
      <c r="B104" s="4872"/>
      <c r="C104" s="1378" t="s">
        <v>974</v>
      </c>
    </row>
    <row r="105" spans="1:11" ht="9" customHeight="1">
      <c r="A105" s="598"/>
    </row>
    <row r="106" spans="1:11" ht="28.15" customHeight="1">
      <c r="A106" s="4864" t="s">
        <v>3954</v>
      </c>
      <c r="B106" s="4864"/>
      <c r="C106" s="4864"/>
      <c r="D106" s="4864"/>
      <c r="E106" s="4864"/>
      <c r="F106" s="4864"/>
      <c r="G106" s="4864"/>
      <c r="H106" s="4864"/>
    </row>
    <row r="107" spans="1:11" ht="9" customHeight="1">
      <c r="A107" s="598"/>
    </row>
    <row r="108" spans="1:11" ht="13">
      <c r="A108" s="606" t="s">
        <v>2914</v>
      </c>
      <c r="B108" s="623" t="str">
        <f>IF('Part V-Revenues &amp; Expenses'!$K$70=0,"",'Part V-Revenues &amp; Expenses'!$K$70)</f>
        <v/>
      </c>
      <c r="C108" s="606" t="s">
        <v>3946</v>
      </c>
      <c r="D108" s="624" t="s">
        <v>3947</v>
      </c>
    </row>
    <row r="109" spans="1:11" ht="1.9" customHeight="1"/>
    <row r="110" spans="1:11" ht="12.75" customHeight="1">
      <c r="C110" s="603" t="s">
        <v>2879</v>
      </c>
      <c r="D110" s="625" t="s">
        <v>1839</v>
      </c>
      <c r="E110" s="626"/>
      <c r="F110" s="4864" t="s">
        <v>2880</v>
      </c>
      <c r="G110" s="4864"/>
      <c r="H110" s="4864"/>
    </row>
    <row r="111" spans="1:11" ht="12.75" customHeight="1">
      <c r="C111" s="627" t="s">
        <v>1273</v>
      </c>
      <c r="D111" s="625" t="s">
        <v>1841</v>
      </c>
      <c r="E111" s="4864" t="s">
        <v>2919</v>
      </c>
      <c r="F111" s="4864"/>
      <c r="G111" s="4864"/>
      <c r="H111" s="4864"/>
    </row>
    <row r="112" spans="1:11" ht="12.75" customHeight="1">
      <c r="C112" s="1376" t="s">
        <v>3951</v>
      </c>
      <c r="E112" s="4864" t="s">
        <v>3038</v>
      </c>
      <c r="F112" s="4864"/>
      <c r="G112" s="4864"/>
      <c r="H112" s="4864"/>
    </row>
    <row r="113" spans="1:8" ht="12.75" customHeight="1">
      <c r="C113" s="1377"/>
      <c r="D113" s="1375" t="s">
        <v>2918</v>
      </c>
      <c r="E113" s="4865" t="s">
        <v>3039</v>
      </c>
      <c r="F113" s="4865"/>
      <c r="G113" s="4865"/>
      <c r="H113" s="4865"/>
    </row>
    <row r="114" spans="1:8" ht="3" customHeight="1">
      <c r="D114" s="625"/>
      <c r="E114" s="999"/>
      <c r="F114" s="999"/>
      <c r="G114" s="999"/>
      <c r="H114" s="999"/>
    </row>
    <row r="115" spans="1:8" ht="12.75" customHeight="1">
      <c r="C115" s="603" t="s">
        <v>2879</v>
      </c>
      <c r="D115" s="625" t="s">
        <v>1839</v>
      </c>
      <c r="E115" s="626"/>
      <c r="F115" s="622" t="s">
        <v>2880</v>
      </c>
      <c r="G115" s="622"/>
      <c r="H115" s="622"/>
    </row>
    <row r="116" spans="1:8" ht="12.75" customHeight="1">
      <c r="C116" s="627" t="s">
        <v>1273</v>
      </c>
      <c r="D116" s="625" t="s">
        <v>1841</v>
      </c>
      <c r="E116" s="4864" t="s">
        <v>2919</v>
      </c>
      <c r="F116" s="4864"/>
      <c r="G116" s="4864"/>
      <c r="H116" s="4864"/>
    </row>
    <row r="117" spans="1:8" ht="12.75" customHeight="1">
      <c r="C117" s="1376" t="s">
        <v>3951</v>
      </c>
      <c r="E117" s="4864" t="s">
        <v>3038</v>
      </c>
      <c r="F117" s="4864"/>
      <c r="G117" s="4864"/>
      <c r="H117" s="4864"/>
    </row>
    <row r="118" spans="1:8" ht="12.75" customHeight="1">
      <c r="C118" s="1377"/>
      <c r="D118" s="1375" t="s">
        <v>2918</v>
      </c>
      <c r="E118" s="4865" t="s">
        <v>3039</v>
      </c>
      <c r="F118" s="4865"/>
      <c r="G118" s="4865"/>
      <c r="H118" s="4865"/>
    </row>
    <row r="119" spans="1:8" ht="3" customHeight="1">
      <c r="D119" s="625"/>
      <c r="E119" s="999"/>
      <c r="F119" s="999"/>
      <c r="G119" s="999"/>
      <c r="H119" s="999"/>
    </row>
    <row r="120" spans="1:8" ht="12.75" customHeight="1">
      <c r="C120" s="603" t="s">
        <v>2879</v>
      </c>
      <c r="D120" s="625" t="s">
        <v>1839</v>
      </c>
      <c r="E120" s="626"/>
      <c r="F120" s="622" t="s">
        <v>2880</v>
      </c>
      <c r="G120" s="622"/>
      <c r="H120" s="622"/>
    </row>
    <row r="121" spans="1:8" ht="12.75" customHeight="1">
      <c r="C121" s="627" t="s">
        <v>1273</v>
      </c>
      <c r="D121" s="625" t="s">
        <v>1841</v>
      </c>
      <c r="E121" s="4864" t="s">
        <v>2919</v>
      </c>
      <c r="F121" s="4864"/>
      <c r="G121" s="4864"/>
      <c r="H121" s="4864"/>
    </row>
    <row r="122" spans="1:8" ht="12.75" customHeight="1">
      <c r="C122" s="1376" t="s">
        <v>3951</v>
      </c>
      <c r="E122" s="4864" t="s">
        <v>3038</v>
      </c>
      <c r="F122" s="4864"/>
      <c r="G122" s="4864"/>
      <c r="H122" s="4864"/>
    </row>
    <row r="123" spans="1:8" ht="12.75" customHeight="1">
      <c r="C123" s="1377"/>
      <c r="D123" s="1375" t="s">
        <v>2918</v>
      </c>
      <c r="E123" s="4865" t="s">
        <v>3039</v>
      </c>
      <c r="F123" s="4865"/>
      <c r="G123" s="4865"/>
      <c r="H123" s="4865"/>
    </row>
    <row r="124" spans="1:8" ht="6" customHeight="1">
      <c r="D124" s="625"/>
      <c r="E124" s="999"/>
      <c r="F124" s="999"/>
      <c r="G124" s="999"/>
      <c r="H124" s="999"/>
    </row>
    <row r="125" spans="1:8" ht="13">
      <c r="A125" s="606" t="s">
        <v>2914</v>
      </c>
      <c r="B125" s="623">
        <f>IF('Part V-Revenues &amp; Expenses'!$L$70=0,"",'Part V-Revenues &amp; Expenses'!$L$70)</f>
        <v>4</v>
      </c>
      <c r="C125" s="606" t="s">
        <v>2915</v>
      </c>
      <c r="D125" s="624" t="s">
        <v>3040</v>
      </c>
    </row>
    <row r="126" spans="1:8" ht="1.9" customHeight="1"/>
    <row r="127" spans="1:8" ht="12.75" customHeight="1">
      <c r="C127" s="603" t="s">
        <v>2879</v>
      </c>
      <c r="D127" s="625" t="s">
        <v>1839</v>
      </c>
      <c r="E127" s="626"/>
      <c r="F127" s="622" t="s">
        <v>2880</v>
      </c>
      <c r="G127" s="622"/>
      <c r="H127" s="622"/>
    </row>
    <row r="128" spans="1:8" ht="12.75" customHeight="1">
      <c r="C128" s="627" t="s">
        <v>1273</v>
      </c>
      <c r="D128" s="625" t="s">
        <v>1841</v>
      </c>
      <c r="E128" s="4864" t="s">
        <v>2919</v>
      </c>
      <c r="F128" s="4864"/>
      <c r="G128" s="4864"/>
      <c r="H128" s="4864"/>
    </row>
    <row r="129" spans="1:8" ht="12.75" customHeight="1">
      <c r="C129" s="1376" t="s">
        <v>3951</v>
      </c>
      <c r="E129" s="4864" t="s">
        <v>3038</v>
      </c>
      <c r="F129" s="4864"/>
      <c r="G129" s="4864"/>
      <c r="H129" s="4864"/>
    </row>
    <row r="130" spans="1:8" ht="12.75" customHeight="1">
      <c r="C130" s="1377"/>
      <c r="D130" s="628" t="s">
        <v>2918</v>
      </c>
      <c r="E130" s="4864" t="s">
        <v>3039</v>
      </c>
      <c r="F130" s="4864"/>
      <c r="G130" s="4864"/>
      <c r="H130" s="4864"/>
    </row>
    <row r="131" spans="1:8" ht="3" customHeight="1">
      <c r="D131" s="625"/>
      <c r="E131" s="999"/>
      <c r="F131" s="999"/>
      <c r="G131" s="999"/>
      <c r="H131" s="999"/>
    </row>
    <row r="132" spans="1:8" ht="12.75" customHeight="1">
      <c r="C132" s="603" t="s">
        <v>2879</v>
      </c>
      <c r="D132" s="625" t="s">
        <v>1839</v>
      </c>
      <c r="E132" s="626"/>
      <c r="F132" s="622" t="s">
        <v>2880</v>
      </c>
      <c r="G132" s="622"/>
      <c r="H132" s="622"/>
    </row>
    <row r="133" spans="1:8" ht="12.75" customHeight="1">
      <c r="C133" s="627" t="s">
        <v>1273</v>
      </c>
      <c r="D133" s="625" t="s">
        <v>1841</v>
      </c>
      <c r="E133" s="4864" t="s">
        <v>2919</v>
      </c>
      <c r="F133" s="4864"/>
      <c r="G133" s="4864"/>
      <c r="H133" s="4864"/>
    </row>
    <row r="134" spans="1:8" ht="12.75" customHeight="1">
      <c r="C134" s="1376" t="s">
        <v>3951</v>
      </c>
      <c r="E134" s="4864" t="s">
        <v>3038</v>
      </c>
      <c r="F134" s="4864"/>
      <c r="G134" s="4864"/>
      <c r="H134" s="4864"/>
    </row>
    <row r="135" spans="1:8" ht="12.75" customHeight="1">
      <c r="C135" s="1377"/>
      <c r="D135" s="1375" t="s">
        <v>2918</v>
      </c>
      <c r="E135" s="4865" t="s">
        <v>3039</v>
      </c>
      <c r="F135" s="4865"/>
      <c r="G135" s="4865"/>
      <c r="H135" s="4865"/>
    </row>
    <row r="136" spans="1:8" ht="3" customHeight="1">
      <c r="D136" s="625"/>
      <c r="E136" s="999"/>
      <c r="F136" s="999"/>
      <c r="G136" s="999"/>
      <c r="H136" s="999"/>
    </row>
    <row r="137" spans="1:8" ht="12.75" customHeight="1">
      <c r="C137" s="603" t="s">
        <v>2879</v>
      </c>
      <c r="D137" s="625" t="s">
        <v>1839</v>
      </c>
      <c r="E137" s="626"/>
      <c r="F137" s="622" t="s">
        <v>2880</v>
      </c>
      <c r="G137" s="622"/>
      <c r="H137" s="622"/>
    </row>
    <row r="138" spans="1:8" ht="12.75" customHeight="1">
      <c r="C138" s="627" t="s">
        <v>1273</v>
      </c>
      <c r="D138" s="625" t="s">
        <v>1841</v>
      </c>
      <c r="E138" s="4864" t="s">
        <v>2919</v>
      </c>
      <c r="F138" s="4864"/>
      <c r="G138" s="4864"/>
      <c r="H138" s="4864"/>
    </row>
    <row r="139" spans="1:8" ht="12.75" customHeight="1">
      <c r="C139" s="1376" t="s">
        <v>3951</v>
      </c>
      <c r="E139" s="4864" t="s">
        <v>3038</v>
      </c>
      <c r="F139" s="4864"/>
      <c r="G139" s="4864"/>
      <c r="H139" s="4864"/>
    </row>
    <row r="140" spans="1:8" ht="12.75" customHeight="1">
      <c r="C140" s="1377"/>
      <c r="D140" s="1375" t="s">
        <v>2918</v>
      </c>
      <c r="E140" s="4865" t="s">
        <v>3039</v>
      </c>
      <c r="F140" s="4865"/>
      <c r="G140" s="4865"/>
      <c r="H140" s="4865"/>
    </row>
    <row r="141" spans="1:8" ht="6" customHeight="1">
      <c r="D141" s="625"/>
      <c r="E141" s="999"/>
      <c r="F141" s="999"/>
      <c r="G141" s="999"/>
      <c r="H141" s="999"/>
    </row>
    <row r="142" spans="1:8" ht="13">
      <c r="A142" s="606" t="s">
        <v>2914</v>
      </c>
      <c r="B142" s="623">
        <f>IF('Part V-Revenues &amp; Expenses'!$M$70=0,"",'Part V-Revenues &amp; Expenses'!$M$70)</f>
        <v>4</v>
      </c>
      <c r="C142" s="606" t="s">
        <v>2916</v>
      </c>
      <c r="D142" s="624" t="s">
        <v>3041</v>
      </c>
    </row>
    <row r="143" spans="1:8" ht="1.9" customHeight="1"/>
    <row r="144" spans="1:8" ht="12.75" customHeight="1">
      <c r="C144" s="603" t="s">
        <v>2879</v>
      </c>
      <c r="D144" s="625" t="s">
        <v>1839</v>
      </c>
      <c r="E144" s="626"/>
      <c r="F144" s="622" t="s">
        <v>2880</v>
      </c>
      <c r="G144" s="622"/>
      <c r="H144" s="622"/>
    </row>
    <row r="145" spans="1:8" ht="12.75" customHeight="1">
      <c r="C145" s="627" t="s">
        <v>1273</v>
      </c>
      <c r="D145" s="625" t="s">
        <v>1841</v>
      </c>
      <c r="E145" s="4864" t="s">
        <v>2919</v>
      </c>
      <c r="F145" s="4864"/>
      <c r="G145" s="4864"/>
      <c r="H145" s="4864"/>
    </row>
    <row r="146" spans="1:8" ht="12.75" customHeight="1">
      <c r="C146" s="1376" t="s">
        <v>3951</v>
      </c>
      <c r="E146" s="4864" t="s">
        <v>3038</v>
      </c>
      <c r="F146" s="4864"/>
      <c r="G146" s="4864"/>
      <c r="H146" s="4864"/>
    </row>
    <row r="147" spans="1:8" ht="12.75" customHeight="1">
      <c r="C147" s="1377"/>
      <c r="D147" s="628" t="s">
        <v>2918</v>
      </c>
      <c r="E147" s="4864" t="s">
        <v>3039</v>
      </c>
      <c r="F147" s="4864"/>
      <c r="G147" s="4864"/>
      <c r="H147" s="4864"/>
    </row>
    <row r="148" spans="1:8" ht="3" customHeight="1">
      <c r="D148" s="625"/>
      <c r="E148" s="999"/>
      <c r="F148" s="999"/>
      <c r="G148" s="999"/>
      <c r="H148" s="999"/>
    </row>
    <row r="149" spans="1:8" ht="12.75" customHeight="1">
      <c r="C149" s="603" t="s">
        <v>2879</v>
      </c>
      <c r="D149" s="625" t="s">
        <v>1839</v>
      </c>
      <c r="E149" s="626"/>
      <c r="F149" s="622" t="s">
        <v>2880</v>
      </c>
      <c r="G149" s="622"/>
      <c r="H149" s="622"/>
    </row>
    <row r="150" spans="1:8" ht="12.75" customHeight="1">
      <c r="C150" s="627" t="s">
        <v>1273</v>
      </c>
      <c r="D150" s="625" t="s">
        <v>1841</v>
      </c>
      <c r="E150" s="4864" t="s">
        <v>2919</v>
      </c>
      <c r="F150" s="4864"/>
      <c r="G150" s="4864"/>
      <c r="H150" s="4864"/>
    </row>
    <row r="151" spans="1:8" ht="12.75" customHeight="1">
      <c r="C151" s="1376" t="s">
        <v>3951</v>
      </c>
      <c r="E151" s="4864" t="s">
        <v>3038</v>
      </c>
      <c r="F151" s="4864"/>
      <c r="G151" s="4864"/>
      <c r="H151" s="4864"/>
    </row>
    <row r="152" spans="1:8" ht="12.75" customHeight="1">
      <c r="C152" s="1377"/>
      <c r="D152" s="1375" t="s">
        <v>2918</v>
      </c>
      <c r="E152" s="4865" t="s">
        <v>3039</v>
      </c>
      <c r="F152" s="4865"/>
      <c r="G152" s="4865"/>
      <c r="H152" s="4865"/>
    </row>
    <row r="153" spans="1:8" ht="3" customHeight="1">
      <c r="D153" s="625"/>
      <c r="E153" s="999"/>
      <c r="F153" s="999"/>
      <c r="G153" s="999"/>
      <c r="H153" s="999"/>
    </row>
    <row r="154" spans="1:8" ht="12.75" customHeight="1">
      <c r="C154" s="603" t="s">
        <v>2879</v>
      </c>
      <c r="D154" s="625" t="s">
        <v>1839</v>
      </c>
      <c r="E154" s="626"/>
      <c r="F154" s="622" t="s">
        <v>2880</v>
      </c>
      <c r="G154" s="622"/>
      <c r="H154" s="622"/>
    </row>
    <row r="155" spans="1:8" ht="12.75" customHeight="1">
      <c r="C155" s="627" t="s">
        <v>1273</v>
      </c>
      <c r="D155" s="625" t="s">
        <v>1841</v>
      </c>
      <c r="E155" s="4864" t="s">
        <v>2919</v>
      </c>
      <c r="F155" s="4864"/>
      <c r="G155" s="4864"/>
      <c r="H155" s="4864"/>
    </row>
    <row r="156" spans="1:8" ht="12.75" customHeight="1">
      <c r="C156" s="1376" t="s">
        <v>3951</v>
      </c>
      <c r="E156" s="4864" t="s">
        <v>3038</v>
      </c>
      <c r="F156" s="4864"/>
      <c r="G156" s="4864"/>
      <c r="H156" s="4864"/>
    </row>
    <row r="157" spans="1:8" ht="12.75" customHeight="1">
      <c r="C157" s="1377"/>
      <c r="D157" s="1375" t="s">
        <v>2918</v>
      </c>
      <c r="E157" s="4865" t="s">
        <v>3039</v>
      </c>
      <c r="F157" s="4865"/>
      <c r="G157" s="4865"/>
      <c r="H157" s="4865"/>
    </row>
    <row r="158" spans="1:8" ht="6" customHeight="1">
      <c r="D158" s="625"/>
      <c r="E158" s="999"/>
      <c r="F158" s="999"/>
      <c r="G158" s="999"/>
      <c r="H158" s="999"/>
    </row>
    <row r="159" spans="1:8" ht="13">
      <c r="A159" s="606" t="s">
        <v>2914</v>
      </c>
      <c r="B159" s="623" t="str">
        <f>IF('Part V-Revenues &amp; Expenses'!$N$70=0,"",'Part V-Revenues &amp; Expenses'!$N$70)</f>
        <v/>
      </c>
      <c r="C159" s="606" t="s">
        <v>2917</v>
      </c>
      <c r="D159" s="624" t="s">
        <v>3042</v>
      </c>
    </row>
    <row r="160" spans="1:8" ht="1.9" customHeight="1"/>
    <row r="161" spans="1:8" ht="12.75" customHeight="1">
      <c r="C161" s="603" t="s">
        <v>2879</v>
      </c>
      <c r="D161" s="625" t="s">
        <v>1839</v>
      </c>
      <c r="E161" s="626"/>
      <c r="F161" s="622" t="s">
        <v>2880</v>
      </c>
      <c r="G161" s="622"/>
      <c r="H161" s="622"/>
    </row>
    <row r="162" spans="1:8" ht="12.75" customHeight="1">
      <c r="C162" s="627" t="s">
        <v>1273</v>
      </c>
      <c r="D162" s="625" t="s">
        <v>1841</v>
      </c>
      <c r="E162" s="4864" t="s">
        <v>2919</v>
      </c>
      <c r="F162" s="4864"/>
      <c r="G162" s="4864"/>
      <c r="H162" s="4864"/>
    </row>
    <row r="163" spans="1:8" ht="12.75" customHeight="1">
      <c r="C163" s="1376" t="s">
        <v>3951</v>
      </c>
      <c r="E163" s="4864" t="s">
        <v>3038</v>
      </c>
      <c r="F163" s="4864"/>
      <c r="G163" s="4864"/>
      <c r="H163" s="4864"/>
    </row>
    <row r="164" spans="1:8" ht="12.75" customHeight="1">
      <c r="C164" s="1377"/>
      <c r="D164" s="628" t="s">
        <v>2918</v>
      </c>
      <c r="E164" s="4864" t="s">
        <v>3039</v>
      </c>
      <c r="F164" s="4864"/>
      <c r="G164" s="4864"/>
      <c r="H164" s="4864"/>
    </row>
    <row r="165" spans="1:8" ht="3" customHeight="1">
      <c r="D165" s="625"/>
      <c r="E165" s="999"/>
      <c r="F165" s="999"/>
      <c r="G165" s="999"/>
      <c r="H165" s="999"/>
    </row>
    <row r="166" spans="1:8" ht="12.75" customHeight="1">
      <c r="C166" s="603" t="s">
        <v>2879</v>
      </c>
      <c r="D166" s="625" t="s">
        <v>1839</v>
      </c>
      <c r="E166" s="626"/>
      <c r="F166" s="622" t="s">
        <v>2880</v>
      </c>
      <c r="G166" s="622"/>
      <c r="H166" s="622"/>
    </row>
    <row r="167" spans="1:8" ht="12.75" customHeight="1">
      <c r="C167" s="627" t="s">
        <v>1273</v>
      </c>
      <c r="D167" s="625" t="s">
        <v>1841</v>
      </c>
      <c r="E167" s="4864" t="s">
        <v>2919</v>
      </c>
      <c r="F167" s="4864"/>
      <c r="G167" s="4864"/>
      <c r="H167" s="4864"/>
    </row>
    <row r="168" spans="1:8" ht="12.75" customHeight="1">
      <c r="C168" s="1376" t="s">
        <v>3951</v>
      </c>
      <c r="E168" s="4864" t="s">
        <v>3038</v>
      </c>
      <c r="F168" s="4864"/>
      <c r="G168" s="4864"/>
      <c r="H168" s="4864"/>
    </row>
    <row r="169" spans="1:8" ht="12.75" customHeight="1">
      <c r="C169" s="1377"/>
      <c r="D169" s="1375" t="s">
        <v>2918</v>
      </c>
      <c r="E169" s="4865" t="s">
        <v>3039</v>
      </c>
      <c r="F169" s="4865"/>
      <c r="G169" s="4865"/>
      <c r="H169" s="4865"/>
    </row>
    <row r="170" spans="1:8" ht="3" customHeight="1">
      <c r="D170" s="625"/>
      <c r="E170" s="999"/>
      <c r="F170" s="999"/>
      <c r="G170" s="999"/>
      <c r="H170" s="999"/>
    </row>
    <row r="171" spans="1:8" ht="12.75" customHeight="1">
      <c r="C171" s="603" t="s">
        <v>2879</v>
      </c>
      <c r="D171" s="625" t="s">
        <v>1839</v>
      </c>
      <c r="E171" s="626"/>
      <c r="F171" s="622" t="s">
        <v>2880</v>
      </c>
      <c r="G171" s="622"/>
      <c r="H171" s="622"/>
    </row>
    <row r="172" spans="1:8" ht="12.75" customHeight="1">
      <c r="C172" s="627" t="s">
        <v>1273</v>
      </c>
      <c r="D172" s="625" t="s">
        <v>1841</v>
      </c>
      <c r="E172" s="4864" t="s">
        <v>2919</v>
      </c>
      <c r="F172" s="4864"/>
      <c r="G172" s="4864"/>
      <c r="H172" s="4864"/>
    </row>
    <row r="173" spans="1:8" ht="12.75" customHeight="1">
      <c r="C173" s="1376" t="s">
        <v>3951</v>
      </c>
      <c r="E173" s="4864" t="s">
        <v>3038</v>
      </c>
      <c r="F173" s="4864"/>
      <c r="G173" s="4864"/>
      <c r="H173" s="4864"/>
    </row>
    <row r="174" spans="1:8" ht="12.75" customHeight="1">
      <c r="C174" s="1377"/>
      <c r="D174" s="1375" t="s">
        <v>2918</v>
      </c>
      <c r="E174" s="4865" t="s">
        <v>3039</v>
      </c>
      <c r="F174" s="4865"/>
      <c r="G174" s="4865"/>
      <c r="H174" s="4865"/>
    </row>
    <row r="175" spans="1:8" ht="6" customHeight="1">
      <c r="D175" s="625"/>
      <c r="E175" s="999"/>
      <c r="F175" s="999"/>
      <c r="G175" s="999"/>
      <c r="H175" s="999"/>
    </row>
    <row r="176" spans="1:8" ht="13">
      <c r="A176" s="606" t="s">
        <v>2914</v>
      </c>
      <c r="B176" s="623" t="str">
        <f>IF('Part V-Revenues &amp; Expenses'!$O70=0,"",'Part V-Revenues &amp; Expenses'!$O$70)</f>
        <v/>
      </c>
      <c r="C176" s="606" t="s">
        <v>3949</v>
      </c>
      <c r="D176" s="624" t="s">
        <v>3950</v>
      </c>
    </row>
    <row r="177" spans="1:11" ht="1.9" customHeight="1"/>
    <row r="178" spans="1:11" ht="12.75" customHeight="1">
      <c r="C178" s="603" t="s">
        <v>2879</v>
      </c>
      <c r="D178" s="625" t="s">
        <v>1839</v>
      </c>
      <c r="E178" s="626"/>
      <c r="F178" s="4864" t="s">
        <v>2880</v>
      </c>
      <c r="G178" s="4864"/>
      <c r="H178" s="4864"/>
      <c r="K178" s="431" t="s">
        <v>233</v>
      </c>
    </row>
    <row r="179" spans="1:11" ht="12.75" customHeight="1">
      <c r="C179" s="627" t="s">
        <v>1273</v>
      </c>
      <c r="D179" s="625" t="s">
        <v>1841</v>
      </c>
      <c r="E179" s="4864" t="s">
        <v>2920</v>
      </c>
      <c r="F179" s="4864"/>
      <c r="G179" s="4864"/>
      <c r="H179" s="4864"/>
    </row>
    <row r="180" spans="1:11" ht="12.75" customHeight="1">
      <c r="E180" s="4864" t="s">
        <v>3038</v>
      </c>
      <c r="F180" s="4864"/>
      <c r="G180" s="4864"/>
      <c r="H180" s="4864"/>
    </row>
    <row r="181" spans="1:11" ht="12.75" customHeight="1">
      <c r="D181" s="628" t="s">
        <v>2918</v>
      </c>
      <c r="E181" s="4864" t="s">
        <v>3039</v>
      </c>
      <c r="F181" s="4864"/>
      <c r="G181" s="4864"/>
      <c r="H181" s="4864"/>
    </row>
    <row r="182" spans="1:11" ht="9" customHeight="1" thickBot="1"/>
    <row r="183" spans="1:11" ht="16.149999999999999" customHeight="1" thickBot="1">
      <c r="A183" s="4871">
        <v>40</v>
      </c>
      <c r="B183" s="4872"/>
      <c r="C183" s="1378" t="s">
        <v>974</v>
      </c>
    </row>
    <row r="184" spans="1:11" ht="9" customHeight="1">
      <c r="A184" s="598"/>
    </row>
    <row r="185" spans="1:11" ht="28.15" customHeight="1">
      <c r="A185" s="4864" t="s">
        <v>3955</v>
      </c>
      <c r="B185" s="4864"/>
      <c r="C185" s="4864"/>
      <c r="D185" s="4864"/>
      <c r="E185" s="4864"/>
      <c r="F185" s="4864"/>
      <c r="G185" s="4864"/>
      <c r="H185" s="4864"/>
    </row>
    <row r="186" spans="1:11" ht="9" customHeight="1">
      <c r="A186" s="598"/>
    </row>
    <row r="187" spans="1:11" ht="13">
      <c r="A187" s="606" t="s">
        <v>2914</v>
      </c>
      <c r="B187" s="623" t="str">
        <f>IF('Part V-Revenues &amp; Expenses'!$K$69=0,"",'Part V-Revenues &amp; Expenses'!$K$69)</f>
        <v/>
      </c>
      <c r="C187" s="606" t="s">
        <v>3946</v>
      </c>
      <c r="D187" s="624" t="s">
        <v>3947</v>
      </c>
    </row>
    <row r="188" spans="1:11" ht="1.9" customHeight="1"/>
    <row r="189" spans="1:11" ht="12.75" customHeight="1">
      <c r="C189" s="603" t="s">
        <v>2879</v>
      </c>
      <c r="D189" s="625" t="s">
        <v>1839</v>
      </c>
      <c r="E189" s="626"/>
      <c r="F189" s="4864" t="s">
        <v>2880</v>
      </c>
      <c r="G189" s="4864"/>
      <c r="H189" s="4864"/>
    </row>
    <row r="190" spans="1:11" ht="12.75" customHeight="1">
      <c r="C190" s="627" t="s">
        <v>1273</v>
      </c>
      <c r="D190" s="625" t="s">
        <v>1841</v>
      </c>
      <c r="E190" s="4864" t="s">
        <v>2919</v>
      </c>
      <c r="F190" s="4864"/>
      <c r="G190" s="4864"/>
      <c r="H190" s="4864"/>
    </row>
    <row r="191" spans="1:11" ht="12.75" customHeight="1">
      <c r="C191" s="1376" t="s">
        <v>3951</v>
      </c>
      <c r="E191" s="4864" t="s">
        <v>3038</v>
      </c>
      <c r="F191" s="4864"/>
      <c r="G191" s="4864"/>
      <c r="H191" s="4864"/>
    </row>
    <row r="192" spans="1:11" ht="12.75" customHeight="1">
      <c r="C192" s="1377"/>
      <c r="D192" s="1375" t="s">
        <v>2918</v>
      </c>
      <c r="E192" s="4865" t="s">
        <v>3039</v>
      </c>
      <c r="F192" s="4865"/>
      <c r="G192" s="4865"/>
      <c r="H192" s="4865"/>
    </row>
    <row r="193" spans="1:8" ht="3" customHeight="1">
      <c r="D193" s="625"/>
      <c r="E193" s="999"/>
      <c r="F193" s="999"/>
      <c r="G193" s="999"/>
      <c r="H193" s="999"/>
    </row>
    <row r="194" spans="1:8" ht="12.75" customHeight="1">
      <c r="C194" s="603" t="s">
        <v>2879</v>
      </c>
      <c r="D194" s="625" t="s">
        <v>1839</v>
      </c>
      <c r="E194" s="626"/>
      <c r="F194" s="622" t="s">
        <v>2880</v>
      </c>
      <c r="G194" s="622"/>
      <c r="H194" s="622"/>
    </row>
    <row r="195" spans="1:8" ht="12.75" customHeight="1">
      <c r="C195" s="627" t="s">
        <v>1273</v>
      </c>
      <c r="D195" s="625" t="s">
        <v>1841</v>
      </c>
      <c r="E195" s="4864" t="s">
        <v>2919</v>
      </c>
      <c r="F195" s="4864"/>
      <c r="G195" s="4864"/>
      <c r="H195" s="4864"/>
    </row>
    <row r="196" spans="1:8" ht="12.75" customHeight="1">
      <c r="C196" s="1376" t="s">
        <v>3951</v>
      </c>
      <c r="E196" s="4864" t="s">
        <v>3038</v>
      </c>
      <c r="F196" s="4864"/>
      <c r="G196" s="4864"/>
      <c r="H196" s="4864"/>
    </row>
    <row r="197" spans="1:8" ht="12.75" customHeight="1">
      <c r="C197" s="1377"/>
      <c r="D197" s="1375" t="s">
        <v>2918</v>
      </c>
      <c r="E197" s="4865" t="s">
        <v>3039</v>
      </c>
      <c r="F197" s="4865"/>
      <c r="G197" s="4865"/>
      <c r="H197" s="4865"/>
    </row>
    <row r="198" spans="1:8" ht="3" customHeight="1">
      <c r="D198" s="625"/>
      <c r="E198" s="999"/>
      <c r="F198" s="999"/>
      <c r="G198" s="999"/>
      <c r="H198" s="999"/>
    </row>
    <row r="199" spans="1:8" ht="12.75" customHeight="1">
      <c r="C199" s="603" t="s">
        <v>2879</v>
      </c>
      <c r="D199" s="625" t="s">
        <v>1839</v>
      </c>
      <c r="E199" s="626"/>
      <c r="F199" s="622" t="s">
        <v>2880</v>
      </c>
      <c r="G199" s="622"/>
      <c r="H199" s="622"/>
    </row>
    <row r="200" spans="1:8" ht="12.75" customHeight="1">
      <c r="C200" s="627" t="s">
        <v>1273</v>
      </c>
      <c r="D200" s="625" t="s">
        <v>1841</v>
      </c>
      <c r="E200" s="4864" t="s">
        <v>2919</v>
      </c>
      <c r="F200" s="4864"/>
      <c r="G200" s="4864"/>
      <c r="H200" s="4864"/>
    </row>
    <row r="201" spans="1:8" ht="12.75" customHeight="1">
      <c r="C201" s="1376" t="s">
        <v>3951</v>
      </c>
      <c r="E201" s="4864" t="s">
        <v>3038</v>
      </c>
      <c r="F201" s="4864"/>
      <c r="G201" s="4864"/>
      <c r="H201" s="4864"/>
    </row>
    <row r="202" spans="1:8" ht="12.75" customHeight="1">
      <c r="C202" s="1377"/>
      <c r="D202" s="1375" t="s">
        <v>2918</v>
      </c>
      <c r="E202" s="4865" t="s">
        <v>3039</v>
      </c>
      <c r="F202" s="4865"/>
      <c r="G202" s="4865"/>
      <c r="H202" s="4865"/>
    </row>
    <row r="203" spans="1:8" ht="6" customHeight="1">
      <c r="D203" s="625"/>
      <c r="E203" s="999"/>
      <c r="F203" s="999"/>
      <c r="G203" s="999"/>
      <c r="H203" s="999"/>
    </row>
    <row r="204" spans="1:8" ht="13">
      <c r="A204" s="606" t="s">
        <v>2914</v>
      </c>
      <c r="B204" s="623" t="str">
        <f>IF('Part V-Revenues &amp; Expenses'!$L$69=0,"",'Part V-Revenues &amp; Expenses'!$L$69)</f>
        <v/>
      </c>
      <c r="C204" s="606" t="s">
        <v>2915</v>
      </c>
      <c r="D204" s="624" t="s">
        <v>3040</v>
      </c>
    </row>
    <row r="205" spans="1:8" ht="1.9" customHeight="1"/>
    <row r="206" spans="1:8" ht="12.75" customHeight="1">
      <c r="C206" s="603" t="s">
        <v>2879</v>
      </c>
      <c r="D206" s="625" t="s">
        <v>1839</v>
      </c>
      <c r="E206" s="626"/>
      <c r="F206" s="622" t="s">
        <v>2880</v>
      </c>
      <c r="G206" s="622"/>
      <c r="H206" s="622"/>
    </row>
    <row r="207" spans="1:8" ht="12.75" customHeight="1">
      <c r="C207" s="627" t="s">
        <v>1273</v>
      </c>
      <c r="D207" s="625" t="s">
        <v>1841</v>
      </c>
      <c r="E207" s="4864" t="s">
        <v>2919</v>
      </c>
      <c r="F207" s="4864"/>
      <c r="G207" s="4864"/>
      <c r="H207" s="4864"/>
    </row>
    <row r="208" spans="1:8" ht="12.75" customHeight="1">
      <c r="C208" s="1376" t="s">
        <v>3951</v>
      </c>
      <c r="E208" s="4864" t="s">
        <v>3038</v>
      </c>
      <c r="F208" s="4864"/>
      <c r="G208" s="4864"/>
      <c r="H208" s="4864"/>
    </row>
    <row r="209" spans="1:8" ht="12.75" customHeight="1">
      <c r="C209" s="1377"/>
      <c r="D209" s="628" t="s">
        <v>2918</v>
      </c>
      <c r="E209" s="4864" t="s">
        <v>3039</v>
      </c>
      <c r="F209" s="4864"/>
      <c r="G209" s="4864"/>
      <c r="H209" s="4864"/>
    </row>
    <row r="210" spans="1:8" ht="3" customHeight="1">
      <c r="D210" s="625"/>
      <c r="E210" s="999"/>
      <c r="F210" s="999"/>
      <c r="G210" s="999"/>
      <c r="H210" s="999"/>
    </row>
    <row r="211" spans="1:8" ht="12.75" customHeight="1">
      <c r="C211" s="603" t="s">
        <v>2879</v>
      </c>
      <c r="D211" s="625" t="s">
        <v>1839</v>
      </c>
      <c r="E211" s="626"/>
      <c r="F211" s="622" t="s">
        <v>2880</v>
      </c>
      <c r="G211" s="622"/>
      <c r="H211" s="622"/>
    </row>
    <row r="212" spans="1:8" ht="12.75" customHeight="1">
      <c r="C212" s="627" t="s">
        <v>1273</v>
      </c>
      <c r="D212" s="625" t="s">
        <v>1841</v>
      </c>
      <c r="E212" s="4864" t="s">
        <v>2919</v>
      </c>
      <c r="F212" s="4864"/>
      <c r="G212" s="4864"/>
      <c r="H212" s="4864"/>
    </row>
    <row r="213" spans="1:8" ht="12.75" customHeight="1">
      <c r="C213" s="1376" t="s">
        <v>3951</v>
      </c>
      <c r="E213" s="4864" t="s">
        <v>3038</v>
      </c>
      <c r="F213" s="4864"/>
      <c r="G213" s="4864"/>
      <c r="H213" s="4864"/>
    </row>
    <row r="214" spans="1:8" ht="12.75" customHeight="1">
      <c r="C214" s="1377"/>
      <c r="D214" s="1375" t="s">
        <v>2918</v>
      </c>
      <c r="E214" s="4865" t="s">
        <v>3039</v>
      </c>
      <c r="F214" s="4865"/>
      <c r="G214" s="4865"/>
      <c r="H214" s="4865"/>
    </row>
    <row r="215" spans="1:8" ht="3" customHeight="1">
      <c r="D215" s="625"/>
      <c r="E215" s="999"/>
      <c r="F215" s="999"/>
      <c r="G215" s="999"/>
      <c r="H215" s="999"/>
    </row>
    <row r="216" spans="1:8" ht="12.75" customHeight="1">
      <c r="C216" s="603" t="s">
        <v>2879</v>
      </c>
      <c r="D216" s="625" t="s">
        <v>1839</v>
      </c>
      <c r="E216" s="626"/>
      <c r="F216" s="622" t="s">
        <v>2880</v>
      </c>
      <c r="G216" s="622"/>
      <c r="H216" s="622"/>
    </row>
    <row r="217" spans="1:8" ht="12.75" customHeight="1">
      <c r="C217" s="627" t="s">
        <v>1273</v>
      </c>
      <c r="D217" s="625" t="s">
        <v>1841</v>
      </c>
      <c r="E217" s="4864" t="s">
        <v>2919</v>
      </c>
      <c r="F217" s="4864"/>
      <c r="G217" s="4864"/>
      <c r="H217" s="4864"/>
    </row>
    <row r="218" spans="1:8" ht="12.75" customHeight="1">
      <c r="C218" s="1376" t="s">
        <v>3951</v>
      </c>
      <c r="E218" s="4864" t="s">
        <v>3038</v>
      </c>
      <c r="F218" s="4864"/>
      <c r="G218" s="4864"/>
      <c r="H218" s="4864"/>
    </row>
    <row r="219" spans="1:8" ht="12.75" customHeight="1">
      <c r="C219" s="1377"/>
      <c r="D219" s="1375" t="s">
        <v>2918</v>
      </c>
      <c r="E219" s="4865" t="s">
        <v>3039</v>
      </c>
      <c r="F219" s="4865"/>
      <c r="G219" s="4865"/>
      <c r="H219" s="4865"/>
    </row>
    <row r="220" spans="1:8" ht="6" customHeight="1">
      <c r="D220" s="625"/>
      <c r="E220" s="999"/>
      <c r="F220" s="999"/>
      <c r="G220" s="999"/>
      <c r="H220" s="999"/>
    </row>
    <row r="221" spans="1:8" ht="13">
      <c r="A221" s="606" t="s">
        <v>2914</v>
      </c>
      <c r="B221" s="623" t="str">
        <f>IF('Part V-Revenues &amp; Expenses'!$M$69=0,"",'Part V-Revenues &amp; Expenses'!$M$69)</f>
        <v/>
      </c>
      <c r="C221" s="606" t="s">
        <v>2916</v>
      </c>
      <c r="D221" s="624" t="s">
        <v>3041</v>
      </c>
    </row>
    <row r="222" spans="1:8" ht="1.9" customHeight="1"/>
    <row r="223" spans="1:8" ht="12.75" customHeight="1">
      <c r="C223" s="603" t="s">
        <v>2879</v>
      </c>
      <c r="D223" s="625" t="s">
        <v>1839</v>
      </c>
      <c r="E223" s="626"/>
      <c r="F223" s="622" t="s">
        <v>2880</v>
      </c>
      <c r="G223" s="622"/>
      <c r="H223" s="622"/>
    </row>
    <row r="224" spans="1:8" ht="12.75" customHeight="1">
      <c r="C224" s="627" t="s">
        <v>1273</v>
      </c>
      <c r="D224" s="625" t="s">
        <v>1841</v>
      </c>
      <c r="E224" s="4864" t="s">
        <v>2919</v>
      </c>
      <c r="F224" s="4864"/>
      <c r="G224" s="4864"/>
      <c r="H224" s="4864"/>
    </row>
    <row r="225" spans="1:8" ht="12.75" customHeight="1">
      <c r="C225" s="1376" t="s">
        <v>3951</v>
      </c>
      <c r="E225" s="4864" t="s">
        <v>3038</v>
      </c>
      <c r="F225" s="4864"/>
      <c r="G225" s="4864"/>
      <c r="H225" s="4864"/>
    </row>
    <row r="226" spans="1:8" ht="12.75" customHeight="1">
      <c r="C226" s="1377"/>
      <c r="D226" s="628" t="s">
        <v>2918</v>
      </c>
      <c r="E226" s="4864" t="s">
        <v>3039</v>
      </c>
      <c r="F226" s="4864"/>
      <c r="G226" s="4864"/>
      <c r="H226" s="4864"/>
    </row>
    <row r="227" spans="1:8" ht="3" customHeight="1">
      <c r="D227" s="625"/>
      <c r="E227" s="999"/>
      <c r="F227" s="999"/>
      <c r="G227" s="999"/>
      <c r="H227" s="999"/>
    </row>
    <row r="228" spans="1:8" ht="12.75" customHeight="1">
      <c r="C228" s="603" t="s">
        <v>2879</v>
      </c>
      <c r="D228" s="625" t="s">
        <v>1839</v>
      </c>
      <c r="E228" s="626"/>
      <c r="F228" s="622" t="s">
        <v>2880</v>
      </c>
      <c r="G228" s="622"/>
      <c r="H228" s="622"/>
    </row>
    <row r="229" spans="1:8" ht="12.75" customHeight="1">
      <c r="C229" s="627" t="s">
        <v>1273</v>
      </c>
      <c r="D229" s="625" t="s">
        <v>1841</v>
      </c>
      <c r="E229" s="4864" t="s">
        <v>2919</v>
      </c>
      <c r="F229" s="4864"/>
      <c r="G229" s="4864"/>
      <c r="H229" s="4864"/>
    </row>
    <row r="230" spans="1:8" ht="12.75" customHeight="1">
      <c r="C230" s="1376" t="s">
        <v>3951</v>
      </c>
      <c r="E230" s="4864" t="s">
        <v>3038</v>
      </c>
      <c r="F230" s="4864"/>
      <c r="G230" s="4864"/>
      <c r="H230" s="4864"/>
    </row>
    <row r="231" spans="1:8" ht="12.75" customHeight="1">
      <c r="C231" s="1377"/>
      <c r="D231" s="1375" t="s">
        <v>2918</v>
      </c>
      <c r="E231" s="4865" t="s">
        <v>3039</v>
      </c>
      <c r="F231" s="4865"/>
      <c r="G231" s="4865"/>
      <c r="H231" s="4865"/>
    </row>
    <row r="232" spans="1:8" ht="3" customHeight="1">
      <c r="D232" s="625"/>
      <c r="E232" s="999"/>
      <c r="F232" s="999"/>
      <c r="G232" s="999"/>
      <c r="H232" s="999"/>
    </row>
    <row r="233" spans="1:8" ht="12.75" customHeight="1">
      <c r="C233" s="603" t="s">
        <v>2879</v>
      </c>
      <c r="D233" s="625" t="s">
        <v>1839</v>
      </c>
      <c r="E233" s="626"/>
      <c r="F233" s="622" t="s">
        <v>2880</v>
      </c>
      <c r="G233" s="622"/>
      <c r="H233" s="622"/>
    </row>
    <row r="234" spans="1:8" ht="12.75" customHeight="1">
      <c r="C234" s="627" t="s">
        <v>1273</v>
      </c>
      <c r="D234" s="625" t="s">
        <v>1841</v>
      </c>
      <c r="E234" s="4864" t="s">
        <v>2919</v>
      </c>
      <c r="F234" s="4864"/>
      <c r="G234" s="4864"/>
      <c r="H234" s="4864"/>
    </row>
    <row r="235" spans="1:8" ht="12.75" customHeight="1">
      <c r="C235" s="1376" t="s">
        <v>3951</v>
      </c>
      <c r="E235" s="4864" t="s">
        <v>3038</v>
      </c>
      <c r="F235" s="4864"/>
      <c r="G235" s="4864"/>
      <c r="H235" s="4864"/>
    </row>
    <row r="236" spans="1:8" ht="12.75" customHeight="1">
      <c r="C236" s="1377"/>
      <c r="D236" s="1375" t="s">
        <v>2918</v>
      </c>
      <c r="E236" s="4865" t="s">
        <v>3039</v>
      </c>
      <c r="F236" s="4865"/>
      <c r="G236" s="4865"/>
      <c r="H236" s="4865"/>
    </row>
    <row r="237" spans="1:8" ht="6" customHeight="1">
      <c r="D237" s="625"/>
      <c r="E237" s="999"/>
      <c r="F237" s="999"/>
      <c r="G237" s="999"/>
      <c r="H237" s="999"/>
    </row>
    <row r="238" spans="1:8" ht="13">
      <c r="A238" s="606" t="s">
        <v>2914</v>
      </c>
      <c r="B238" s="623" t="str">
        <f>IF('Part V-Revenues &amp; Expenses'!$N$69=0,"",'Part V-Revenues &amp; Expenses'!$N$69)</f>
        <v/>
      </c>
      <c r="C238" s="606" t="s">
        <v>2917</v>
      </c>
      <c r="D238" s="624" t="s">
        <v>3042</v>
      </c>
    </row>
    <row r="239" spans="1:8" ht="1.9" customHeight="1"/>
    <row r="240" spans="1:8" ht="12.75" customHeight="1">
      <c r="C240" s="603" t="s">
        <v>2879</v>
      </c>
      <c r="D240" s="625" t="s">
        <v>1839</v>
      </c>
      <c r="E240" s="626"/>
      <c r="F240" s="622" t="s">
        <v>2880</v>
      </c>
      <c r="G240" s="622"/>
      <c r="H240" s="622"/>
    </row>
    <row r="241" spans="1:8" ht="12.75" customHeight="1">
      <c r="C241" s="627" t="s">
        <v>1273</v>
      </c>
      <c r="D241" s="625" t="s">
        <v>1841</v>
      </c>
      <c r="E241" s="4864" t="s">
        <v>2919</v>
      </c>
      <c r="F241" s="4864"/>
      <c r="G241" s="4864"/>
      <c r="H241" s="4864"/>
    </row>
    <row r="242" spans="1:8" ht="12.75" customHeight="1">
      <c r="C242" s="1376" t="s">
        <v>3951</v>
      </c>
      <c r="E242" s="4864" t="s">
        <v>3038</v>
      </c>
      <c r="F242" s="4864"/>
      <c r="G242" s="4864"/>
      <c r="H242" s="4864"/>
    </row>
    <row r="243" spans="1:8" ht="12.75" customHeight="1">
      <c r="C243" s="1377"/>
      <c r="D243" s="628" t="s">
        <v>2918</v>
      </c>
      <c r="E243" s="4864" t="s">
        <v>3039</v>
      </c>
      <c r="F243" s="4864"/>
      <c r="G243" s="4864"/>
      <c r="H243" s="4864"/>
    </row>
    <row r="244" spans="1:8" ht="3" customHeight="1">
      <c r="D244" s="625"/>
      <c r="E244" s="999"/>
      <c r="F244" s="999"/>
      <c r="G244" s="999"/>
      <c r="H244" s="999"/>
    </row>
    <row r="245" spans="1:8" ht="12.75" customHeight="1">
      <c r="C245" s="603" t="s">
        <v>2879</v>
      </c>
      <c r="D245" s="625" t="s">
        <v>1839</v>
      </c>
      <c r="E245" s="626"/>
      <c r="F245" s="622" t="s">
        <v>2880</v>
      </c>
      <c r="G245" s="622"/>
      <c r="H245" s="622"/>
    </row>
    <row r="246" spans="1:8" ht="12.75" customHeight="1">
      <c r="C246" s="627" t="s">
        <v>1273</v>
      </c>
      <c r="D246" s="625" t="s">
        <v>1841</v>
      </c>
      <c r="E246" s="4864" t="s">
        <v>2919</v>
      </c>
      <c r="F246" s="4864"/>
      <c r="G246" s="4864"/>
      <c r="H246" s="4864"/>
    </row>
    <row r="247" spans="1:8" ht="12.75" customHeight="1">
      <c r="C247" s="1376" t="s">
        <v>3951</v>
      </c>
      <c r="E247" s="4864" t="s">
        <v>3038</v>
      </c>
      <c r="F247" s="4864"/>
      <c r="G247" s="4864"/>
      <c r="H247" s="4864"/>
    </row>
    <row r="248" spans="1:8" ht="12.75" customHeight="1">
      <c r="C248" s="1377"/>
      <c r="D248" s="1375" t="s">
        <v>2918</v>
      </c>
      <c r="E248" s="4865" t="s">
        <v>3039</v>
      </c>
      <c r="F248" s="4865"/>
      <c r="G248" s="4865"/>
      <c r="H248" s="4865"/>
    </row>
    <row r="249" spans="1:8" ht="3" customHeight="1">
      <c r="D249" s="625"/>
      <c r="E249" s="999"/>
      <c r="F249" s="999"/>
      <c r="G249" s="999"/>
      <c r="H249" s="999"/>
    </row>
    <row r="250" spans="1:8" ht="12.75" customHeight="1">
      <c r="C250" s="603" t="s">
        <v>2879</v>
      </c>
      <c r="D250" s="625" t="s">
        <v>1839</v>
      </c>
      <c r="E250" s="626"/>
      <c r="F250" s="622" t="s">
        <v>2880</v>
      </c>
      <c r="G250" s="622"/>
      <c r="H250" s="622"/>
    </row>
    <row r="251" spans="1:8" ht="12.75" customHeight="1">
      <c r="C251" s="627" t="s">
        <v>1273</v>
      </c>
      <c r="D251" s="625" t="s">
        <v>1841</v>
      </c>
      <c r="E251" s="4864" t="s">
        <v>2919</v>
      </c>
      <c r="F251" s="4864"/>
      <c r="G251" s="4864"/>
      <c r="H251" s="4864"/>
    </row>
    <row r="252" spans="1:8" ht="12.75" customHeight="1">
      <c r="C252" s="1376" t="s">
        <v>3951</v>
      </c>
      <c r="E252" s="4864" t="s">
        <v>3038</v>
      </c>
      <c r="F252" s="4864"/>
      <c r="G252" s="4864"/>
      <c r="H252" s="4864"/>
    </row>
    <row r="253" spans="1:8" ht="12.75" customHeight="1">
      <c r="C253" s="1377"/>
      <c r="D253" s="1375" t="s">
        <v>2918</v>
      </c>
      <c r="E253" s="4865" t="s">
        <v>3039</v>
      </c>
      <c r="F253" s="4865"/>
      <c r="G253" s="4865"/>
      <c r="H253" s="4865"/>
    </row>
    <row r="254" spans="1:8" ht="6" customHeight="1">
      <c r="D254" s="625"/>
      <c r="E254" s="999"/>
      <c r="F254" s="999"/>
      <c r="G254" s="999"/>
      <c r="H254" s="999"/>
    </row>
    <row r="255" spans="1:8" ht="13">
      <c r="A255" s="606" t="s">
        <v>2914</v>
      </c>
      <c r="B255" s="623" t="str">
        <f>IF('Part V-Revenues &amp; Expenses'!$O$69=0,"",'Part V-Revenues &amp; Expenses'!$O$69)</f>
        <v/>
      </c>
      <c r="C255" s="606" t="s">
        <v>3949</v>
      </c>
      <c r="D255" s="624" t="s">
        <v>3950</v>
      </c>
    </row>
    <row r="256" spans="1:8" ht="1.9" customHeight="1"/>
    <row r="257" spans="1:11" ht="12.75" customHeight="1">
      <c r="C257" s="603" t="s">
        <v>2879</v>
      </c>
      <c r="D257" s="625" t="s">
        <v>1839</v>
      </c>
      <c r="E257" s="626"/>
      <c r="F257" s="4864" t="s">
        <v>2880</v>
      </c>
      <c r="G257" s="4864"/>
      <c r="H257" s="4864"/>
      <c r="K257" s="431" t="s">
        <v>233</v>
      </c>
    </row>
    <row r="258" spans="1:11" ht="12.75" customHeight="1">
      <c r="C258" s="627" t="s">
        <v>1273</v>
      </c>
      <c r="D258" s="625" t="s">
        <v>1841</v>
      </c>
      <c r="E258" s="4864" t="s">
        <v>2920</v>
      </c>
      <c r="F258" s="4864"/>
      <c r="G258" s="4864"/>
      <c r="H258" s="4864"/>
    </row>
    <row r="259" spans="1:11" ht="12.75" customHeight="1">
      <c r="E259" s="4864" t="s">
        <v>3038</v>
      </c>
      <c r="F259" s="4864"/>
      <c r="G259" s="4864"/>
      <c r="H259" s="4864"/>
    </row>
    <row r="260" spans="1:11" ht="12.75" customHeight="1">
      <c r="D260" s="628" t="s">
        <v>2918</v>
      </c>
      <c r="E260" s="4864" t="s">
        <v>3039</v>
      </c>
      <c r="F260" s="4864"/>
      <c r="G260" s="4864"/>
      <c r="H260" s="4864"/>
    </row>
    <row r="261" spans="1:11" ht="9" customHeight="1" thickBot="1"/>
    <row r="262" spans="1:11" ht="16.149999999999999" customHeight="1" thickBot="1">
      <c r="A262" s="4871">
        <v>50</v>
      </c>
      <c r="B262" s="4872"/>
      <c r="C262" s="1378" t="s">
        <v>974</v>
      </c>
    </row>
    <row r="263" spans="1:11" ht="9" customHeight="1">
      <c r="A263" s="598"/>
    </row>
    <row r="264" spans="1:11" ht="28.15" customHeight="1">
      <c r="A264" s="4864" t="s">
        <v>3952</v>
      </c>
      <c r="B264" s="4864"/>
      <c r="C264" s="4864"/>
      <c r="D264" s="4864"/>
      <c r="E264" s="4864"/>
      <c r="F264" s="4864"/>
      <c r="G264" s="4864"/>
      <c r="H264" s="4864"/>
    </row>
    <row r="265" spans="1:11" ht="9" customHeight="1">
      <c r="A265" s="598"/>
    </row>
    <row r="266" spans="1:11" ht="13">
      <c r="A266" s="606" t="s">
        <v>2914</v>
      </c>
      <c r="B266" s="623" t="str">
        <f>IF('Part V-Revenues &amp; Expenses'!$K$68=0,"",'Part V-Revenues &amp; Expenses'!$K$68)</f>
        <v/>
      </c>
      <c r="C266" s="606" t="s">
        <v>3946</v>
      </c>
      <c r="D266" s="624" t="s">
        <v>3947</v>
      </c>
    </row>
    <row r="267" spans="1:11" ht="1.9" customHeight="1"/>
    <row r="268" spans="1:11" ht="12.75" customHeight="1">
      <c r="C268" s="603" t="s">
        <v>2879</v>
      </c>
      <c r="D268" s="625" t="s">
        <v>1839</v>
      </c>
      <c r="E268" s="626"/>
      <c r="F268" s="4864" t="s">
        <v>2880</v>
      </c>
      <c r="G268" s="4864"/>
      <c r="H268" s="4864"/>
    </row>
    <row r="269" spans="1:11" ht="12.75" customHeight="1">
      <c r="C269" s="627" t="s">
        <v>1273</v>
      </c>
      <c r="D269" s="625" t="s">
        <v>1841</v>
      </c>
      <c r="E269" s="4864" t="s">
        <v>2919</v>
      </c>
      <c r="F269" s="4864"/>
      <c r="G269" s="4864"/>
      <c r="H269" s="4864"/>
    </row>
    <row r="270" spans="1:11" ht="12.75" customHeight="1">
      <c r="C270" s="1376" t="s">
        <v>3951</v>
      </c>
      <c r="E270" s="4864" t="s">
        <v>3038</v>
      </c>
      <c r="F270" s="4864"/>
      <c r="G270" s="4864"/>
      <c r="H270" s="4864"/>
    </row>
    <row r="271" spans="1:11" ht="12.75" customHeight="1">
      <c r="C271" s="1377"/>
      <c r="D271" s="1375" t="s">
        <v>2918</v>
      </c>
      <c r="E271" s="4865" t="s">
        <v>3039</v>
      </c>
      <c r="F271" s="4865"/>
      <c r="G271" s="4865"/>
      <c r="H271" s="4865"/>
    </row>
    <row r="272" spans="1:11" ht="3" customHeight="1">
      <c r="D272" s="625"/>
      <c r="E272" s="999"/>
      <c r="F272" s="999"/>
      <c r="G272" s="999"/>
      <c r="H272" s="999"/>
    </row>
    <row r="273" spans="1:8" ht="12.75" customHeight="1">
      <c r="C273" s="603" t="s">
        <v>2879</v>
      </c>
      <c r="D273" s="625" t="s">
        <v>1839</v>
      </c>
      <c r="E273" s="626"/>
      <c r="F273" s="622" t="s">
        <v>2880</v>
      </c>
      <c r="G273" s="622"/>
      <c r="H273" s="622"/>
    </row>
    <row r="274" spans="1:8" ht="12.75" customHeight="1">
      <c r="C274" s="627" t="s">
        <v>1273</v>
      </c>
      <c r="D274" s="625" t="s">
        <v>1841</v>
      </c>
      <c r="E274" s="4864" t="s">
        <v>2919</v>
      </c>
      <c r="F274" s="4864"/>
      <c r="G274" s="4864"/>
      <c r="H274" s="4864"/>
    </row>
    <row r="275" spans="1:8" ht="12.75" customHeight="1">
      <c r="C275" s="1376" t="s">
        <v>3951</v>
      </c>
      <c r="E275" s="4864" t="s">
        <v>3038</v>
      </c>
      <c r="F275" s="4864"/>
      <c r="G275" s="4864"/>
      <c r="H275" s="4864"/>
    </row>
    <row r="276" spans="1:8" ht="12.75" customHeight="1">
      <c r="C276" s="1377"/>
      <c r="D276" s="1375" t="s">
        <v>2918</v>
      </c>
      <c r="E276" s="4865" t="s">
        <v>3039</v>
      </c>
      <c r="F276" s="4865"/>
      <c r="G276" s="4865"/>
      <c r="H276" s="4865"/>
    </row>
    <row r="277" spans="1:8" ht="3" customHeight="1">
      <c r="D277" s="625"/>
      <c r="E277" s="999"/>
      <c r="F277" s="999"/>
      <c r="G277" s="999"/>
      <c r="H277" s="999"/>
    </row>
    <row r="278" spans="1:8" ht="12.75" customHeight="1">
      <c r="C278" s="603" t="s">
        <v>2879</v>
      </c>
      <c r="D278" s="625" t="s">
        <v>1839</v>
      </c>
      <c r="E278" s="626"/>
      <c r="F278" s="622" t="s">
        <v>2880</v>
      </c>
      <c r="G278" s="622"/>
      <c r="H278" s="622"/>
    </row>
    <row r="279" spans="1:8" ht="12.75" customHeight="1">
      <c r="C279" s="627" t="s">
        <v>1273</v>
      </c>
      <c r="D279" s="625" t="s">
        <v>1841</v>
      </c>
      <c r="E279" s="4864" t="s">
        <v>2919</v>
      </c>
      <c r="F279" s="4864"/>
      <c r="G279" s="4864"/>
      <c r="H279" s="4864"/>
    </row>
    <row r="280" spans="1:8" ht="12.75" customHeight="1">
      <c r="C280" s="1376" t="s">
        <v>3951</v>
      </c>
      <c r="E280" s="4864" t="s">
        <v>3038</v>
      </c>
      <c r="F280" s="4864"/>
      <c r="G280" s="4864"/>
      <c r="H280" s="4864"/>
    </row>
    <row r="281" spans="1:8" ht="12.75" customHeight="1">
      <c r="C281" s="1377"/>
      <c r="D281" s="1375" t="s">
        <v>2918</v>
      </c>
      <c r="E281" s="4865" t="s">
        <v>3039</v>
      </c>
      <c r="F281" s="4865"/>
      <c r="G281" s="4865"/>
      <c r="H281" s="4865"/>
    </row>
    <row r="282" spans="1:8" ht="6" customHeight="1">
      <c r="D282" s="625"/>
      <c r="E282" s="999"/>
      <c r="F282" s="999"/>
      <c r="G282" s="999"/>
      <c r="H282" s="999"/>
    </row>
    <row r="283" spans="1:8" ht="13">
      <c r="A283" s="606" t="s">
        <v>2914</v>
      </c>
      <c r="B283" s="623">
        <f>IF('Part V-Revenues &amp; Expenses'!$L$68=0,"",'Part V-Revenues &amp; Expenses'!$L$68)</f>
        <v>2</v>
      </c>
      <c r="C283" s="606" t="s">
        <v>2915</v>
      </c>
      <c r="D283" s="624" t="s">
        <v>3040</v>
      </c>
    </row>
    <row r="284" spans="1:8" ht="1.9" customHeight="1"/>
    <row r="285" spans="1:8" ht="12.75" customHeight="1">
      <c r="C285" s="603" t="s">
        <v>2879</v>
      </c>
      <c r="D285" s="625" t="s">
        <v>1839</v>
      </c>
      <c r="E285" s="626"/>
      <c r="F285" s="622" t="s">
        <v>2880</v>
      </c>
      <c r="G285" s="622"/>
      <c r="H285" s="622"/>
    </row>
    <row r="286" spans="1:8" ht="12.75" customHeight="1">
      <c r="C286" s="627" t="s">
        <v>1273</v>
      </c>
      <c r="D286" s="625" t="s">
        <v>1841</v>
      </c>
      <c r="E286" s="4864" t="s">
        <v>2919</v>
      </c>
      <c r="F286" s="4864"/>
      <c r="G286" s="4864"/>
      <c r="H286" s="4864"/>
    </row>
    <row r="287" spans="1:8" ht="12.75" customHeight="1">
      <c r="C287" s="1376" t="s">
        <v>3951</v>
      </c>
      <c r="E287" s="4864" t="s">
        <v>3038</v>
      </c>
      <c r="F287" s="4864"/>
      <c r="G287" s="4864"/>
      <c r="H287" s="4864"/>
    </row>
    <row r="288" spans="1:8" ht="12.75" customHeight="1">
      <c r="C288" s="1377"/>
      <c r="D288" s="628" t="s">
        <v>2918</v>
      </c>
      <c r="E288" s="4864" t="s">
        <v>3039</v>
      </c>
      <c r="F288" s="4864"/>
      <c r="G288" s="4864"/>
      <c r="H288" s="4864"/>
    </row>
    <row r="289" spans="1:8" ht="3" customHeight="1">
      <c r="D289" s="625"/>
      <c r="E289" s="999"/>
      <c r="F289" s="999"/>
      <c r="G289" s="999"/>
      <c r="H289" s="999"/>
    </row>
    <row r="290" spans="1:8" ht="12.75" customHeight="1">
      <c r="C290" s="603" t="s">
        <v>2879</v>
      </c>
      <c r="D290" s="625" t="s">
        <v>1839</v>
      </c>
      <c r="E290" s="626"/>
      <c r="F290" s="622" t="s">
        <v>2880</v>
      </c>
      <c r="G290" s="622"/>
      <c r="H290" s="622"/>
    </row>
    <row r="291" spans="1:8" ht="12.75" customHeight="1">
      <c r="C291" s="627" t="s">
        <v>1273</v>
      </c>
      <c r="D291" s="625" t="s">
        <v>1841</v>
      </c>
      <c r="E291" s="4864" t="s">
        <v>2919</v>
      </c>
      <c r="F291" s="4864"/>
      <c r="G291" s="4864"/>
      <c r="H291" s="4864"/>
    </row>
    <row r="292" spans="1:8" ht="12.75" customHeight="1">
      <c r="C292" s="1376" t="s">
        <v>3951</v>
      </c>
      <c r="E292" s="4864" t="s">
        <v>3038</v>
      </c>
      <c r="F292" s="4864"/>
      <c r="G292" s="4864"/>
      <c r="H292" s="4864"/>
    </row>
    <row r="293" spans="1:8" ht="12.75" customHeight="1">
      <c r="C293" s="1377"/>
      <c r="D293" s="1375" t="s">
        <v>2918</v>
      </c>
      <c r="E293" s="4865" t="s">
        <v>3039</v>
      </c>
      <c r="F293" s="4865"/>
      <c r="G293" s="4865"/>
      <c r="H293" s="4865"/>
    </row>
    <row r="294" spans="1:8" ht="3" customHeight="1">
      <c r="D294" s="625"/>
      <c r="E294" s="999"/>
      <c r="F294" s="999"/>
      <c r="G294" s="999"/>
      <c r="H294" s="999"/>
    </row>
    <row r="295" spans="1:8" ht="12.75" customHeight="1">
      <c r="C295" s="603" t="s">
        <v>2879</v>
      </c>
      <c r="D295" s="625" t="s">
        <v>1839</v>
      </c>
      <c r="E295" s="626"/>
      <c r="F295" s="622" t="s">
        <v>2880</v>
      </c>
      <c r="G295" s="622"/>
      <c r="H295" s="622"/>
    </row>
    <row r="296" spans="1:8" ht="12.75" customHeight="1">
      <c r="C296" s="627" t="s">
        <v>1273</v>
      </c>
      <c r="D296" s="625" t="s">
        <v>1841</v>
      </c>
      <c r="E296" s="4864" t="s">
        <v>2919</v>
      </c>
      <c r="F296" s="4864"/>
      <c r="G296" s="4864"/>
      <c r="H296" s="4864"/>
    </row>
    <row r="297" spans="1:8" ht="12.75" customHeight="1">
      <c r="C297" s="1376" t="s">
        <v>3951</v>
      </c>
      <c r="E297" s="4864" t="s">
        <v>3038</v>
      </c>
      <c r="F297" s="4864"/>
      <c r="G297" s="4864"/>
      <c r="H297" s="4864"/>
    </row>
    <row r="298" spans="1:8" ht="12.75" customHeight="1">
      <c r="C298" s="1377"/>
      <c r="D298" s="1375" t="s">
        <v>2918</v>
      </c>
      <c r="E298" s="4865" t="s">
        <v>3039</v>
      </c>
      <c r="F298" s="4865"/>
      <c r="G298" s="4865"/>
      <c r="H298" s="4865"/>
    </row>
    <row r="299" spans="1:8" ht="6" customHeight="1">
      <c r="D299" s="625"/>
      <c r="E299" s="999"/>
      <c r="F299" s="999"/>
      <c r="G299" s="999"/>
      <c r="H299" s="999"/>
    </row>
    <row r="300" spans="1:8" ht="13">
      <c r="A300" s="606" t="s">
        <v>2914</v>
      </c>
      <c r="B300" s="623">
        <f>IF('Part V-Revenues &amp; Expenses'!$M$68=0,"",'Part V-Revenues &amp; Expenses'!$M$68)</f>
        <v>5</v>
      </c>
      <c r="C300" s="606" t="s">
        <v>2916</v>
      </c>
      <c r="D300" s="624" t="s">
        <v>3041</v>
      </c>
    </row>
    <row r="301" spans="1:8" ht="1.9" customHeight="1"/>
    <row r="302" spans="1:8" ht="12.75" customHeight="1">
      <c r="C302" s="603" t="s">
        <v>2879</v>
      </c>
      <c r="D302" s="625" t="s">
        <v>1839</v>
      </c>
      <c r="E302" s="626"/>
      <c r="F302" s="622" t="s">
        <v>2880</v>
      </c>
      <c r="G302" s="622"/>
      <c r="H302" s="622"/>
    </row>
    <row r="303" spans="1:8" ht="12.75" customHeight="1">
      <c r="C303" s="627" t="s">
        <v>1273</v>
      </c>
      <c r="D303" s="625" t="s">
        <v>1841</v>
      </c>
      <c r="E303" s="4864" t="s">
        <v>2919</v>
      </c>
      <c r="F303" s="4864"/>
      <c r="G303" s="4864"/>
      <c r="H303" s="4864"/>
    </row>
    <row r="304" spans="1:8" ht="12.75" customHeight="1">
      <c r="C304" s="1376" t="s">
        <v>3951</v>
      </c>
      <c r="E304" s="4864" t="s">
        <v>3038</v>
      </c>
      <c r="F304" s="4864"/>
      <c r="G304" s="4864"/>
      <c r="H304" s="4864"/>
    </row>
    <row r="305" spans="1:8" ht="12.75" customHeight="1">
      <c r="C305" s="1377"/>
      <c r="D305" s="628" t="s">
        <v>2918</v>
      </c>
      <c r="E305" s="4864" t="s">
        <v>3039</v>
      </c>
      <c r="F305" s="4864"/>
      <c r="G305" s="4864"/>
      <c r="H305" s="4864"/>
    </row>
    <row r="306" spans="1:8" ht="3" customHeight="1">
      <c r="D306" s="625"/>
      <c r="E306" s="999"/>
      <c r="F306" s="999"/>
      <c r="G306" s="999"/>
      <c r="H306" s="999"/>
    </row>
    <row r="307" spans="1:8" ht="12.75" customHeight="1">
      <c r="C307" s="603" t="s">
        <v>2879</v>
      </c>
      <c r="D307" s="625" t="s">
        <v>1839</v>
      </c>
      <c r="E307" s="626"/>
      <c r="F307" s="622" t="s">
        <v>2880</v>
      </c>
      <c r="G307" s="622"/>
      <c r="H307" s="622"/>
    </row>
    <row r="308" spans="1:8" ht="12.75" customHeight="1">
      <c r="C308" s="627" t="s">
        <v>1273</v>
      </c>
      <c r="D308" s="625" t="s">
        <v>1841</v>
      </c>
      <c r="E308" s="4864" t="s">
        <v>2919</v>
      </c>
      <c r="F308" s="4864"/>
      <c r="G308" s="4864"/>
      <c r="H308" s="4864"/>
    </row>
    <row r="309" spans="1:8" ht="12.75" customHeight="1">
      <c r="C309" s="1376" t="s">
        <v>3951</v>
      </c>
      <c r="E309" s="4864" t="s">
        <v>3038</v>
      </c>
      <c r="F309" s="4864"/>
      <c r="G309" s="4864"/>
      <c r="H309" s="4864"/>
    </row>
    <row r="310" spans="1:8" ht="12.75" customHeight="1">
      <c r="C310" s="1377"/>
      <c r="D310" s="1375" t="s">
        <v>2918</v>
      </c>
      <c r="E310" s="4865" t="s">
        <v>3039</v>
      </c>
      <c r="F310" s="4865"/>
      <c r="G310" s="4865"/>
      <c r="H310" s="4865"/>
    </row>
    <row r="311" spans="1:8" ht="3" customHeight="1">
      <c r="D311" s="625"/>
      <c r="E311" s="999"/>
      <c r="F311" s="999"/>
      <c r="G311" s="999"/>
      <c r="H311" s="999"/>
    </row>
    <row r="312" spans="1:8" ht="12.75" customHeight="1">
      <c r="C312" s="603" t="s">
        <v>2879</v>
      </c>
      <c r="D312" s="625" t="s">
        <v>1839</v>
      </c>
      <c r="E312" s="626"/>
      <c r="F312" s="622" t="s">
        <v>2880</v>
      </c>
      <c r="G312" s="622"/>
      <c r="H312" s="622"/>
    </row>
    <row r="313" spans="1:8" ht="12.75" customHeight="1">
      <c r="C313" s="627" t="s">
        <v>1273</v>
      </c>
      <c r="D313" s="625" t="s">
        <v>1841</v>
      </c>
      <c r="E313" s="4864" t="s">
        <v>2919</v>
      </c>
      <c r="F313" s="4864"/>
      <c r="G313" s="4864"/>
      <c r="H313" s="4864"/>
    </row>
    <row r="314" spans="1:8" ht="12.75" customHeight="1">
      <c r="C314" s="1376" t="s">
        <v>3951</v>
      </c>
      <c r="E314" s="4864" t="s">
        <v>3038</v>
      </c>
      <c r="F314" s="4864"/>
      <c r="G314" s="4864"/>
      <c r="H314" s="4864"/>
    </row>
    <row r="315" spans="1:8" ht="12.75" customHeight="1">
      <c r="C315" s="1377"/>
      <c r="D315" s="1375" t="s">
        <v>2918</v>
      </c>
      <c r="E315" s="4865" t="s">
        <v>3039</v>
      </c>
      <c r="F315" s="4865"/>
      <c r="G315" s="4865"/>
      <c r="H315" s="4865"/>
    </row>
    <row r="316" spans="1:8" ht="6" customHeight="1">
      <c r="D316" s="625"/>
      <c r="E316" s="999"/>
      <c r="F316" s="999"/>
      <c r="G316" s="999"/>
      <c r="H316" s="999"/>
    </row>
    <row r="317" spans="1:8" ht="13">
      <c r="A317" s="606" t="s">
        <v>2914</v>
      </c>
      <c r="B317" s="623" t="str">
        <f>IF('Part V-Revenues &amp; Expenses'!$N$68=0,"",'Part V-Revenues &amp; Expenses'!$N$68)</f>
        <v/>
      </c>
      <c r="C317" s="606" t="s">
        <v>2917</v>
      </c>
      <c r="D317" s="624" t="s">
        <v>3042</v>
      </c>
    </row>
    <row r="318" spans="1:8" ht="1.9" customHeight="1"/>
    <row r="319" spans="1:8" ht="12.75" customHeight="1">
      <c r="C319" s="603" t="s">
        <v>2879</v>
      </c>
      <c r="D319" s="625" t="s">
        <v>1839</v>
      </c>
      <c r="E319" s="626"/>
      <c r="F319" s="622" t="s">
        <v>2880</v>
      </c>
      <c r="G319" s="622"/>
      <c r="H319" s="622"/>
    </row>
    <row r="320" spans="1:8" ht="12.75" customHeight="1">
      <c r="C320" s="627" t="s">
        <v>1273</v>
      </c>
      <c r="D320" s="625" t="s">
        <v>1841</v>
      </c>
      <c r="E320" s="4864" t="s">
        <v>2919</v>
      </c>
      <c r="F320" s="4864"/>
      <c r="G320" s="4864"/>
      <c r="H320" s="4864"/>
    </row>
    <row r="321" spans="1:11" ht="12.75" customHeight="1">
      <c r="C321" s="1376" t="s">
        <v>3951</v>
      </c>
      <c r="E321" s="4864" t="s">
        <v>3038</v>
      </c>
      <c r="F321" s="4864"/>
      <c r="G321" s="4864"/>
      <c r="H321" s="4864"/>
    </row>
    <row r="322" spans="1:11" ht="12.75" customHeight="1">
      <c r="C322" s="1377"/>
      <c r="D322" s="628" t="s">
        <v>2918</v>
      </c>
      <c r="E322" s="4864" t="s">
        <v>3039</v>
      </c>
      <c r="F322" s="4864"/>
      <c r="G322" s="4864"/>
      <c r="H322" s="4864"/>
    </row>
    <row r="323" spans="1:11" ht="3" customHeight="1">
      <c r="D323" s="625"/>
      <c r="E323" s="999"/>
      <c r="F323" s="999"/>
      <c r="G323" s="999"/>
      <c r="H323" s="999"/>
    </row>
    <row r="324" spans="1:11" ht="12.75" customHeight="1">
      <c r="C324" s="603" t="s">
        <v>2879</v>
      </c>
      <c r="D324" s="625" t="s">
        <v>1839</v>
      </c>
      <c r="E324" s="626"/>
      <c r="F324" s="622" t="s">
        <v>2880</v>
      </c>
      <c r="G324" s="622"/>
      <c r="H324" s="622"/>
    </row>
    <row r="325" spans="1:11" ht="12.75" customHeight="1">
      <c r="C325" s="627" t="s">
        <v>1273</v>
      </c>
      <c r="D325" s="625" t="s">
        <v>1841</v>
      </c>
      <c r="E325" s="4864" t="s">
        <v>2919</v>
      </c>
      <c r="F325" s="4864"/>
      <c r="G325" s="4864"/>
      <c r="H325" s="4864"/>
    </row>
    <row r="326" spans="1:11" ht="12.75" customHeight="1">
      <c r="C326" s="1376" t="s">
        <v>3951</v>
      </c>
      <c r="E326" s="4864" t="s">
        <v>3038</v>
      </c>
      <c r="F326" s="4864"/>
      <c r="G326" s="4864"/>
      <c r="H326" s="4864"/>
    </row>
    <row r="327" spans="1:11" ht="12.75" customHeight="1">
      <c r="C327" s="1377"/>
      <c r="D327" s="1375" t="s">
        <v>2918</v>
      </c>
      <c r="E327" s="4865" t="s">
        <v>3039</v>
      </c>
      <c r="F327" s="4865"/>
      <c r="G327" s="4865"/>
      <c r="H327" s="4865"/>
    </row>
    <row r="328" spans="1:11" ht="3" customHeight="1">
      <c r="D328" s="625"/>
      <c r="E328" s="999"/>
      <c r="F328" s="999"/>
      <c r="G328" s="999"/>
      <c r="H328" s="999"/>
    </row>
    <row r="329" spans="1:11" ht="12.75" customHeight="1">
      <c r="C329" s="603" t="s">
        <v>2879</v>
      </c>
      <c r="D329" s="625" t="s">
        <v>1839</v>
      </c>
      <c r="E329" s="626"/>
      <c r="F329" s="622" t="s">
        <v>2880</v>
      </c>
      <c r="G329" s="622"/>
      <c r="H329" s="622"/>
    </row>
    <row r="330" spans="1:11" ht="12.75" customHeight="1">
      <c r="C330" s="627" t="s">
        <v>1273</v>
      </c>
      <c r="D330" s="625" t="s">
        <v>1841</v>
      </c>
      <c r="E330" s="4864" t="s">
        <v>2919</v>
      </c>
      <c r="F330" s="4864"/>
      <c r="G330" s="4864"/>
      <c r="H330" s="4864"/>
    </row>
    <row r="331" spans="1:11" ht="12.75" customHeight="1">
      <c r="C331" s="1376" t="s">
        <v>3951</v>
      </c>
      <c r="E331" s="4864" t="s">
        <v>3038</v>
      </c>
      <c r="F331" s="4864"/>
      <c r="G331" s="4864"/>
      <c r="H331" s="4864"/>
    </row>
    <row r="332" spans="1:11" ht="12.75" customHeight="1">
      <c r="C332" s="1377"/>
      <c r="D332" s="1375" t="s">
        <v>2918</v>
      </c>
      <c r="E332" s="4865" t="s">
        <v>3039</v>
      </c>
      <c r="F332" s="4865"/>
      <c r="G332" s="4865"/>
      <c r="H332" s="4865"/>
    </row>
    <row r="333" spans="1:11" ht="6" customHeight="1">
      <c r="D333" s="625"/>
      <c r="E333" s="999"/>
      <c r="F333" s="999"/>
      <c r="G333" s="999"/>
      <c r="H333" s="999"/>
    </row>
    <row r="334" spans="1:11" ht="13">
      <c r="A334" s="606" t="s">
        <v>2914</v>
      </c>
      <c r="B334" s="623" t="str">
        <f>IF('Part V-Revenues &amp; Expenses'!$O$68=0,"",'Part V-Revenues &amp; Expenses'!$O$68)</f>
        <v/>
      </c>
      <c r="C334" s="606" t="s">
        <v>3949</v>
      </c>
      <c r="D334" s="624" t="s">
        <v>3950</v>
      </c>
    </row>
    <row r="335" spans="1:11" ht="1.9" customHeight="1"/>
    <row r="336" spans="1:11" ht="12.75" customHeight="1">
      <c r="C336" s="603" t="s">
        <v>2879</v>
      </c>
      <c r="D336" s="625" t="s">
        <v>1839</v>
      </c>
      <c r="E336" s="626"/>
      <c r="F336" s="4864" t="s">
        <v>2880</v>
      </c>
      <c r="G336" s="4864"/>
      <c r="H336" s="4864"/>
      <c r="K336" s="431" t="s">
        <v>233</v>
      </c>
    </row>
    <row r="337" spans="1:8" ht="12.75" customHeight="1">
      <c r="C337" s="627" t="s">
        <v>1273</v>
      </c>
      <c r="D337" s="625" t="s">
        <v>1841</v>
      </c>
      <c r="E337" s="4864" t="s">
        <v>2920</v>
      </c>
      <c r="F337" s="4864"/>
      <c r="G337" s="4864"/>
      <c r="H337" s="4864"/>
    </row>
    <row r="338" spans="1:8" ht="12.75" customHeight="1">
      <c r="E338" s="4864" t="s">
        <v>3038</v>
      </c>
      <c r="F338" s="4864"/>
      <c r="G338" s="4864"/>
      <c r="H338" s="4864"/>
    </row>
    <row r="339" spans="1:8" ht="12.75" customHeight="1">
      <c r="D339" s="628" t="s">
        <v>2918</v>
      </c>
      <c r="E339" s="4864" t="s">
        <v>3039</v>
      </c>
      <c r="F339" s="4864"/>
      <c r="G339" s="4864"/>
      <c r="H339" s="4864"/>
    </row>
    <row r="340" spans="1:8" ht="9" customHeight="1"/>
    <row r="341" spans="1:8" ht="7.5" customHeight="1" thickBot="1">
      <c r="E341" s="4864"/>
      <c r="F341" s="4864"/>
      <c r="G341" s="4864"/>
      <c r="H341" s="4864"/>
    </row>
    <row r="342" spans="1:8" ht="16.149999999999999" customHeight="1" thickBot="1">
      <c r="A342" s="4871">
        <v>60</v>
      </c>
      <c r="B342" s="4872"/>
      <c r="C342" s="1378" t="s">
        <v>974</v>
      </c>
    </row>
    <row r="343" spans="1:8" ht="9" customHeight="1">
      <c r="A343" s="598"/>
    </row>
    <row r="344" spans="1:8" ht="28.15" customHeight="1">
      <c r="A344" s="4864" t="s">
        <v>3956</v>
      </c>
      <c r="B344" s="4864"/>
      <c r="C344" s="4864"/>
      <c r="D344" s="4864"/>
      <c r="E344" s="4864"/>
      <c r="F344" s="4864"/>
      <c r="G344" s="4864"/>
      <c r="H344" s="4864"/>
    </row>
    <row r="345" spans="1:8" ht="9" customHeight="1">
      <c r="A345" s="598"/>
    </row>
    <row r="346" spans="1:8" ht="13">
      <c r="A346" s="606" t="s">
        <v>2914</v>
      </c>
      <c r="B346" s="623" t="str">
        <f>IF('Part V-Revenues &amp; Expenses'!$K$67=0,"",'Part V-Revenues &amp; Expenses'!$K$67)</f>
        <v/>
      </c>
      <c r="C346" s="606" t="s">
        <v>3946</v>
      </c>
      <c r="D346" s="624" t="s">
        <v>3947</v>
      </c>
    </row>
    <row r="347" spans="1:8" ht="1.9" customHeight="1"/>
    <row r="348" spans="1:8" ht="12.75" customHeight="1">
      <c r="C348" s="603" t="s">
        <v>2879</v>
      </c>
      <c r="D348" s="625" t="s">
        <v>1839</v>
      </c>
      <c r="E348" s="626"/>
      <c r="F348" s="4864" t="s">
        <v>2880</v>
      </c>
      <c r="G348" s="4864"/>
      <c r="H348" s="4864"/>
    </row>
    <row r="349" spans="1:8" ht="12.75" customHeight="1">
      <c r="C349" s="627" t="s">
        <v>1273</v>
      </c>
      <c r="D349" s="625" t="s">
        <v>1841</v>
      </c>
      <c r="E349" s="4864" t="s">
        <v>2919</v>
      </c>
      <c r="F349" s="4864"/>
      <c r="G349" s="4864"/>
      <c r="H349" s="4864"/>
    </row>
    <row r="350" spans="1:8" ht="12.75" customHeight="1">
      <c r="C350" s="1376" t="s">
        <v>3951</v>
      </c>
      <c r="E350" s="4864" t="s">
        <v>3038</v>
      </c>
      <c r="F350" s="4864"/>
      <c r="G350" s="4864"/>
      <c r="H350" s="4864"/>
    </row>
    <row r="351" spans="1:8" ht="12.75" customHeight="1">
      <c r="C351" s="1377"/>
      <c r="D351" s="1375" t="s">
        <v>2918</v>
      </c>
      <c r="E351" s="4865" t="s">
        <v>3039</v>
      </c>
      <c r="F351" s="4865"/>
      <c r="G351" s="4865"/>
      <c r="H351" s="4865"/>
    </row>
    <row r="352" spans="1:8" ht="3" customHeight="1">
      <c r="D352" s="625"/>
      <c r="E352" s="999"/>
      <c r="F352" s="999"/>
      <c r="G352" s="999"/>
      <c r="H352" s="999"/>
    </row>
    <row r="353" spans="1:8" ht="12.75" customHeight="1">
      <c r="C353" s="603" t="s">
        <v>2879</v>
      </c>
      <c r="D353" s="625" t="s">
        <v>1839</v>
      </c>
      <c r="E353" s="626"/>
      <c r="F353" s="622" t="s">
        <v>2880</v>
      </c>
      <c r="G353" s="622"/>
      <c r="H353" s="622"/>
    </row>
    <row r="354" spans="1:8" ht="12.75" customHeight="1">
      <c r="C354" s="627" t="s">
        <v>1273</v>
      </c>
      <c r="D354" s="625" t="s">
        <v>1841</v>
      </c>
      <c r="E354" s="4864" t="s">
        <v>2919</v>
      </c>
      <c r="F354" s="4864"/>
      <c r="G354" s="4864"/>
      <c r="H354" s="4864"/>
    </row>
    <row r="355" spans="1:8" ht="12.75" customHeight="1">
      <c r="C355" s="1376" t="s">
        <v>3951</v>
      </c>
      <c r="E355" s="4864" t="s">
        <v>3038</v>
      </c>
      <c r="F355" s="4864"/>
      <c r="G355" s="4864"/>
      <c r="H355" s="4864"/>
    </row>
    <row r="356" spans="1:8" ht="12.75" customHeight="1">
      <c r="C356" s="1377"/>
      <c r="D356" s="1375" t="s">
        <v>2918</v>
      </c>
      <c r="E356" s="4865" t="s">
        <v>3039</v>
      </c>
      <c r="F356" s="4865"/>
      <c r="G356" s="4865"/>
      <c r="H356" s="4865"/>
    </row>
    <row r="357" spans="1:8" ht="3" customHeight="1">
      <c r="D357" s="625"/>
      <c r="E357" s="999"/>
      <c r="F357" s="999"/>
      <c r="G357" s="999"/>
      <c r="H357" s="999"/>
    </row>
    <row r="358" spans="1:8" ht="12.75" customHeight="1">
      <c r="C358" s="603" t="s">
        <v>2879</v>
      </c>
      <c r="D358" s="625" t="s">
        <v>1839</v>
      </c>
      <c r="E358" s="626"/>
      <c r="F358" s="622" t="s">
        <v>2880</v>
      </c>
      <c r="G358" s="622"/>
      <c r="H358" s="622"/>
    </row>
    <row r="359" spans="1:8" ht="12.75" customHeight="1">
      <c r="C359" s="627" t="s">
        <v>1273</v>
      </c>
      <c r="D359" s="625" t="s">
        <v>1841</v>
      </c>
      <c r="E359" s="4864" t="s">
        <v>2919</v>
      </c>
      <c r="F359" s="4864"/>
      <c r="G359" s="4864"/>
      <c r="H359" s="4864"/>
    </row>
    <row r="360" spans="1:8" ht="12.75" customHeight="1">
      <c r="C360" s="1376" t="s">
        <v>3951</v>
      </c>
      <c r="E360" s="4864" t="s">
        <v>3038</v>
      </c>
      <c r="F360" s="4864"/>
      <c r="G360" s="4864"/>
      <c r="H360" s="4864"/>
    </row>
    <row r="361" spans="1:8" ht="12.75" customHeight="1">
      <c r="C361" s="1377"/>
      <c r="D361" s="1375" t="s">
        <v>2918</v>
      </c>
      <c r="E361" s="4865" t="s">
        <v>3039</v>
      </c>
      <c r="F361" s="4865"/>
      <c r="G361" s="4865"/>
      <c r="H361" s="4865"/>
    </row>
    <row r="362" spans="1:8" ht="6" customHeight="1">
      <c r="D362" s="625"/>
      <c r="E362" s="999"/>
      <c r="F362" s="999"/>
      <c r="G362" s="999"/>
      <c r="H362" s="999"/>
    </row>
    <row r="363" spans="1:8" ht="13">
      <c r="A363" s="606" t="s">
        <v>2914</v>
      </c>
      <c r="B363" s="623">
        <f>IF('Part V-Revenues &amp; Expenses'!$L$67=0,"",'Part V-Revenues &amp; Expenses'!$L$67)</f>
        <v>18</v>
      </c>
      <c r="C363" s="606" t="s">
        <v>2915</v>
      </c>
      <c r="D363" s="624" t="s">
        <v>3040</v>
      </c>
    </row>
    <row r="364" spans="1:8" ht="1.9" customHeight="1"/>
    <row r="365" spans="1:8" ht="12.75" customHeight="1">
      <c r="C365" s="603" t="s">
        <v>2879</v>
      </c>
      <c r="D365" s="625" t="s">
        <v>1839</v>
      </c>
      <c r="E365" s="626"/>
      <c r="F365" s="622" t="s">
        <v>2880</v>
      </c>
      <c r="G365" s="622"/>
      <c r="H365" s="622"/>
    </row>
    <row r="366" spans="1:8" ht="12.75" customHeight="1">
      <c r="C366" s="627" t="s">
        <v>1273</v>
      </c>
      <c r="D366" s="625" t="s">
        <v>1841</v>
      </c>
      <c r="E366" s="4864" t="s">
        <v>2919</v>
      </c>
      <c r="F366" s="4864"/>
      <c r="G366" s="4864"/>
      <c r="H366" s="4864"/>
    </row>
    <row r="367" spans="1:8" ht="12.75" customHeight="1">
      <c r="C367" s="1376" t="s">
        <v>3951</v>
      </c>
      <c r="E367" s="4864" t="s">
        <v>3038</v>
      </c>
      <c r="F367" s="4864"/>
      <c r="G367" s="4864"/>
      <c r="H367" s="4864"/>
    </row>
    <row r="368" spans="1:8" ht="12.75" customHeight="1">
      <c r="C368" s="1377"/>
      <c r="D368" s="628" t="s">
        <v>2918</v>
      </c>
      <c r="E368" s="4864" t="s">
        <v>3039</v>
      </c>
      <c r="F368" s="4864"/>
      <c r="G368" s="4864"/>
      <c r="H368" s="4864"/>
    </row>
    <row r="369" spans="1:8" ht="3" customHeight="1">
      <c r="D369" s="625"/>
      <c r="E369" s="999"/>
      <c r="F369" s="999"/>
      <c r="G369" s="999"/>
      <c r="H369" s="999"/>
    </row>
    <row r="370" spans="1:8" ht="12.75" customHeight="1">
      <c r="C370" s="603" t="s">
        <v>2879</v>
      </c>
      <c r="D370" s="625" t="s">
        <v>1839</v>
      </c>
      <c r="E370" s="626"/>
      <c r="F370" s="622" t="s">
        <v>2880</v>
      </c>
      <c r="G370" s="622"/>
      <c r="H370" s="622"/>
    </row>
    <row r="371" spans="1:8" ht="12.75" customHeight="1">
      <c r="C371" s="627" t="s">
        <v>1273</v>
      </c>
      <c r="D371" s="625" t="s">
        <v>1841</v>
      </c>
      <c r="E371" s="4864" t="s">
        <v>2919</v>
      </c>
      <c r="F371" s="4864"/>
      <c r="G371" s="4864"/>
      <c r="H371" s="4864"/>
    </row>
    <row r="372" spans="1:8" ht="12.75" customHeight="1">
      <c r="C372" s="1376" t="s">
        <v>3951</v>
      </c>
      <c r="E372" s="4864" t="s">
        <v>3038</v>
      </c>
      <c r="F372" s="4864"/>
      <c r="G372" s="4864"/>
      <c r="H372" s="4864"/>
    </row>
    <row r="373" spans="1:8" ht="12.75" customHeight="1">
      <c r="C373" s="1377"/>
      <c r="D373" s="1375" t="s">
        <v>2918</v>
      </c>
      <c r="E373" s="4865" t="s">
        <v>3039</v>
      </c>
      <c r="F373" s="4865"/>
      <c r="G373" s="4865"/>
      <c r="H373" s="4865"/>
    </row>
    <row r="374" spans="1:8" ht="3" customHeight="1">
      <c r="D374" s="625"/>
      <c r="E374" s="999"/>
      <c r="F374" s="999"/>
      <c r="G374" s="999"/>
      <c r="H374" s="999"/>
    </row>
    <row r="375" spans="1:8" ht="12.75" customHeight="1">
      <c r="C375" s="603" t="s">
        <v>2879</v>
      </c>
      <c r="D375" s="625" t="s">
        <v>1839</v>
      </c>
      <c r="E375" s="626"/>
      <c r="F375" s="622" t="s">
        <v>2880</v>
      </c>
      <c r="G375" s="622"/>
      <c r="H375" s="622"/>
    </row>
    <row r="376" spans="1:8" ht="12.75" customHeight="1">
      <c r="C376" s="627" t="s">
        <v>1273</v>
      </c>
      <c r="D376" s="625" t="s">
        <v>1841</v>
      </c>
      <c r="E376" s="4864" t="s">
        <v>2919</v>
      </c>
      <c r="F376" s="4864"/>
      <c r="G376" s="4864"/>
      <c r="H376" s="4864"/>
    </row>
    <row r="377" spans="1:8" ht="12.75" customHeight="1">
      <c r="C377" s="1376" t="s">
        <v>3951</v>
      </c>
      <c r="E377" s="4864" t="s">
        <v>3038</v>
      </c>
      <c r="F377" s="4864"/>
      <c r="G377" s="4864"/>
      <c r="H377" s="4864"/>
    </row>
    <row r="378" spans="1:8" ht="12.75" customHeight="1">
      <c r="C378" s="1377"/>
      <c r="D378" s="1375" t="s">
        <v>2918</v>
      </c>
      <c r="E378" s="4865" t="s">
        <v>3039</v>
      </c>
      <c r="F378" s="4865"/>
      <c r="G378" s="4865"/>
      <c r="H378" s="4865"/>
    </row>
    <row r="379" spans="1:8" ht="6" customHeight="1">
      <c r="D379" s="625"/>
      <c r="E379" s="999"/>
      <c r="F379" s="999"/>
      <c r="G379" s="999"/>
      <c r="H379" s="999"/>
    </row>
    <row r="380" spans="1:8" ht="13">
      <c r="A380" s="606" t="s">
        <v>2914</v>
      </c>
      <c r="B380" s="623">
        <f>IF('Part V-Revenues &amp; Expenses'!$M$67=0,"",'Part V-Revenues &amp; Expenses'!$M$67)</f>
        <v>75</v>
      </c>
      <c r="C380" s="606" t="s">
        <v>2916</v>
      </c>
      <c r="D380" s="624" t="s">
        <v>3041</v>
      </c>
    </row>
    <row r="381" spans="1:8" ht="1.9" customHeight="1"/>
    <row r="382" spans="1:8" ht="12.75" customHeight="1">
      <c r="C382" s="603" t="s">
        <v>2879</v>
      </c>
      <c r="D382" s="625" t="s">
        <v>1839</v>
      </c>
      <c r="E382" s="626"/>
      <c r="F382" s="622" t="s">
        <v>2880</v>
      </c>
      <c r="G382" s="622"/>
      <c r="H382" s="622"/>
    </row>
    <row r="383" spans="1:8" ht="12.75" customHeight="1">
      <c r="C383" s="627" t="s">
        <v>1273</v>
      </c>
      <c r="D383" s="625" t="s">
        <v>1841</v>
      </c>
      <c r="E383" s="4864" t="s">
        <v>2919</v>
      </c>
      <c r="F383" s="4864"/>
      <c r="G383" s="4864"/>
      <c r="H383" s="4864"/>
    </row>
    <row r="384" spans="1:8" ht="12.75" customHeight="1">
      <c r="C384" s="1376" t="s">
        <v>3951</v>
      </c>
      <c r="E384" s="4864" t="s">
        <v>3038</v>
      </c>
      <c r="F384" s="4864"/>
      <c r="G384" s="4864"/>
      <c r="H384" s="4864"/>
    </row>
    <row r="385" spans="1:8" ht="12.75" customHeight="1">
      <c r="C385" s="1377"/>
      <c r="D385" s="628" t="s">
        <v>2918</v>
      </c>
      <c r="E385" s="4864" t="s">
        <v>3039</v>
      </c>
      <c r="F385" s="4864"/>
      <c r="G385" s="4864"/>
      <c r="H385" s="4864"/>
    </row>
    <row r="386" spans="1:8" ht="3" customHeight="1">
      <c r="D386" s="625"/>
      <c r="E386" s="999"/>
      <c r="F386" s="999"/>
      <c r="G386" s="999"/>
      <c r="H386" s="999"/>
    </row>
    <row r="387" spans="1:8" ht="12.75" customHeight="1">
      <c r="C387" s="603" t="s">
        <v>2879</v>
      </c>
      <c r="D387" s="625" t="s">
        <v>1839</v>
      </c>
      <c r="E387" s="626"/>
      <c r="F387" s="622" t="s">
        <v>2880</v>
      </c>
      <c r="G387" s="622"/>
      <c r="H387" s="622"/>
    </row>
    <row r="388" spans="1:8" ht="12.75" customHeight="1">
      <c r="C388" s="627" t="s">
        <v>1273</v>
      </c>
      <c r="D388" s="625" t="s">
        <v>1841</v>
      </c>
      <c r="E388" s="4864" t="s">
        <v>2919</v>
      </c>
      <c r="F388" s="4864"/>
      <c r="G388" s="4864"/>
      <c r="H388" s="4864"/>
    </row>
    <row r="389" spans="1:8" ht="12.75" customHeight="1">
      <c r="C389" s="1376" t="s">
        <v>3951</v>
      </c>
      <c r="E389" s="4864" t="s">
        <v>3038</v>
      </c>
      <c r="F389" s="4864"/>
      <c r="G389" s="4864"/>
      <c r="H389" s="4864"/>
    </row>
    <row r="390" spans="1:8" ht="12.75" customHeight="1">
      <c r="C390" s="1377"/>
      <c r="D390" s="1375" t="s">
        <v>2918</v>
      </c>
      <c r="E390" s="4865" t="s">
        <v>3039</v>
      </c>
      <c r="F390" s="4865"/>
      <c r="G390" s="4865"/>
      <c r="H390" s="4865"/>
    </row>
    <row r="391" spans="1:8" ht="3" customHeight="1">
      <c r="D391" s="625"/>
      <c r="E391" s="999"/>
      <c r="F391" s="999"/>
      <c r="G391" s="999"/>
      <c r="H391" s="999"/>
    </row>
    <row r="392" spans="1:8" ht="12.75" customHeight="1">
      <c r="C392" s="603" t="s">
        <v>2879</v>
      </c>
      <c r="D392" s="625" t="s">
        <v>1839</v>
      </c>
      <c r="E392" s="626"/>
      <c r="F392" s="622" t="s">
        <v>2880</v>
      </c>
      <c r="G392" s="622"/>
      <c r="H392" s="622"/>
    </row>
    <row r="393" spans="1:8" ht="12.75" customHeight="1">
      <c r="C393" s="627" t="s">
        <v>1273</v>
      </c>
      <c r="D393" s="625" t="s">
        <v>1841</v>
      </c>
      <c r="E393" s="4864" t="s">
        <v>2919</v>
      </c>
      <c r="F393" s="4864"/>
      <c r="G393" s="4864"/>
      <c r="H393" s="4864"/>
    </row>
    <row r="394" spans="1:8" ht="12.75" customHeight="1">
      <c r="C394" s="1376" t="s">
        <v>3951</v>
      </c>
      <c r="E394" s="4864" t="s">
        <v>3038</v>
      </c>
      <c r="F394" s="4864"/>
      <c r="G394" s="4864"/>
      <c r="H394" s="4864"/>
    </row>
    <row r="395" spans="1:8" ht="12.75" customHeight="1">
      <c r="C395" s="1377"/>
      <c r="D395" s="1375" t="s">
        <v>2918</v>
      </c>
      <c r="E395" s="4865" t="s">
        <v>3039</v>
      </c>
      <c r="F395" s="4865"/>
      <c r="G395" s="4865"/>
      <c r="H395" s="4865"/>
    </row>
    <row r="396" spans="1:8" ht="6" customHeight="1">
      <c r="D396" s="625"/>
      <c r="E396" s="999"/>
      <c r="F396" s="999"/>
      <c r="G396" s="999"/>
      <c r="H396" s="999"/>
    </row>
    <row r="397" spans="1:8" ht="13">
      <c r="A397" s="606" t="s">
        <v>2914</v>
      </c>
      <c r="B397" s="623" t="str">
        <f>IF('Part V-Revenues &amp; Expenses'!$N$67=0,"",'Part V-Revenues &amp; Expenses'!$N$67)</f>
        <v/>
      </c>
      <c r="C397" s="606" t="s">
        <v>2917</v>
      </c>
      <c r="D397" s="624" t="s">
        <v>3042</v>
      </c>
    </row>
    <row r="398" spans="1:8" ht="1.9" customHeight="1"/>
    <row r="399" spans="1:8" ht="12.75" customHeight="1">
      <c r="C399" s="603" t="s">
        <v>2879</v>
      </c>
      <c r="D399" s="625" t="s">
        <v>1839</v>
      </c>
      <c r="E399" s="626"/>
      <c r="F399" s="622" t="s">
        <v>2880</v>
      </c>
      <c r="G399" s="622"/>
      <c r="H399" s="622"/>
    </row>
    <row r="400" spans="1:8" ht="12.75" customHeight="1">
      <c r="C400" s="627" t="s">
        <v>1273</v>
      </c>
      <c r="D400" s="625" t="s">
        <v>1841</v>
      </c>
      <c r="E400" s="4864" t="s">
        <v>2919</v>
      </c>
      <c r="F400" s="4864"/>
      <c r="G400" s="4864"/>
      <c r="H400" s="4864"/>
    </row>
    <row r="401" spans="1:11" ht="12.75" customHeight="1">
      <c r="C401" s="1376" t="s">
        <v>3951</v>
      </c>
      <c r="E401" s="4864" t="s">
        <v>3038</v>
      </c>
      <c r="F401" s="4864"/>
      <c r="G401" s="4864"/>
      <c r="H401" s="4864"/>
    </row>
    <row r="402" spans="1:11" ht="12.75" customHeight="1">
      <c r="C402" s="1377"/>
      <c r="D402" s="628" t="s">
        <v>2918</v>
      </c>
      <c r="E402" s="4864" t="s">
        <v>3039</v>
      </c>
      <c r="F402" s="4864"/>
      <c r="G402" s="4864"/>
      <c r="H402" s="4864"/>
    </row>
    <row r="403" spans="1:11" ht="3" customHeight="1">
      <c r="D403" s="625"/>
      <c r="E403" s="999"/>
      <c r="F403" s="999"/>
      <c r="G403" s="999"/>
      <c r="H403" s="999"/>
    </row>
    <row r="404" spans="1:11" ht="12.75" customHeight="1">
      <c r="C404" s="603" t="s">
        <v>2879</v>
      </c>
      <c r="D404" s="625" t="s">
        <v>1839</v>
      </c>
      <c r="E404" s="626"/>
      <c r="F404" s="622" t="s">
        <v>2880</v>
      </c>
      <c r="G404" s="622"/>
      <c r="H404" s="622"/>
    </row>
    <row r="405" spans="1:11" ht="12.75" customHeight="1">
      <c r="C405" s="627" t="s">
        <v>1273</v>
      </c>
      <c r="D405" s="625" t="s">
        <v>1841</v>
      </c>
      <c r="E405" s="4864" t="s">
        <v>2919</v>
      </c>
      <c r="F405" s="4864"/>
      <c r="G405" s="4864"/>
      <c r="H405" s="4864"/>
    </row>
    <row r="406" spans="1:11" ht="12.75" customHeight="1">
      <c r="C406" s="1376" t="s">
        <v>3951</v>
      </c>
      <c r="E406" s="4864" t="s">
        <v>3038</v>
      </c>
      <c r="F406" s="4864"/>
      <c r="G406" s="4864"/>
      <c r="H406" s="4864"/>
    </row>
    <row r="407" spans="1:11" ht="12.75" customHeight="1">
      <c r="C407" s="1377"/>
      <c r="D407" s="1375" t="s">
        <v>2918</v>
      </c>
      <c r="E407" s="4865" t="s">
        <v>3039</v>
      </c>
      <c r="F407" s="4865"/>
      <c r="G407" s="4865"/>
      <c r="H407" s="4865"/>
    </row>
    <row r="408" spans="1:11" ht="3" customHeight="1">
      <c r="D408" s="625"/>
      <c r="E408" s="999"/>
      <c r="F408" s="999"/>
      <c r="G408" s="999"/>
      <c r="H408" s="999"/>
    </row>
    <row r="409" spans="1:11" ht="12.75" customHeight="1">
      <c r="C409" s="603" t="s">
        <v>2879</v>
      </c>
      <c r="D409" s="625" t="s">
        <v>1839</v>
      </c>
      <c r="E409" s="626"/>
      <c r="F409" s="622" t="s">
        <v>2880</v>
      </c>
      <c r="G409" s="622"/>
      <c r="H409" s="622"/>
    </row>
    <row r="410" spans="1:11" ht="12.75" customHeight="1">
      <c r="C410" s="627" t="s">
        <v>1273</v>
      </c>
      <c r="D410" s="625" t="s">
        <v>1841</v>
      </c>
      <c r="E410" s="4864" t="s">
        <v>2919</v>
      </c>
      <c r="F410" s="4864"/>
      <c r="G410" s="4864"/>
      <c r="H410" s="4864"/>
    </row>
    <row r="411" spans="1:11" ht="12.75" customHeight="1">
      <c r="C411" s="1376" t="s">
        <v>3951</v>
      </c>
      <c r="E411" s="4864" t="s">
        <v>3038</v>
      </c>
      <c r="F411" s="4864"/>
      <c r="G411" s="4864"/>
      <c r="H411" s="4864"/>
    </row>
    <row r="412" spans="1:11" ht="12.75" customHeight="1">
      <c r="C412" s="1377"/>
      <c r="D412" s="1375" t="s">
        <v>2918</v>
      </c>
      <c r="E412" s="4865" t="s">
        <v>3039</v>
      </c>
      <c r="F412" s="4865"/>
      <c r="G412" s="4865"/>
      <c r="H412" s="4865"/>
    </row>
    <row r="413" spans="1:11" ht="6" customHeight="1">
      <c r="D413" s="625"/>
      <c r="E413" s="999"/>
      <c r="F413" s="999"/>
      <c r="G413" s="999"/>
      <c r="H413" s="999"/>
    </row>
    <row r="414" spans="1:11" ht="13">
      <c r="A414" s="606" t="s">
        <v>2914</v>
      </c>
      <c r="B414" s="623" t="str">
        <f>IF('Part V-Revenues &amp; Expenses'!$O$67=0,"",'Part V-Revenues &amp; Expenses'!$O$67)</f>
        <v/>
      </c>
      <c r="C414" s="606" t="s">
        <v>3949</v>
      </c>
      <c r="D414" s="624" t="s">
        <v>3950</v>
      </c>
    </row>
    <row r="415" spans="1:11" ht="1.9" customHeight="1"/>
    <row r="416" spans="1:11" ht="12.75" customHeight="1">
      <c r="C416" s="603" t="s">
        <v>2879</v>
      </c>
      <c r="D416" s="625" t="s">
        <v>1839</v>
      </c>
      <c r="E416" s="626"/>
      <c r="F416" s="4864" t="s">
        <v>2880</v>
      </c>
      <c r="G416" s="4864"/>
      <c r="H416" s="4864"/>
      <c r="K416" s="431" t="s">
        <v>233</v>
      </c>
    </row>
    <row r="417" spans="1:8" ht="12.75" customHeight="1">
      <c r="C417" s="627" t="s">
        <v>1273</v>
      </c>
      <c r="D417" s="625" t="s">
        <v>1841</v>
      </c>
      <c r="E417" s="4864" t="s">
        <v>2920</v>
      </c>
      <c r="F417" s="4864"/>
      <c r="G417" s="4864"/>
      <c r="H417" s="4864"/>
    </row>
    <row r="418" spans="1:8" ht="12.75" customHeight="1">
      <c r="E418" s="4864" t="s">
        <v>3038</v>
      </c>
      <c r="F418" s="4864"/>
      <c r="G418" s="4864"/>
      <c r="H418" s="4864"/>
    </row>
    <row r="419" spans="1:8" ht="12.75" customHeight="1">
      <c r="D419" s="628" t="s">
        <v>2918</v>
      </c>
      <c r="E419" s="4864" t="s">
        <v>3039</v>
      </c>
      <c r="F419" s="4864"/>
      <c r="G419" s="4864"/>
      <c r="H419" s="4864"/>
    </row>
    <row r="420" spans="1:8" ht="9" customHeight="1" thickBot="1"/>
    <row r="421" spans="1:8" ht="16.149999999999999" customHeight="1" thickBot="1">
      <c r="A421" s="4871">
        <v>70</v>
      </c>
      <c r="B421" s="4872"/>
      <c r="C421" s="1378" t="s">
        <v>974</v>
      </c>
    </row>
    <row r="422" spans="1:8" ht="9" customHeight="1">
      <c r="A422" s="598"/>
    </row>
    <row r="423" spans="1:8" ht="28.15" customHeight="1">
      <c r="A423" s="4864" t="s">
        <v>3957</v>
      </c>
      <c r="B423" s="4864"/>
      <c r="C423" s="4864"/>
      <c r="D423" s="4864"/>
      <c r="E423" s="4864"/>
      <c r="F423" s="4864"/>
      <c r="G423" s="4864"/>
      <c r="H423" s="4864"/>
    </row>
    <row r="424" spans="1:8" ht="9" customHeight="1">
      <c r="A424" s="598"/>
    </row>
    <row r="425" spans="1:8" ht="13">
      <c r="A425" s="606" t="s">
        <v>2914</v>
      </c>
      <c r="B425" s="623" t="str">
        <f>IF('Part V-Revenues &amp; Expenses'!$K$66=0,"",'Part V-Revenues &amp; Expenses'!$K$66)</f>
        <v/>
      </c>
      <c r="C425" s="606" t="s">
        <v>3946</v>
      </c>
      <c r="D425" s="624" t="s">
        <v>3947</v>
      </c>
    </row>
    <row r="426" spans="1:8" ht="1.9" customHeight="1"/>
    <row r="427" spans="1:8" ht="12.75" customHeight="1">
      <c r="C427" s="603" t="s">
        <v>2879</v>
      </c>
      <c r="D427" s="625" t="s">
        <v>1839</v>
      </c>
      <c r="E427" s="626"/>
      <c r="F427" s="4864" t="s">
        <v>2880</v>
      </c>
      <c r="G427" s="4864"/>
      <c r="H427" s="4864"/>
    </row>
    <row r="428" spans="1:8" ht="12.75" customHeight="1">
      <c r="C428" s="627" t="s">
        <v>1273</v>
      </c>
      <c r="D428" s="625" t="s">
        <v>1841</v>
      </c>
      <c r="E428" s="4864" t="s">
        <v>2919</v>
      </c>
      <c r="F428" s="4864"/>
      <c r="G428" s="4864"/>
      <c r="H428" s="4864"/>
    </row>
    <row r="429" spans="1:8" ht="12.75" customHeight="1">
      <c r="C429" s="1376" t="s">
        <v>3951</v>
      </c>
      <c r="E429" s="4864" t="s">
        <v>3038</v>
      </c>
      <c r="F429" s="4864"/>
      <c r="G429" s="4864"/>
      <c r="H429" s="4864"/>
    </row>
    <row r="430" spans="1:8" ht="12.75" customHeight="1">
      <c r="C430" s="1377"/>
      <c r="D430" s="1375" t="s">
        <v>2918</v>
      </c>
      <c r="E430" s="4865" t="s">
        <v>3039</v>
      </c>
      <c r="F430" s="4865"/>
      <c r="G430" s="4865"/>
      <c r="H430" s="4865"/>
    </row>
    <row r="431" spans="1:8" ht="3" customHeight="1">
      <c r="D431" s="625"/>
      <c r="E431" s="999"/>
      <c r="F431" s="999"/>
      <c r="G431" s="999"/>
      <c r="H431" s="999"/>
    </row>
    <row r="432" spans="1:8" ht="12.75" customHeight="1">
      <c r="C432" s="603" t="s">
        <v>2879</v>
      </c>
      <c r="D432" s="625" t="s">
        <v>1839</v>
      </c>
      <c r="E432" s="626"/>
      <c r="F432" s="622" t="s">
        <v>2880</v>
      </c>
      <c r="G432" s="622"/>
      <c r="H432" s="622"/>
    </row>
    <row r="433" spans="1:8" ht="12.75" customHeight="1">
      <c r="C433" s="627" t="s">
        <v>1273</v>
      </c>
      <c r="D433" s="625" t="s">
        <v>1841</v>
      </c>
      <c r="E433" s="4864" t="s">
        <v>2919</v>
      </c>
      <c r="F433" s="4864"/>
      <c r="G433" s="4864"/>
      <c r="H433" s="4864"/>
    </row>
    <row r="434" spans="1:8" ht="12.75" customHeight="1">
      <c r="C434" s="1376" t="s">
        <v>3951</v>
      </c>
      <c r="E434" s="4864" t="s">
        <v>3038</v>
      </c>
      <c r="F434" s="4864"/>
      <c r="G434" s="4864"/>
      <c r="H434" s="4864"/>
    </row>
    <row r="435" spans="1:8" ht="12.75" customHeight="1">
      <c r="C435" s="1377"/>
      <c r="D435" s="1375" t="s">
        <v>2918</v>
      </c>
      <c r="E435" s="4865" t="s">
        <v>3039</v>
      </c>
      <c r="F435" s="4865"/>
      <c r="G435" s="4865"/>
      <c r="H435" s="4865"/>
    </row>
    <row r="436" spans="1:8" ht="3" customHeight="1">
      <c r="D436" s="625"/>
      <c r="E436" s="999"/>
      <c r="F436" s="999"/>
      <c r="G436" s="999"/>
      <c r="H436" s="999"/>
    </row>
    <row r="437" spans="1:8" ht="12.75" customHeight="1">
      <c r="C437" s="603" t="s">
        <v>2879</v>
      </c>
      <c r="D437" s="625" t="s">
        <v>1839</v>
      </c>
      <c r="E437" s="626"/>
      <c r="F437" s="622" t="s">
        <v>2880</v>
      </c>
      <c r="G437" s="622"/>
      <c r="H437" s="622"/>
    </row>
    <row r="438" spans="1:8" ht="12.75" customHeight="1">
      <c r="C438" s="627" t="s">
        <v>1273</v>
      </c>
      <c r="D438" s="625" t="s">
        <v>1841</v>
      </c>
      <c r="E438" s="4864" t="s">
        <v>2919</v>
      </c>
      <c r="F438" s="4864"/>
      <c r="G438" s="4864"/>
      <c r="H438" s="4864"/>
    </row>
    <row r="439" spans="1:8" ht="12.75" customHeight="1">
      <c r="C439" s="1376" t="s">
        <v>3951</v>
      </c>
      <c r="E439" s="4864" t="s">
        <v>3038</v>
      </c>
      <c r="F439" s="4864"/>
      <c r="G439" s="4864"/>
      <c r="H439" s="4864"/>
    </row>
    <row r="440" spans="1:8" ht="12.75" customHeight="1">
      <c r="C440" s="1377"/>
      <c r="D440" s="1375" t="s">
        <v>2918</v>
      </c>
      <c r="E440" s="4865" t="s">
        <v>3039</v>
      </c>
      <c r="F440" s="4865"/>
      <c r="G440" s="4865"/>
      <c r="H440" s="4865"/>
    </row>
    <row r="441" spans="1:8" ht="6" customHeight="1">
      <c r="D441" s="625"/>
      <c r="E441" s="999"/>
      <c r="F441" s="999"/>
      <c r="G441" s="999"/>
      <c r="H441" s="999"/>
    </row>
    <row r="442" spans="1:8" ht="13">
      <c r="A442" s="606" t="s">
        <v>2914</v>
      </c>
      <c r="B442" s="623" t="str">
        <f>IF('Part V-Revenues &amp; Expenses'!$L$66=0,"",'Part V-Revenues &amp; Expenses'!$L$66)</f>
        <v/>
      </c>
      <c r="C442" s="606" t="s">
        <v>2915</v>
      </c>
      <c r="D442" s="624" t="s">
        <v>3040</v>
      </c>
    </row>
    <row r="443" spans="1:8" ht="1.9" customHeight="1"/>
    <row r="444" spans="1:8" ht="12.75" customHeight="1">
      <c r="C444" s="603" t="s">
        <v>2879</v>
      </c>
      <c r="D444" s="625" t="s">
        <v>1839</v>
      </c>
      <c r="E444" s="626"/>
      <c r="F444" s="622" t="s">
        <v>2880</v>
      </c>
      <c r="G444" s="622"/>
      <c r="H444" s="622"/>
    </row>
    <row r="445" spans="1:8" ht="12.75" customHeight="1">
      <c r="C445" s="627" t="s">
        <v>1273</v>
      </c>
      <c r="D445" s="625" t="s">
        <v>1841</v>
      </c>
      <c r="E445" s="4864" t="s">
        <v>2919</v>
      </c>
      <c r="F445" s="4864"/>
      <c r="G445" s="4864"/>
      <c r="H445" s="4864"/>
    </row>
    <row r="446" spans="1:8" ht="12.75" customHeight="1">
      <c r="C446" s="1376" t="s">
        <v>3951</v>
      </c>
      <c r="E446" s="4864" t="s">
        <v>3038</v>
      </c>
      <c r="F446" s="4864"/>
      <c r="G446" s="4864"/>
      <c r="H446" s="4864"/>
    </row>
    <row r="447" spans="1:8" ht="12.75" customHeight="1">
      <c r="C447" s="1377"/>
      <c r="D447" s="628" t="s">
        <v>2918</v>
      </c>
      <c r="E447" s="4864" t="s">
        <v>3039</v>
      </c>
      <c r="F447" s="4864"/>
      <c r="G447" s="4864"/>
      <c r="H447" s="4864"/>
    </row>
    <row r="448" spans="1:8" ht="3" customHeight="1">
      <c r="D448" s="625"/>
      <c r="E448" s="999"/>
      <c r="F448" s="999"/>
      <c r="G448" s="999"/>
      <c r="H448" s="999"/>
    </row>
    <row r="449" spans="1:8" ht="12.75" customHeight="1">
      <c r="C449" s="603" t="s">
        <v>2879</v>
      </c>
      <c r="D449" s="625" t="s">
        <v>1839</v>
      </c>
      <c r="E449" s="626"/>
      <c r="F449" s="622" t="s">
        <v>2880</v>
      </c>
      <c r="G449" s="622"/>
      <c r="H449" s="622"/>
    </row>
    <row r="450" spans="1:8" ht="12.75" customHeight="1">
      <c r="C450" s="627" t="s">
        <v>1273</v>
      </c>
      <c r="D450" s="625" t="s">
        <v>1841</v>
      </c>
      <c r="E450" s="4864" t="s">
        <v>2919</v>
      </c>
      <c r="F450" s="4864"/>
      <c r="G450" s="4864"/>
      <c r="H450" s="4864"/>
    </row>
    <row r="451" spans="1:8" ht="12.75" customHeight="1">
      <c r="C451" s="1376" t="s">
        <v>3951</v>
      </c>
      <c r="E451" s="4864" t="s">
        <v>3038</v>
      </c>
      <c r="F451" s="4864"/>
      <c r="G451" s="4864"/>
      <c r="H451" s="4864"/>
    </row>
    <row r="452" spans="1:8" ht="12.75" customHeight="1">
      <c r="C452" s="1377"/>
      <c r="D452" s="1375" t="s">
        <v>2918</v>
      </c>
      <c r="E452" s="4865" t="s">
        <v>3039</v>
      </c>
      <c r="F452" s="4865"/>
      <c r="G452" s="4865"/>
      <c r="H452" s="4865"/>
    </row>
    <row r="453" spans="1:8" ht="3" customHeight="1">
      <c r="D453" s="625"/>
      <c r="E453" s="999"/>
      <c r="F453" s="999"/>
      <c r="G453" s="999"/>
      <c r="H453" s="999"/>
    </row>
    <row r="454" spans="1:8" ht="12.75" customHeight="1">
      <c r="C454" s="603" t="s">
        <v>2879</v>
      </c>
      <c r="D454" s="625" t="s">
        <v>1839</v>
      </c>
      <c r="E454" s="626"/>
      <c r="F454" s="622" t="s">
        <v>2880</v>
      </c>
      <c r="G454" s="622"/>
      <c r="H454" s="622"/>
    </row>
    <row r="455" spans="1:8" ht="12.75" customHeight="1">
      <c r="C455" s="627" t="s">
        <v>1273</v>
      </c>
      <c r="D455" s="625" t="s">
        <v>1841</v>
      </c>
      <c r="E455" s="4864" t="s">
        <v>2919</v>
      </c>
      <c r="F455" s="4864"/>
      <c r="G455" s="4864"/>
      <c r="H455" s="4864"/>
    </row>
    <row r="456" spans="1:8" ht="12.75" customHeight="1">
      <c r="C456" s="1376" t="s">
        <v>3951</v>
      </c>
      <c r="E456" s="4864" t="s">
        <v>3038</v>
      </c>
      <c r="F456" s="4864"/>
      <c r="G456" s="4864"/>
      <c r="H456" s="4864"/>
    </row>
    <row r="457" spans="1:8" ht="12.75" customHeight="1">
      <c r="C457" s="1377"/>
      <c r="D457" s="1375" t="s">
        <v>2918</v>
      </c>
      <c r="E457" s="4865" t="s">
        <v>3039</v>
      </c>
      <c r="F457" s="4865"/>
      <c r="G457" s="4865"/>
      <c r="H457" s="4865"/>
    </row>
    <row r="458" spans="1:8" ht="6" customHeight="1">
      <c r="D458" s="625"/>
      <c r="E458" s="999"/>
      <c r="F458" s="999"/>
      <c r="G458" s="999"/>
      <c r="H458" s="999"/>
    </row>
    <row r="459" spans="1:8" ht="13">
      <c r="A459" s="606" t="s">
        <v>2914</v>
      </c>
      <c r="B459" s="623" t="str">
        <f>IF('Part V-Revenues &amp; Expenses'!$M$66=0,"",'Part V-Revenues &amp; Expenses'!$M$66)</f>
        <v/>
      </c>
      <c r="C459" s="606" t="s">
        <v>2916</v>
      </c>
      <c r="D459" s="624" t="s">
        <v>3041</v>
      </c>
    </row>
    <row r="460" spans="1:8" ht="1.9" customHeight="1"/>
    <row r="461" spans="1:8" ht="12.75" customHeight="1">
      <c r="C461" s="603" t="s">
        <v>2879</v>
      </c>
      <c r="D461" s="625" t="s">
        <v>1839</v>
      </c>
      <c r="E461" s="626"/>
      <c r="F461" s="622" t="s">
        <v>2880</v>
      </c>
      <c r="G461" s="622"/>
      <c r="H461" s="622"/>
    </row>
    <row r="462" spans="1:8" ht="12.75" customHeight="1">
      <c r="C462" s="627" t="s">
        <v>1273</v>
      </c>
      <c r="D462" s="625" t="s">
        <v>1841</v>
      </c>
      <c r="E462" s="4864" t="s">
        <v>2919</v>
      </c>
      <c r="F462" s="4864"/>
      <c r="G462" s="4864"/>
      <c r="H462" s="4864"/>
    </row>
    <row r="463" spans="1:8" ht="12.75" customHeight="1">
      <c r="C463" s="1376" t="s">
        <v>3951</v>
      </c>
      <c r="E463" s="4864" t="s">
        <v>3038</v>
      </c>
      <c r="F463" s="4864"/>
      <c r="G463" s="4864"/>
      <c r="H463" s="4864"/>
    </row>
    <row r="464" spans="1:8" ht="12.75" customHeight="1">
      <c r="C464" s="1377"/>
      <c r="D464" s="628" t="s">
        <v>2918</v>
      </c>
      <c r="E464" s="4864" t="s">
        <v>3039</v>
      </c>
      <c r="F464" s="4864"/>
      <c r="G464" s="4864"/>
      <c r="H464" s="4864"/>
    </row>
    <row r="465" spans="1:8" ht="3" customHeight="1">
      <c r="D465" s="625"/>
      <c r="E465" s="999"/>
      <c r="F465" s="999"/>
      <c r="G465" s="999"/>
      <c r="H465" s="999"/>
    </row>
    <row r="466" spans="1:8" ht="12.75" customHeight="1">
      <c r="C466" s="603" t="s">
        <v>2879</v>
      </c>
      <c r="D466" s="625" t="s">
        <v>1839</v>
      </c>
      <c r="E466" s="626"/>
      <c r="F466" s="622" t="s">
        <v>2880</v>
      </c>
      <c r="G466" s="622"/>
      <c r="H466" s="622"/>
    </row>
    <row r="467" spans="1:8" ht="12.75" customHeight="1">
      <c r="C467" s="627" t="s">
        <v>1273</v>
      </c>
      <c r="D467" s="625" t="s">
        <v>1841</v>
      </c>
      <c r="E467" s="4864" t="s">
        <v>2919</v>
      </c>
      <c r="F467" s="4864"/>
      <c r="G467" s="4864"/>
      <c r="H467" s="4864"/>
    </row>
    <row r="468" spans="1:8" ht="12.75" customHeight="1">
      <c r="C468" s="1376" t="s">
        <v>3951</v>
      </c>
      <c r="E468" s="4864" t="s">
        <v>3038</v>
      </c>
      <c r="F468" s="4864"/>
      <c r="G468" s="4864"/>
      <c r="H468" s="4864"/>
    </row>
    <row r="469" spans="1:8" ht="12.75" customHeight="1">
      <c r="C469" s="1377"/>
      <c r="D469" s="1375" t="s">
        <v>2918</v>
      </c>
      <c r="E469" s="4865" t="s">
        <v>3039</v>
      </c>
      <c r="F469" s="4865"/>
      <c r="G469" s="4865"/>
      <c r="H469" s="4865"/>
    </row>
    <row r="470" spans="1:8" ht="3" customHeight="1">
      <c r="D470" s="625"/>
      <c r="E470" s="999"/>
      <c r="F470" s="999"/>
      <c r="G470" s="999"/>
      <c r="H470" s="999"/>
    </row>
    <row r="471" spans="1:8" ht="12.75" customHeight="1">
      <c r="C471" s="603" t="s">
        <v>2879</v>
      </c>
      <c r="D471" s="625" t="s">
        <v>1839</v>
      </c>
      <c r="E471" s="626"/>
      <c r="F471" s="622" t="s">
        <v>2880</v>
      </c>
      <c r="G471" s="622"/>
      <c r="H471" s="622"/>
    </row>
    <row r="472" spans="1:8" ht="12.75" customHeight="1">
      <c r="C472" s="627" t="s">
        <v>1273</v>
      </c>
      <c r="D472" s="625" t="s">
        <v>1841</v>
      </c>
      <c r="E472" s="4864" t="s">
        <v>2919</v>
      </c>
      <c r="F472" s="4864"/>
      <c r="G472" s="4864"/>
      <c r="H472" s="4864"/>
    </row>
    <row r="473" spans="1:8" ht="12.75" customHeight="1">
      <c r="C473" s="1376" t="s">
        <v>3951</v>
      </c>
      <c r="E473" s="4864" t="s">
        <v>3038</v>
      </c>
      <c r="F473" s="4864"/>
      <c r="G473" s="4864"/>
      <c r="H473" s="4864"/>
    </row>
    <row r="474" spans="1:8" ht="12.75" customHeight="1">
      <c r="C474" s="1377"/>
      <c r="D474" s="1375" t="s">
        <v>2918</v>
      </c>
      <c r="E474" s="4865" t="s">
        <v>3039</v>
      </c>
      <c r="F474" s="4865"/>
      <c r="G474" s="4865"/>
      <c r="H474" s="4865"/>
    </row>
    <row r="475" spans="1:8" ht="6" customHeight="1">
      <c r="D475" s="625"/>
      <c r="E475" s="999"/>
      <c r="F475" s="999"/>
      <c r="G475" s="999"/>
      <c r="H475" s="999"/>
    </row>
    <row r="476" spans="1:8" ht="13">
      <c r="A476" s="606" t="s">
        <v>2914</v>
      </c>
      <c r="B476" s="623" t="str">
        <f>IF('Part V-Revenues &amp; Expenses'!$N$66=0,"",'Part V-Revenues &amp; Expenses'!$N$66)</f>
        <v/>
      </c>
      <c r="C476" s="606" t="s">
        <v>2917</v>
      </c>
      <c r="D476" s="624" t="s">
        <v>3042</v>
      </c>
    </row>
    <row r="477" spans="1:8" ht="1.9" customHeight="1"/>
    <row r="478" spans="1:8" ht="12.75" customHeight="1">
      <c r="C478" s="603" t="s">
        <v>2879</v>
      </c>
      <c r="D478" s="625" t="s">
        <v>1839</v>
      </c>
      <c r="E478" s="626"/>
      <c r="F478" s="622" t="s">
        <v>2880</v>
      </c>
      <c r="G478" s="622"/>
      <c r="H478" s="622"/>
    </row>
    <row r="479" spans="1:8" ht="12.75" customHeight="1">
      <c r="C479" s="627" t="s">
        <v>1273</v>
      </c>
      <c r="D479" s="625" t="s">
        <v>1841</v>
      </c>
      <c r="E479" s="4864" t="s">
        <v>2919</v>
      </c>
      <c r="F479" s="4864"/>
      <c r="G479" s="4864"/>
      <c r="H479" s="4864"/>
    </row>
    <row r="480" spans="1:8" ht="12.75" customHeight="1">
      <c r="C480" s="1376" t="s">
        <v>3951</v>
      </c>
      <c r="E480" s="4864" t="s">
        <v>3038</v>
      </c>
      <c r="F480" s="4864"/>
      <c r="G480" s="4864"/>
      <c r="H480" s="4864"/>
    </row>
    <row r="481" spans="1:11" ht="12.75" customHeight="1">
      <c r="C481" s="1377"/>
      <c r="D481" s="628" t="s">
        <v>2918</v>
      </c>
      <c r="E481" s="4864" t="s">
        <v>3039</v>
      </c>
      <c r="F481" s="4864"/>
      <c r="G481" s="4864"/>
      <c r="H481" s="4864"/>
    </row>
    <row r="482" spans="1:11" ht="3" customHeight="1">
      <c r="D482" s="625"/>
      <c r="E482" s="999"/>
      <c r="F482" s="999"/>
      <c r="G482" s="999"/>
      <c r="H482" s="999"/>
    </row>
    <row r="483" spans="1:11" ht="12.75" customHeight="1">
      <c r="C483" s="603" t="s">
        <v>2879</v>
      </c>
      <c r="D483" s="625" t="s">
        <v>1839</v>
      </c>
      <c r="E483" s="626"/>
      <c r="F483" s="622" t="s">
        <v>2880</v>
      </c>
      <c r="G483" s="622"/>
      <c r="H483" s="622"/>
    </row>
    <row r="484" spans="1:11" ht="12.75" customHeight="1">
      <c r="C484" s="627" t="s">
        <v>1273</v>
      </c>
      <c r="D484" s="625" t="s">
        <v>1841</v>
      </c>
      <c r="E484" s="4864" t="s">
        <v>2919</v>
      </c>
      <c r="F484" s="4864"/>
      <c r="G484" s="4864"/>
      <c r="H484" s="4864"/>
    </row>
    <row r="485" spans="1:11" ht="12.75" customHeight="1">
      <c r="C485" s="1376" t="s">
        <v>3951</v>
      </c>
      <c r="E485" s="4864" t="s">
        <v>3038</v>
      </c>
      <c r="F485" s="4864"/>
      <c r="G485" s="4864"/>
      <c r="H485" s="4864"/>
    </row>
    <row r="486" spans="1:11" ht="12.75" customHeight="1">
      <c r="C486" s="1377"/>
      <c r="D486" s="1375" t="s">
        <v>2918</v>
      </c>
      <c r="E486" s="4865" t="s">
        <v>3039</v>
      </c>
      <c r="F486" s="4865"/>
      <c r="G486" s="4865"/>
      <c r="H486" s="4865"/>
    </row>
    <row r="487" spans="1:11" ht="3" customHeight="1">
      <c r="D487" s="625"/>
      <c r="E487" s="999"/>
      <c r="F487" s="999"/>
      <c r="G487" s="999"/>
      <c r="H487" s="999"/>
    </row>
    <row r="488" spans="1:11" ht="12.75" customHeight="1">
      <c r="C488" s="603" t="s">
        <v>2879</v>
      </c>
      <c r="D488" s="625" t="s">
        <v>1839</v>
      </c>
      <c r="E488" s="626"/>
      <c r="F488" s="622" t="s">
        <v>2880</v>
      </c>
      <c r="G488" s="622"/>
      <c r="H488" s="622"/>
    </row>
    <row r="489" spans="1:11" ht="12.75" customHeight="1">
      <c r="C489" s="627" t="s">
        <v>1273</v>
      </c>
      <c r="D489" s="625" t="s">
        <v>1841</v>
      </c>
      <c r="E489" s="4864" t="s">
        <v>2919</v>
      </c>
      <c r="F489" s="4864"/>
      <c r="G489" s="4864"/>
      <c r="H489" s="4864"/>
    </row>
    <row r="490" spans="1:11" ht="12.75" customHeight="1">
      <c r="C490" s="1376" t="s">
        <v>3951</v>
      </c>
      <c r="E490" s="4864" t="s">
        <v>3038</v>
      </c>
      <c r="F490" s="4864"/>
      <c r="G490" s="4864"/>
      <c r="H490" s="4864"/>
    </row>
    <row r="491" spans="1:11" ht="12.75" customHeight="1">
      <c r="C491" s="1377"/>
      <c r="D491" s="1375" t="s">
        <v>2918</v>
      </c>
      <c r="E491" s="4865" t="s">
        <v>3039</v>
      </c>
      <c r="F491" s="4865"/>
      <c r="G491" s="4865"/>
      <c r="H491" s="4865"/>
    </row>
    <row r="492" spans="1:11" ht="6" customHeight="1">
      <c r="D492" s="625"/>
      <c r="E492" s="999"/>
      <c r="F492" s="999"/>
      <c r="G492" s="999"/>
      <c r="H492" s="999"/>
    </row>
    <row r="493" spans="1:11" ht="13">
      <c r="A493" s="606" t="s">
        <v>2914</v>
      </c>
      <c r="B493" s="623" t="str">
        <f>IF('Part V-Revenues &amp; Expenses'!$O$66=0,"",'Part V-Revenues &amp; Expenses'!$O$66)</f>
        <v/>
      </c>
      <c r="C493" s="606" t="s">
        <v>3949</v>
      </c>
      <c r="D493" s="624" t="s">
        <v>3950</v>
      </c>
    </row>
    <row r="494" spans="1:11" ht="1.9" customHeight="1"/>
    <row r="495" spans="1:11" ht="12.75" customHeight="1">
      <c r="C495" s="603" t="s">
        <v>2879</v>
      </c>
      <c r="D495" s="625" t="s">
        <v>1839</v>
      </c>
      <c r="E495" s="626"/>
      <c r="F495" s="4864" t="s">
        <v>2880</v>
      </c>
      <c r="G495" s="4864"/>
      <c r="H495" s="4864"/>
      <c r="K495" s="431" t="s">
        <v>233</v>
      </c>
    </row>
    <row r="496" spans="1:11" ht="12.75" customHeight="1">
      <c r="C496" s="627" t="s">
        <v>1273</v>
      </c>
      <c r="D496" s="625" t="s">
        <v>1841</v>
      </c>
      <c r="E496" s="4864" t="s">
        <v>2920</v>
      </c>
      <c r="F496" s="4864"/>
      <c r="G496" s="4864"/>
      <c r="H496" s="4864"/>
    </row>
    <row r="497" spans="1:8" ht="12.75" customHeight="1">
      <c r="E497" s="4864" t="s">
        <v>3038</v>
      </c>
      <c r="F497" s="4864"/>
      <c r="G497" s="4864"/>
      <c r="H497" s="4864"/>
    </row>
    <row r="498" spans="1:8" ht="12.75" customHeight="1">
      <c r="D498" s="628" t="s">
        <v>2918</v>
      </c>
      <c r="E498" s="4864" t="s">
        <v>3039</v>
      </c>
      <c r="F498" s="4864"/>
      <c r="G498" s="4864"/>
      <c r="H498" s="4864"/>
    </row>
    <row r="499" spans="1:8" ht="9" customHeight="1" thickBot="1"/>
    <row r="500" spans="1:8" ht="16.149999999999999" customHeight="1" thickBot="1">
      <c r="A500" s="4871">
        <v>80</v>
      </c>
      <c r="B500" s="4872"/>
      <c r="C500" s="1378" t="s">
        <v>974</v>
      </c>
    </row>
    <row r="501" spans="1:8" ht="9" customHeight="1">
      <c r="A501" s="598"/>
    </row>
    <row r="502" spans="1:8" ht="28.15" customHeight="1">
      <c r="A502" s="4864" t="s">
        <v>3958</v>
      </c>
      <c r="B502" s="4864"/>
      <c r="C502" s="4864"/>
      <c r="D502" s="4864"/>
      <c r="E502" s="4864"/>
      <c r="F502" s="4864"/>
      <c r="G502" s="4864"/>
      <c r="H502" s="4864"/>
    </row>
    <row r="503" spans="1:8" ht="9" customHeight="1">
      <c r="A503" s="598"/>
    </row>
    <row r="504" spans="1:8" ht="13">
      <c r="A504" s="606" t="s">
        <v>2914</v>
      </c>
      <c r="B504" s="623" t="str">
        <f>IF('Part V-Revenues &amp; Expenses'!$K$65=0,"",'Part V-Revenues &amp; Expenses'!$K$65)</f>
        <v/>
      </c>
      <c r="C504" s="606" t="s">
        <v>3946</v>
      </c>
      <c r="D504" s="624" t="s">
        <v>3947</v>
      </c>
    </row>
    <row r="505" spans="1:8" ht="1.9" customHeight="1"/>
    <row r="506" spans="1:8" ht="12.75" customHeight="1">
      <c r="C506" s="603" t="s">
        <v>2879</v>
      </c>
      <c r="D506" s="625" t="s">
        <v>1839</v>
      </c>
      <c r="E506" s="626"/>
      <c r="F506" s="4864" t="s">
        <v>2880</v>
      </c>
      <c r="G506" s="4864"/>
      <c r="H506" s="4864"/>
    </row>
    <row r="507" spans="1:8" ht="12.75" customHeight="1">
      <c r="C507" s="627" t="s">
        <v>1273</v>
      </c>
      <c r="D507" s="625" t="s">
        <v>1841</v>
      </c>
      <c r="E507" s="4864" t="s">
        <v>2919</v>
      </c>
      <c r="F507" s="4864"/>
      <c r="G507" s="4864"/>
      <c r="H507" s="4864"/>
    </row>
    <row r="508" spans="1:8" ht="12.75" customHeight="1">
      <c r="C508" s="1376" t="s">
        <v>3951</v>
      </c>
      <c r="E508" s="4864" t="s">
        <v>3038</v>
      </c>
      <c r="F508" s="4864"/>
      <c r="G508" s="4864"/>
      <c r="H508" s="4864"/>
    </row>
    <row r="509" spans="1:8" ht="12.75" customHeight="1">
      <c r="C509" s="1377"/>
      <c r="D509" s="1375" t="s">
        <v>2918</v>
      </c>
      <c r="E509" s="4865" t="s">
        <v>3039</v>
      </c>
      <c r="F509" s="4865"/>
      <c r="G509" s="4865"/>
      <c r="H509" s="4865"/>
    </row>
    <row r="510" spans="1:8" ht="3" customHeight="1">
      <c r="D510" s="625"/>
      <c r="E510" s="999"/>
      <c r="F510" s="999"/>
      <c r="G510" s="999"/>
      <c r="H510" s="999"/>
    </row>
    <row r="511" spans="1:8" ht="12.75" customHeight="1">
      <c r="C511" s="603" t="s">
        <v>2879</v>
      </c>
      <c r="D511" s="625" t="s">
        <v>1839</v>
      </c>
      <c r="E511" s="626"/>
      <c r="F511" s="622" t="s">
        <v>2880</v>
      </c>
      <c r="G511" s="622"/>
      <c r="H511" s="622"/>
    </row>
    <row r="512" spans="1:8" ht="12.75" customHeight="1">
      <c r="C512" s="627" t="s">
        <v>1273</v>
      </c>
      <c r="D512" s="625" t="s">
        <v>1841</v>
      </c>
      <c r="E512" s="4864" t="s">
        <v>2919</v>
      </c>
      <c r="F512" s="4864"/>
      <c r="G512" s="4864"/>
      <c r="H512" s="4864"/>
    </row>
    <row r="513" spans="1:8" ht="12.75" customHeight="1">
      <c r="C513" s="1376" t="s">
        <v>3951</v>
      </c>
      <c r="E513" s="4864" t="s">
        <v>3038</v>
      </c>
      <c r="F513" s="4864"/>
      <c r="G513" s="4864"/>
      <c r="H513" s="4864"/>
    </row>
    <row r="514" spans="1:8" ht="12.75" customHeight="1">
      <c r="C514" s="1377"/>
      <c r="D514" s="1375" t="s">
        <v>2918</v>
      </c>
      <c r="E514" s="4865" t="s">
        <v>3039</v>
      </c>
      <c r="F514" s="4865"/>
      <c r="G514" s="4865"/>
      <c r="H514" s="4865"/>
    </row>
    <row r="515" spans="1:8" ht="3" customHeight="1">
      <c r="D515" s="625"/>
      <c r="E515" s="999"/>
      <c r="F515" s="999"/>
      <c r="G515" s="999"/>
      <c r="H515" s="999"/>
    </row>
    <row r="516" spans="1:8" ht="12.75" customHeight="1">
      <c r="C516" s="603" t="s">
        <v>2879</v>
      </c>
      <c r="D516" s="625" t="s">
        <v>1839</v>
      </c>
      <c r="E516" s="626"/>
      <c r="F516" s="622" t="s">
        <v>2880</v>
      </c>
      <c r="G516" s="622"/>
      <c r="H516" s="622"/>
    </row>
    <row r="517" spans="1:8" ht="12.75" customHeight="1">
      <c r="C517" s="627" t="s">
        <v>1273</v>
      </c>
      <c r="D517" s="625" t="s">
        <v>1841</v>
      </c>
      <c r="E517" s="4864" t="s">
        <v>2919</v>
      </c>
      <c r="F517" s="4864"/>
      <c r="G517" s="4864"/>
      <c r="H517" s="4864"/>
    </row>
    <row r="518" spans="1:8" ht="12.75" customHeight="1">
      <c r="C518" s="1376" t="s">
        <v>3951</v>
      </c>
      <c r="E518" s="4864" t="s">
        <v>3038</v>
      </c>
      <c r="F518" s="4864"/>
      <c r="G518" s="4864"/>
      <c r="H518" s="4864"/>
    </row>
    <row r="519" spans="1:8" ht="12.75" customHeight="1">
      <c r="C519" s="1377"/>
      <c r="D519" s="1375" t="s">
        <v>2918</v>
      </c>
      <c r="E519" s="4865" t="s">
        <v>3039</v>
      </c>
      <c r="F519" s="4865"/>
      <c r="G519" s="4865"/>
      <c r="H519" s="4865"/>
    </row>
    <row r="520" spans="1:8" ht="6" customHeight="1">
      <c r="D520" s="625"/>
      <c r="E520" s="999"/>
      <c r="F520" s="999"/>
      <c r="G520" s="999"/>
      <c r="H520" s="999"/>
    </row>
    <row r="521" spans="1:8" ht="13">
      <c r="A521" s="606" t="s">
        <v>2914</v>
      </c>
      <c r="B521" s="623" t="str">
        <f>IF('Part V-Revenues &amp; Expenses'!$L$65=0,"",'Part V-Revenues &amp; Expenses'!$L$65)</f>
        <v/>
      </c>
      <c r="C521" s="606" t="s">
        <v>2915</v>
      </c>
      <c r="D521" s="624" t="s">
        <v>3040</v>
      </c>
    </row>
    <row r="522" spans="1:8" ht="1.9" customHeight="1"/>
    <row r="523" spans="1:8" ht="12.75" customHeight="1">
      <c r="C523" s="603" t="s">
        <v>2879</v>
      </c>
      <c r="D523" s="625" t="s">
        <v>1839</v>
      </c>
      <c r="E523" s="626"/>
      <c r="F523" s="622" t="s">
        <v>2880</v>
      </c>
      <c r="G523" s="622"/>
      <c r="H523" s="622"/>
    </row>
    <row r="524" spans="1:8" ht="12.75" customHeight="1">
      <c r="C524" s="627" t="s">
        <v>1273</v>
      </c>
      <c r="D524" s="625" t="s">
        <v>1841</v>
      </c>
      <c r="E524" s="4864" t="s">
        <v>2919</v>
      </c>
      <c r="F524" s="4864"/>
      <c r="G524" s="4864"/>
      <c r="H524" s="4864"/>
    </row>
    <row r="525" spans="1:8" ht="12.75" customHeight="1">
      <c r="C525" s="1376" t="s">
        <v>3951</v>
      </c>
      <c r="E525" s="4864" t="s">
        <v>3038</v>
      </c>
      <c r="F525" s="4864"/>
      <c r="G525" s="4864"/>
      <c r="H525" s="4864"/>
    </row>
    <row r="526" spans="1:8" ht="12.75" customHeight="1">
      <c r="C526" s="1377"/>
      <c r="D526" s="628" t="s">
        <v>2918</v>
      </c>
      <c r="E526" s="4864" t="s">
        <v>3039</v>
      </c>
      <c r="F526" s="4864"/>
      <c r="G526" s="4864"/>
      <c r="H526" s="4864"/>
    </row>
    <row r="527" spans="1:8" ht="3" customHeight="1">
      <c r="D527" s="625"/>
      <c r="E527" s="999"/>
      <c r="F527" s="999"/>
      <c r="G527" s="999"/>
      <c r="H527" s="999"/>
    </row>
    <row r="528" spans="1:8" ht="12.75" customHeight="1">
      <c r="C528" s="603" t="s">
        <v>2879</v>
      </c>
      <c r="D528" s="625" t="s">
        <v>1839</v>
      </c>
      <c r="E528" s="626"/>
      <c r="F528" s="622" t="s">
        <v>2880</v>
      </c>
      <c r="G528" s="622"/>
      <c r="H528" s="622"/>
    </row>
    <row r="529" spans="1:8" ht="12.75" customHeight="1">
      <c r="C529" s="627" t="s">
        <v>1273</v>
      </c>
      <c r="D529" s="625" t="s">
        <v>1841</v>
      </c>
      <c r="E529" s="4864" t="s">
        <v>2919</v>
      </c>
      <c r="F529" s="4864"/>
      <c r="G529" s="4864"/>
      <c r="H529" s="4864"/>
    </row>
    <row r="530" spans="1:8" ht="12.75" customHeight="1">
      <c r="C530" s="1376" t="s">
        <v>3951</v>
      </c>
      <c r="E530" s="4864" t="s">
        <v>3038</v>
      </c>
      <c r="F530" s="4864"/>
      <c r="G530" s="4864"/>
      <c r="H530" s="4864"/>
    </row>
    <row r="531" spans="1:8" ht="12.75" customHeight="1">
      <c r="C531" s="1377"/>
      <c r="D531" s="1375" t="s">
        <v>2918</v>
      </c>
      <c r="E531" s="4865" t="s">
        <v>3039</v>
      </c>
      <c r="F531" s="4865"/>
      <c r="G531" s="4865"/>
      <c r="H531" s="4865"/>
    </row>
    <row r="532" spans="1:8" ht="3" customHeight="1">
      <c r="D532" s="625"/>
      <c r="E532" s="999"/>
      <c r="F532" s="999"/>
      <c r="G532" s="999"/>
      <c r="H532" s="999"/>
    </row>
    <row r="533" spans="1:8" ht="12.75" customHeight="1">
      <c r="C533" s="603" t="s">
        <v>2879</v>
      </c>
      <c r="D533" s="625" t="s">
        <v>1839</v>
      </c>
      <c r="E533" s="626"/>
      <c r="F533" s="622" t="s">
        <v>2880</v>
      </c>
      <c r="G533" s="622"/>
      <c r="H533" s="622"/>
    </row>
    <row r="534" spans="1:8" ht="12.75" customHeight="1">
      <c r="C534" s="627" t="s">
        <v>1273</v>
      </c>
      <c r="D534" s="625" t="s">
        <v>1841</v>
      </c>
      <c r="E534" s="4864" t="s">
        <v>2919</v>
      </c>
      <c r="F534" s="4864"/>
      <c r="G534" s="4864"/>
      <c r="H534" s="4864"/>
    </row>
    <row r="535" spans="1:8" ht="12.75" customHeight="1">
      <c r="C535" s="1376" t="s">
        <v>3951</v>
      </c>
      <c r="E535" s="4864" t="s">
        <v>3038</v>
      </c>
      <c r="F535" s="4864"/>
      <c r="G535" s="4864"/>
      <c r="H535" s="4864"/>
    </row>
    <row r="536" spans="1:8" ht="12.75" customHeight="1">
      <c r="C536" s="1377"/>
      <c r="D536" s="1375" t="s">
        <v>2918</v>
      </c>
      <c r="E536" s="4865" t="s">
        <v>3039</v>
      </c>
      <c r="F536" s="4865"/>
      <c r="G536" s="4865"/>
      <c r="H536" s="4865"/>
    </row>
    <row r="537" spans="1:8" ht="6" customHeight="1">
      <c r="D537" s="625"/>
      <c r="E537" s="999"/>
      <c r="F537" s="999"/>
      <c r="G537" s="999"/>
      <c r="H537" s="999"/>
    </row>
    <row r="538" spans="1:8" ht="13">
      <c r="A538" s="606" t="s">
        <v>2914</v>
      </c>
      <c r="B538" s="623" t="str">
        <f>IF('Part V-Revenues &amp; Expenses'!$M$65=0,"",'Part V-Revenues &amp; Expenses'!$M$65)</f>
        <v/>
      </c>
      <c r="C538" s="606" t="s">
        <v>2916</v>
      </c>
      <c r="D538" s="624" t="s">
        <v>3041</v>
      </c>
    </row>
    <row r="539" spans="1:8" ht="1.9" customHeight="1"/>
    <row r="540" spans="1:8" ht="12.75" customHeight="1">
      <c r="C540" s="603" t="s">
        <v>2879</v>
      </c>
      <c r="D540" s="625" t="s">
        <v>1839</v>
      </c>
      <c r="E540" s="626"/>
      <c r="F540" s="622" t="s">
        <v>2880</v>
      </c>
      <c r="G540" s="622"/>
      <c r="H540" s="622"/>
    </row>
    <row r="541" spans="1:8" ht="12.75" customHeight="1">
      <c r="C541" s="627" t="s">
        <v>1273</v>
      </c>
      <c r="D541" s="625" t="s">
        <v>1841</v>
      </c>
      <c r="E541" s="4864" t="s">
        <v>2919</v>
      </c>
      <c r="F541" s="4864"/>
      <c r="G541" s="4864"/>
      <c r="H541" s="4864"/>
    </row>
    <row r="542" spans="1:8" ht="12.75" customHeight="1">
      <c r="C542" s="1376" t="s">
        <v>3951</v>
      </c>
      <c r="E542" s="4864" t="s">
        <v>3038</v>
      </c>
      <c r="F542" s="4864"/>
      <c r="G542" s="4864"/>
      <c r="H542" s="4864"/>
    </row>
    <row r="543" spans="1:8" ht="12.75" customHeight="1">
      <c r="C543" s="1377"/>
      <c r="D543" s="628" t="s">
        <v>2918</v>
      </c>
      <c r="E543" s="4864" t="s">
        <v>3039</v>
      </c>
      <c r="F543" s="4864"/>
      <c r="G543" s="4864"/>
      <c r="H543" s="4864"/>
    </row>
    <row r="544" spans="1:8" ht="3" customHeight="1">
      <c r="D544" s="625"/>
      <c r="E544" s="999"/>
      <c r="F544" s="999"/>
      <c r="G544" s="999"/>
      <c r="H544" s="999"/>
    </row>
    <row r="545" spans="1:8" ht="12.75" customHeight="1">
      <c r="C545" s="603" t="s">
        <v>2879</v>
      </c>
      <c r="D545" s="625" t="s">
        <v>1839</v>
      </c>
      <c r="E545" s="626"/>
      <c r="F545" s="622" t="s">
        <v>2880</v>
      </c>
      <c r="G545" s="622"/>
      <c r="H545" s="622"/>
    </row>
    <row r="546" spans="1:8" ht="12.75" customHeight="1">
      <c r="C546" s="627" t="s">
        <v>1273</v>
      </c>
      <c r="D546" s="625" t="s">
        <v>1841</v>
      </c>
      <c r="E546" s="4864" t="s">
        <v>2919</v>
      </c>
      <c r="F546" s="4864"/>
      <c r="G546" s="4864"/>
      <c r="H546" s="4864"/>
    </row>
    <row r="547" spans="1:8" ht="12.75" customHeight="1">
      <c r="C547" s="1376" t="s">
        <v>3951</v>
      </c>
      <c r="E547" s="4864" t="s">
        <v>3038</v>
      </c>
      <c r="F547" s="4864"/>
      <c r="G547" s="4864"/>
      <c r="H547" s="4864"/>
    </row>
    <row r="548" spans="1:8" ht="12.75" customHeight="1">
      <c r="C548" s="1377"/>
      <c r="D548" s="1375" t="s">
        <v>2918</v>
      </c>
      <c r="E548" s="4865" t="s">
        <v>3039</v>
      </c>
      <c r="F548" s="4865"/>
      <c r="G548" s="4865"/>
      <c r="H548" s="4865"/>
    </row>
    <row r="549" spans="1:8" ht="3" customHeight="1">
      <c r="D549" s="625"/>
      <c r="E549" s="999"/>
      <c r="F549" s="999"/>
      <c r="G549" s="999"/>
      <c r="H549" s="999"/>
    </row>
    <row r="550" spans="1:8" ht="12.75" customHeight="1">
      <c r="C550" s="603" t="s">
        <v>2879</v>
      </c>
      <c r="D550" s="625" t="s">
        <v>1839</v>
      </c>
      <c r="E550" s="626"/>
      <c r="F550" s="622" t="s">
        <v>2880</v>
      </c>
      <c r="G550" s="622"/>
      <c r="H550" s="622"/>
    </row>
    <row r="551" spans="1:8" ht="12.75" customHeight="1">
      <c r="C551" s="627" t="s">
        <v>1273</v>
      </c>
      <c r="D551" s="625" t="s">
        <v>1841</v>
      </c>
      <c r="E551" s="4864" t="s">
        <v>2919</v>
      </c>
      <c r="F551" s="4864"/>
      <c r="G551" s="4864"/>
      <c r="H551" s="4864"/>
    </row>
    <row r="552" spans="1:8" ht="12.75" customHeight="1">
      <c r="C552" s="1376" t="s">
        <v>3951</v>
      </c>
      <c r="E552" s="4864" t="s">
        <v>3038</v>
      </c>
      <c r="F552" s="4864"/>
      <c r="G552" s="4864"/>
      <c r="H552" s="4864"/>
    </row>
    <row r="553" spans="1:8" ht="12.75" customHeight="1">
      <c r="C553" s="1377"/>
      <c r="D553" s="1375" t="s">
        <v>2918</v>
      </c>
      <c r="E553" s="4865" t="s">
        <v>3039</v>
      </c>
      <c r="F553" s="4865"/>
      <c r="G553" s="4865"/>
      <c r="H553" s="4865"/>
    </row>
    <row r="554" spans="1:8" ht="6" customHeight="1">
      <c r="D554" s="625"/>
      <c r="E554" s="999"/>
      <c r="F554" s="999"/>
      <c r="G554" s="999"/>
      <c r="H554" s="999"/>
    </row>
    <row r="555" spans="1:8" ht="13">
      <c r="A555" s="606" t="s">
        <v>2914</v>
      </c>
      <c r="B555" s="623" t="str">
        <f>IF('Part V-Revenues &amp; Expenses'!$N$65=0,"",'Part V-Revenues &amp; Expenses'!$N$65)</f>
        <v/>
      </c>
      <c r="C555" s="606" t="s">
        <v>2917</v>
      </c>
      <c r="D555" s="624" t="s">
        <v>3042</v>
      </c>
    </row>
    <row r="556" spans="1:8" ht="1.9" customHeight="1"/>
    <row r="557" spans="1:8" ht="12.75" customHeight="1">
      <c r="C557" s="603" t="s">
        <v>2879</v>
      </c>
      <c r="D557" s="625" t="s">
        <v>1839</v>
      </c>
      <c r="E557" s="626"/>
      <c r="F557" s="622" t="s">
        <v>2880</v>
      </c>
      <c r="G557" s="622"/>
      <c r="H557" s="622"/>
    </row>
    <row r="558" spans="1:8" ht="12.75" customHeight="1">
      <c r="C558" s="627" t="s">
        <v>1273</v>
      </c>
      <c r="D558" s="625" t="s">
        <v>1841</v>
      </c>
      <c r="E558" s="4864" t="s">
        <v>2919</v>
      </c>
      <c r="F558" s="4864"/>
      <c r="G558" s="4864"/>
      <c r="H558" s="4864"/>
    </row>
    <row r="559" spans="1:8" ht="12.75" customHeight="1">
      <c r="C559" s="1376" t="s">
        <v>3951</v>
      </c>
      <c r="E559" s="4864" t="s">
        <v>3038</v>
      </c>
      <c r="F559" s="4864"/>
      <c r="G559" s="4864"/>
      <c r="H559" s="4864"/>
    </row>
    <row r="560" spans="1:8" ht="12.75" customHeight="1">
      <c r="C560" s="1377"/>
      <c r="D560" s="628" t="s">
        <v>2918</v>
      </c>
      <c r="E560" s="4864" t="s">
        <v>3039</v>
      </c>
      <c r="F560" s="4864"/>
      <c r="G560" s="4864"/>
      <c r="H560" s="4864"/>
    </row>
    <row r="561" spans="1:11" ht="3" customHeight="1">
      <c r="D561" s="625"/>
      <c r="E561" s="999"/>
      <c r="F561" s="999"/>
      <c r="G561" s="999"/>
      <c r="H561" s="999"/>
    </row>
    <row r="562" spans="1:11" ht="12.75" customHeight="1">
      <c r="C562" s="603" t="s">
        <v>2879</v>
      </c>
      <c r="D562" s="625" t="s">
        <v>1839</v>
      </c>
      <c r="E562" s="626"/>
      <c r="F562" s="622" t="s">
        <v>2880</v>
      </c>
      <c r="G562" s="622"/>
      <c r="H562" s="622"/>
    </row>
    <row r="563" spans="1:11" ht="12.75" customHeight="1">
      <c r="C563" s="627" t="s">
        <v>1273</v>
      </c>
      <c r="D563" s="625" t="s">
        <v>1841</v>
      </c>
      <c r="E563" s="4864" t="s">
        <v>2919</v>
      </c>
      <c r="F563" s="4864"/>
      <c r="G563" s="4864"/>
      <c r="H563" s="4864"/>
    </row>
    <row r="564" spans="1:11" ht="12.75" customHeight="1">
      <c r="C564" s="1376" t="s">
        <v>3951</v>
      </c>
      <c r="E564" s="4864" t="s">
        <v>3038</v>
      </c>
      <c r="F564" s="4864"/>
      <c r="G564" s="4864"/>
      <c r="H564" s="4864"/>
    </row>
    <row r="565" spans="1:11" ht="12.75" customHeight="1">
      <c r="C565" s="1377"/>
      <c r="D565" s="1375" t="s">
        <v>2918</v>
      </c>
      <c r="E565" s="4865" t="s">
        <v>3039</v>
      </c>
      <c r="F565" s="4865"/>
      <c r="G565" s="4865"/>
      <c r="H565" s="4865"/>
    </row>
    <row r="566" spans="1:11" ht="3" customHeight="1">
      <c r="D566" s="625"/>
      <c r="E566" s="999"/>
      <c r="F566" s="999"/>
      <c r="G566" s="999"/>
      <c r="H566" s="999"/>
    </row>
    <row r="567" spans="1:11" ht="12.75" customHeight="1">
      <c r="C567" s="603" t="s">
        <v>2879</v>
      </c>
      <c r="D567" s="625" t="s">
        <v>1839</v>
      </c>
      <c r="E567" s="626"/>
      <c r="F567" s="622" t="s">
        <v>2880</v>
      </c>
      <c r="G567" s="622"/>
      <c r="H567" s="622"/>
    </row>
    <row r="568" spans="1:11" ht="12.75" customHeight="1">
      <c r="C568" s="627" t="s">
        <v>1273</v>
      </c>
      <c r="D568" s="625" t="s">
        <v>1841</v>
      </c>
      <c r="E568" s="4864" t="s">
        <v>2919</v>
      </c>
      <c r="F568" s="4864"/>
      <c r="G568" s="4864"/>
      <c r="H568" s="4864"/>
    </row>
    <row r="569" spans="1:11" ht="12.75" customHeight="1">
      <c r="C569" s="1376" t="s">
        <v>3951</v>
      </c>
      <c r="E569" s="4864" t="s">
        <v>3038</v>
      </c>
      <c r="F569" s="4864"/>
      <c r="G569" s="4864"/>
      <c r="H569" s="4864"/>
    </row>
    <row r="570" spans="1:11" ht="12.75" customHeight="1">
      <c r="C570" s="1377"/>
      <c r="D570" s="1375" t="s">
        <v>2918</v>
      </c>
      <c r="E570" s="4865" t="s">
        <v>3039</v>
      </c>
      <c r="F570" s="4865"/>
      <c r="G570" s="4865"/>
      <c r="H570" s="4865"/>
    </row>
    <row r="571" spans="1:11" ht="6" customHeight="1">
      <c r="D571" s="625"/>
      <c r="E571" s="999"/>
      <c r="F571" s="999"/>
      <c r="G571" s="999"/>
      <c r="H571" s="999"/>
    </row>
    <row r="572" spans="1:11" ht="13">
      <c r="A572" s="606" t="s">
        <v>2914</v>
      </c>
      <c r="B572" s="623" t="str">
        <f>IF('Part V-Revenues &amp; Expenses'!$O$65=0,"",'Part V-Revenues &amp; Expenses'!$O$65)</f>
        <v/>
      </c>
      <c r="C572" s="606" t="s">
        <v>3949</v>
      </c>
      <c r="D572" s="624" t="s">
        <v>3950</v>
      </c>
    </row>
    <row r="573" spans="1:11" ht="1.9" customHeight="1"/>
    <row r="574" spans="1:11" ht="12.75" customHeight="1">
      <c r="C574" s="603" t="s">
        <v>2879</v>
      </c>
      <c r="D574" s="625" t="s">
        <v>1839</v>
      </c>
      <c r="E574" s="626"/>
      <c r="F574" s="4864" t="s">
        <v>2880</v>
      </c>
      <c r="G574" s="4864"/>
      <c r="H574" s="4864"/>
      <c r="K574" s="431" t="s">
        <v>233</v>
      </c>
    </row>
    <row r="575" spans="1:11" ht="12.75" customHeight="1">
      <c r="C575" s="627" t="s">
        <v>1273</v>
      </c>
      <c r="D575" s="625" t="s">
        <v>1841</v>
      </c>
      <c r="E575" s="4864" t="s">
        <v>2920</v>
      </c>
      <c r="F575" s="4864"/>
      <c r="G575" s="4864"/>
      <c r="H575" s="4864"/>
    </row>
    <row r="576" spans="1:11" ht="12.75" customHeight="1">
      <c r="E576" s="4864" t="s">
        <v>3038</v>
      </c>
      <c r="F576" s="4864"/>
      <c r="G576" s="4864"/>
      <c r="H576" s="4864"/>
    </row>
    <row r="577" spans="4:8" ht="12.75" customHeight="1">
      <c r="D577" s="628" t="s">
        <v>2918</v>
      </c>
      <c r="E577" s="4864" t="s">
        <v>3039</v>
      </c>
      <c r="F577" s="4864"/>
      <c r="G577" s="4864"/>
      <c r="H577" s="4864"/>
    </row>
    <row r="578" spans="4:8" ht="9" customHeight="1"/>
    <row r="579" spans="4:8" ht="7.5" customHeight="1">
      <c r="E579" s="4864"/>
      <c r="F579" s="4864"/>
      <c r="G579" s="4864"/>
      <c r="H579" s="4864"/>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398"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6" customWidth="1"/>
    <col min="20" max="20" width="5.7265625" style="431" customWidth="1"/>
    <col min="21" max="21" width="3.7265625" style="431" customWidth="1"/>
    <col min="22" max="23" width="5.453125" style="431" customWidth="1"/>
    <col min="24" max="16384" width="9.26953125" style="431"/>
  </cols>
  <sheetData>
    <row r="1" spans="1:14">
      <c r="A1" s="506" t="s">
        <v>2873</v>
      </c>
      <c r="H1" s="601" t="str">
        <f>'Sensitivity Analysis'!C8</f>
        <v>Princeton Court</v>
      </c>
    </row>
    <row r="2" spans="1:14">
      <c r="A2" s="548" t="s">
        <v>2874</v>
      </c>
      <c r="H2" s="431" t="str">
        <f>'Sensitivity Analysis'!E8</f>
        <v>2025-5</v>
      </c>
    </row>
    <row r="3" spans="1:14" ht="3" customHeight="1"/>
    <row r="4" spans="1:14" ht="69.650000000000006" customHeight="1">
      <c r="A4" s="4866" t="s">
        <v>2912</v>
      </c>
      <c r="B4" s="4866"/>
      <c r="C4" s="4866"/>
      <c r="D4" s="4866"/>
      <c r="E4" s="4866"/>
      <c r="F4" s="4866"/>
      <c r="G4" s="4866"/>
      <c r="H4" s="4866"/>
      <c r="I4" s="4866"/>
      <c r="J4" s="4866"/>
      <c r="K4" s="4866"/>
      <c r="L4" s="4873">
        <f>SUM('Part VI-Pro Forma'!B15:B17)/12</f>
        <v>128116.01880000001</v>
      </c>
      <c r="M4" s="4873"/>
      <c r="N4" s="1399" t="s">
        <v>3544</v>
      </c>
    </row>
    <row r="5" spans="1:14" ht="1.5" customHeight="1"/>
    <row r="6" spans="1:14" ht="12.75" customHeight="1">
      <c r="B6" s="621" t="s">
        <v>2234</v>
      </c>
      <c r="C6" s="603" t="s">
        <v>2875</v>
      </c>
      <c r="D6" s="603"/>
      <c r="E6" s="603"/>
      <c r="F6" s="603"/>
      <c r="G6" s="603"/>
      <c r="H6" s="603"/>
    </row>
    <row r="7" spans="1:14" ht="12.75" customHeight="1">
      <c r="B7" s="621" t="s">
        <v>2235</v>
      </c>
      <c r="C7" s="4866" t="s">
        <v>2876</v>
      </c>
      <c r="D7" s="4866"/>
      <c r="E7" s="4866"/>
      <c r="F7" s="4866"/>
      <c r="G7" s="4866"/>
      <c r="H7" s="4866"/>
      <c r="I7" s="4866"/>
      <c r="J7" s="4866"/>
      <c r="K7" s="4866"/>
      <c r="L7" s="4866"/>
      <c r="M7" s="4866"/>
    </row>
    <row r="8" spans="1:14" ht="3" customHeight="1"/>
    <row r="9" spans="1:14">
      <c r="A9" s="431" t="s">
        <v>2877</v>
      </c>
    </row>
    <row r="10" spans="1:14" ht="1.5" customHeight="1"/>
    <row r="11" spans="1:14" ht="26.25" customHeight="1">
      <c r="A11" s="622" t="s">
        <v>1836</v>
      </c>
      <c r="B11" s="4866" t="s">
        <v>2909</v>
      </c>
      <c r="C11" s="4866"/>
      <c r="D11" s="4866"/>
      <c r="E11" s="4866"/>
      <c r="F11" s="4866"/>
      <c r="G11" s="4866"/>
      <c r="H11" s="4866"/>
      <c r="I11" s="4866"/>
      <c r="J11" s="4866"/>
      <c r="K11" s="4866"/>
      <c r="L11" s="4867">
        <f>'Part II-Sources of Funds'!I53+'Part II-Sources of Funds'!I54</f>
        <v>20290892</v>
      </c>
      <c r="M11" s="4867"/>
    </row>
    <row r="12" spans="1:14" ht="1.5" customHeight="1">
      <c r="G12" s="603"/>
      <c r="H12" s="603"/>
    </row>
    <row r="13" spans="1:14" ht="25.9" customHeight="1">
      <c r="A13" s="622" t="s">
        <v>1838</v>
      </c>
      <c r="B13" s="4866" t="s">
        <v>2910</v>
      </c>
      <c r="C13" s="4866"/>
      <c r="D13" s="4866"/>
      <c r="E13" s="4866"/>
      <c r="F13" s="4866"/>
      <c r="G13" s="4866"/>
      <c r="H13" s="4866"/>
      <c r="I13" s="4866"/>
      <c r="J13" s="4866"/>
      <c r="K13" s="4866"/>
      <c r="L13" s="4868" t="s">
        <v>2805</v>
      </c>
      <c r="M13" s="4868"/>
    </row>
    <row r="14" spans="1:14">
      <c r="A14" s="622"/>
      <c r="B14" s="4832"/>
      <c r="C14" s="4832"/>
      <c r="D14" s="4832"/>
      <c r="E14" s="4832"/>
      <c r="F14" s="4832"/>
      <c r="G14" s="4832"/>
      <c r="H14" s="4832"/>
    </row>
    <row r="15" spans="1:14" ht="3" customHeight="1"/>
    <row r="16" spans="1:14">
      <c r="A16" s="622" t="s">
        <v>697</v>
      </c>
      <c r="B16" s="431" t="s">
        <v>2913</v>
      </c>
      <c r="L16" s="4869" t="s">
        <v>2645</v>
      </c>
      <c r="M16" s="4869"/>
    </row>
    <row r="17" spans="1:19" ht="1.5" customHeight="1">
      <c r="L17" s="606"/>
    </row>
    <row r="18" spans="1:19" ht="12" customHeight="1">
      <c r="A18" s="622" t="s">
        <v>1957</v>
      </c>
      <c r="B18" s="603" t="s">
        <v>2911</v>
      </c>
      <c r="C18" s="622"/>
      <c r="D18" s="622"/>
      <c r="E18" s="622"/>
      <c r="L18" s="4832" t="s">
        <v>2508</v>
      </c>
      <c r="M18" s="4832"/>
    </row>
    <row r="19" spans="1:19" ht="12" hidden="1" customHeight="1">
      <c r="B19" s="4832"/>
      <c r="C19" s="4832"/>
      <c r="D19" s="4832"/>
      <c r="E19" s="4832"/>
      <c r="F19" s="4832"/>
      <c r="G19" s="4832"/>
      <c r="H19" s="4832"/>
    </row>
    <row r="20" spans="1:19" ht="13.5" customHeight="1"/>
    <row r="21" spans="1:19" ht="12" customHeight="1">
      <c r="A21" s="548" t="s">
        <v>2878</v>
      </c>
    </row>
    <row r="22" spans="1:19" ht="3" customHeight="1"/>
    <row r="23" spans="1:19" ht="42.65" customHeight="1">
      <c r="A23" s="4870" t="s">
        <v>3948</v>
      </c>
      <c r="B23" s="4870"/>
      <c r="C23" s="4870"/>
      <c r="D23" s="4870"/>
      <c r="E23" s="4870"/>
      <c r="F23" s="4870"/>
      <c r="G23" s="4870"/>
      <c r="H23" s="4870"/>
      <c r="I23" s="4870"/>
      <c r="J23" s="4870"/>
      <c r="K23" s="4870"/>
      <c r="L23" s="4870"/>
      <c r="M23" s="4870"/>
    </row>
    <row r="24" spans="1:19" ht="18" customHeight="1">
      <c r="E24" s="602" t="s">
        <v>525</v>
      </c>
      <c r="F24" s="602" t="s">
        <v>499</v>
      </c>
      <c r="G24" s="602" t="s">
        <v>500</v>
      </c>
      <c r="H24" s="602" t="s">
        <v>501</v>
      </c>
      <c r="I24" s="602" t="s">
        <v>502</v>
      </c>
      <c r="J24" s="602" t="s">
        <v>503</v>
      </c>
      <c r="K24" s="431"/>
      <c r="S24" s="431"/>
    </row>
    <row r="25" spans="1:19" ht="14.25" customHeight="1">
      <c r="C25" s="720" t="s">
        <v>3556</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2391">
        <f>'Part V-Revenues &amp; Expenses'!P65</f>
        <v>0</v>
      </c>
      <c r="K25" s="431"/>
      <c r="S25" s="431"/>
    </row>
    <row r="26" spans="1:19" ht="15" customHeight="1">
      <c r="C26" s="720" t="s">
        <v>3557</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2392">
        <f>'Part V-Revenues &amp; Expenses'!P66</f>
        <v>0</v>
      </c>
      <c r="K26" s="431"/>
      <c r="S26" s="431"/>
    </row>
    <row r="27" spans="1:19" ht="15" customHeight="1">
      <c r="C27" s="720" t="s">
        <v>1080</v>
      </c>
      <c r="D27" s="438"/>
      <c r="E27" s="1489">
        <f>'Part V-Revenues &amp; Expenses'!K67</f>
        <v>0</v>
      </c>
      <c r="F27" s="1490">
        <f>'Part V-Revenues &amp; Expenses'!L67</f>
        <v>18</v>
      </c>
      <c r="G27" s="1490">
        <f>'Part V-Revenues &amp; Expenses'!M67</f>
        <v>75</v>
      </c>
      <c r="H27" s="1490">
        <f>'Part V-Revenues &amp; Expenses'!N67</f>
        <v>0</v>
      </c>
      <c r="I27" s="1490">
        <f>'Part V-Revenues &amp; Expenses'!O67</f>
        <v>0</v>
      </c>
      <c r="J27" s="2392">
        <f>'Part V-Revenues &amp; Expenses'!P67</f>
        <v>93</v>
      </c>
      <c r="K27" s="431"/>
      <c r="S27" s="431"/>
    </row>
    <row r="28" spans="1:19" ht="15" customHeight="1">
      <c r="C28" s="720" t="s">
        <v>112</v>
      </c>
      <c r="D28" s="438"/>
      <c r="E28" s="1489">
        <f>'Part V-Revenues &amp; Expenses'!K68</f>
        <v>0</v>
      </c>
      <c r="F28" s="1490">
        <f>'Part V-Revenues &amp; Expenses'!L68</f>
        <v>2</v>
      </c>
      <c r="G28" s="1490">
        <f>'Part V-Revenues &amp; Expenses'!M68</f>
        <v>5</v>
      </c>
      <c r="H28" s="1490">
        <f>'Part V-Revenues &amp; Expenses'!N68</f>
        <v>0</v>
      </c>
      <c r="I28" s="1490">
        <f>'Part V-Revenues &amp; Expenses'!O68</f>
        <v>0</v>
      </c>
      <c r="J28" s="2392">
        <f>'Part V-Revenues &amp; Expenses'!P68</f>
        <v>7</v>
      </c>
      <c r="K28" s="431"/>
      <c r="S28" s="431"/>
    </row>
    <row r="29" spans="1:19" ht="13.15" customHeight="1">
      <c r="C29" s="720" t="s">
        <v>3558</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2392">
        <f>'Part V-Revenues &amp; Expenses'!P69</f>
        <v>0</v>
      </c>
      <c r="K29" s="431"/>
      <c r="S29" s="431"/>
    </row>
    <row r="30" spans="1:19" ht="13.15" customHeight="1">
      <c r="C30" s="720" t="s">
        <v>3559</v>
      </c>
      <c r="D30" s="438"/>
      <c r="E30" s="1489">
        <f>'Part V-Revenues &amp; Expenses'!K70</f>
        <v>0</v>
      </c>
      <c r="F30" s="1490">
        <f>'Part V-Revenues &amp; Expenses'!L70</f>
        <v>4</v>
      </c>
      <c r="G30" s="1490">
        <f>'Part V-Revenues &amp; Expenses'!M70</f>
        <v>4</v>
      </c>
      <c r="H30" s="1490">
        <f>'Part V-Revenues &amp; Expenses'!N70</f>
        <v>0</v>
      </c>
      <c r="I30" s="1490">
        <f>'Part V-Revenues &amp; Expenses'!O70</f>
        <v>0</v>
      </c>
      <c r="J30" s="2392">
        <f>'Part V-Revenues &amp; Expenses'!P70</f>
        <v>8</v>
      </c>
      <c r="K30" s="431"/>
      <c r="S30" s="431"/>
    </row>
    <row r="31" spans="1:19" ht="13.15" customHeight="1">
      <c r="C31" s="720" t="s">
        <v>3560</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2392">
        <f>'Part V-Revenues &amp; Expenses'!P71</f>
        <v>0</v>
      </c>
      <c r="K31" s="431"/>
      <c r="S31" s="431"/>
    </row>
    <row r="32" spans="1:19" ht="13.15" customHeight="1">
      <c r="C32" s="438" t="s">
        <v>503</v>
      </c>
      <c r="D32" s="438"/>
      <c r="E32" s="2393">
        <f>'Part V-Revenues &amp; Expenses'!K72</f>
        <v>0</v>
      </c>
      <c r="F32" s="2394">
        <f>'Part V-Revenues &amp; Expenses'!L72</f>
        <v>24</v>
      </c>
      <c r="G32" s="2394">
        <f>'Part V-Revenues &amp; Expenses'!M72</f>
        <v>84</v>
      </c>
      <c r="H32" s="2394">
        <f>'Part V-Revenues &amp; Expenses'!N72</f>
        <v>0</v>
      </c>
      <c r="I32" s="2394">
        <f>'Part V-Revenues &amp; Expenses'!O72</f>
        <v>0</v>
      </c>
      <c r="J32" s="1491">
        <f>'Part V-Revenues &amp; Expenses'!P72</f>
        <v>108</v>
      </c>
      <c r="K32" s="431"/>
      <c r="S32" s="431"/>
    </row>
    <row r="33" spans="1:12" s="431" customFormat="1" ht="13.15" customHeight="1" thickBot="1">
      <c r="K33" s="1398"/>
    </row>
    <row r="34" spans="1:12" s="431" customFormat="1" ht="14.25" customHeight="1" thickBot="1">
      <c r="A34" s="1398"/>
      <c r="B34" s="4880" t="s">
        <v>4065</v>
      </c>
      <c r="E34" s="4881" t="s">
        <v>3967</v>
      </c>
      <c r="F34" s="4882"/>
      <c r="G34" s="4882"/>
      <c r="H34" s="4882"/>
      <c r="I34" s="4882"/>
      <c r="J34" s="4882"/>
      <c r="K34" s="4882"/>
      <c r="L34" s="4883"/>
    </row>
    <row r="35" spans="1:12" s="431" customFormat="1" ht="14.25" customHeight="1">
      <c r="A35" s="1398"/>
      <c r="B35" s="4880"/>
      <c r="C35" s="4884" t="s">
        <v>4066</v>
      </c>
      <c r="D35" s="4880" t="s">
        <v>4067</v>
      </c>
      <c r="E35" s="4885" t="s">
        <v>3970</v>
      </c>
      <c r="F35" s="4886"/>
      <c r="G35" s="4889" t="s">
        <v>1273</v>
      </c>
      <c r="H35" s="4891" t="s">
        <v>3966</v>
      </c>
      <c r="I35" s="4892"/>
      <c r="J35" s="4892"/>
      <c r="K35" s="4892"/>
      <c r="L35" s="4893"/>
    </row>
    <row r="36" spans="1:12" s="431" customFormat="1" ht="23.25" customHeight="1">
      <c r="A36" s="4884" t="s">
        <v>974</v>
      </c>
      <c r="B36" s="4880"/>
      <c r="C36" s="4884"/>
      <c r="D36" s="4880"/>
      <c r="E36" s="4887"/>
      <c r="F36" s="4888"/>
      <c r="G36" s="4890"/>
      <c r="H36" s="4894" t="s">
        <v>3968</v>
      </c>
      <c r="I36" s="4895"/>
      <c r="J36" s="4898" t="s">
        <v>1273</v>
      </c>
      <c r="K36" s="4895" t="s">
        <v>3969</v>
      </c>
      <c r="L36" s="4900"/>
    </row>
    <row r="37" spans="1:12" s="431" customFormat="1" ht="23.25" customHeight="1">
      <c r="A37" s="4884"/>
      <c r="B37" s="4880"/>
      <c r="C37" s="4884"/>
      <c r="D37" s="4880"/>
      <c r="E37" s="4887"/>
      <c r="F37" s="4888"/>
      <c r="G37" s="4890"/>
      <c r="H37" s="4894"/>
      <c r="I37" s="4895"/>
      <c r="J37" s="4899"/>
      <c r="K37" s="4895"/>
      <c r="L37" s="4900"/>
    </row>
    <row r="38" spans="1:12" s="431" customFormat="1" ht="23.25" customHeight="1">
      <c r="A38" s="4880"/>
      <c r="B38" s="4880"/>
      <c r="C38" s="4880"/>
      <c r="D38" s="4880"/>
      <c r="E38" s="4887"/>
      <c r="F38" s="4888"/>
      <c r="G38" s="4890"/>
      <c r="H38" s="4896"/>
      <c r="I38" s="4897"/>
      <c r="J38" s="4899"/>
      <c r="K38" s="4897"/>
      <c r="L38" s="4901"/>
    </row>
    <row r="39" spans="1:12" s="431" customFormat="1" ht="13.15" customHeight="1">
      <c r="A39" s="1477">
        <f>'Part V-Revenues &amp; Expenses'!B18</f>
        <v>30</v>
      </c>
      <c r="B39" s="1478">
        <f>'Part V-Revenues &amp; Expenses'!E18</f>
        <v>2</v>
      </c>
      <c r="C39" s="1479" t="str">
        <f>_xlfn.CONCAT('Part V-Revenues &amp; Expenses'!C18," / ",'Part V-Revenues &amp; Expenses'!D18)</f>
        <v>1 / 1</v>
      </c>
      <c r="D39" s="1478">
        <f>'Part V-Revenues &amp; Expenses'!F18</f>
        <v>650</v>
      </c>
      <c r="E39" s="4878">
        <f>'Part V-Revenues &amp; Expenses'!H18</f>
        <v>611</v>
      </c>
      <c r="F39" s="4879"/>
      <c r="G39" s="438"/>
      <c r="H39" s="4905"/>
      <c r="I39" s="4906"/>
      <c r="J39" s="4906"/>
      <c r="K39" s="4906"/>
      <c r="L39" s="4907"/>
    </row>
    <row r="40" spans="1:12" s="431" customFormat="1" ht="13.15" customHeight="1">
      <c r="A40" s="1480">
        <f>'Part V-Revenues &amp; Expenses'!B19</f>
        <v>30</v>
      </c>
      <c r="B40" s="1481">
        <f>'Part V-Revenues &amp; Expenses'!E19</f>
        <v>2</v>
      </c>
      <c r="C40" s="1482" t="str">
        <f>_xlfn.CONCAT('Part V-Revenues &amp; Expenses'!C19," / ",'Part V-Revenues &amp; Expenses'!D19)</f>
        <v>1 / 1</v>
      </c>
      <c r="D40" s="1481">
        <f>'Part V-Revenues &amp; Expenses'!F19</f>
        <v>650</v>
      </c>
      <c r="E40" s="4876">
        <f>'Part V-Revenues &amp; Expenses'!H19</f>
        <v>611</v>
      </c>
      <c r="F40" s="4877"/>
      <c r="G40" s="438"/>
      <c r="H40" s="4902"/>
      <c r="I40" s="4903"/>
      <c r="J40" s="4903"/>
      <c r="K40" s="4903"/>
      <c r="L40" s="4904"/>
    </row>
    <row r="41" spans="1:12" s="431" customFormat="1" ht="13.15" customHeight="1">
      <c r="A41" s="1480">
        <f>'Part V-Revenues &amp; Expenses'!B20</f>
        <v>50</v>
      </c>
      <c r="B41" s="1481">
        <f>'Part V-Revenues &amp; Expenses'!E20</f>
        <v>1</v>
      </c>
      <c r="C41" s="1482" t="str">
        <f>_xlfn.CONCAT('Part V-Revenues &amp; Expenses'!C20," / ",'Part V-Revenues &amp; Expenses'!D20)</f>
        <v>1 / 1</v>
      </c>
      <c r="D41" s="1481">
        <f>'Part V-Revenues &amp; Expenses'!F20</f>
        <v>650</v>
      </c>
      <c r="E41" s="4876">
        <f>'Part V-Revenues &amp; Expenses'!H20</f>
        <v>978</v>
      </c>
      <c r="F41" s="4877"/>
      <c r="G41" s="438"/>
      <c r="H41" s="4902"/>
      <c r="I41" s="4903"/>
      <c r="J41" s="4903"/>
      <c r="K41" s="4903"/>
      <c r="L41" s="4904"/>
    </row>
    <row r="42" spans="1:12" s="431" customFormat="1" ht="13.15" customHeight="1">
      <c r="A42" s="1480">
        <f>'Part V-Revenues &amp; Expenses'!B21</f>
        <v>50</v>
      </c>
      <c r="B42" s="1481">
        <f>'Part V-Revenues &amp; Expenses'!E21</f>
        <v>1</v>
      </c>
      <c r="C42" s="1482" t="str">
        <f>_xlfn.CONCAT('Part V-Revenues &amp; Expenses'!C21," / ",'Part V-Revenues &amp; Expenses'!D21)</f>
        <v>1 / 1</v>
      </c>
      <c r="D42" s="1481">
        <f>'Part V-Revenues &amp; Expenses'!F21</f>
        <v>650</v>
      </c>
      <c r="E42" s="4876">
        <f>'Part V-Revenues &amp; Expenses'!H21</f>
        <v>978</v>
      </c>
      <c r="F42" s="4877"/>
      <c r="G42" s="438"/>
      <c r="H42" s="4902"/>
      <c r="I42" s="4903"/>
      <c r="J42" s="4903"/>
      <c r="K42" s="4903"/>
      <c r="L42" s="4904"/>
    </row>
    <row r="43" spans="1:12" s="431" customFormat="1" ht="13.15" customHeight="1">
      <c r="A43" s="1480">
        <f>'Part V-Revenues &amp; Expenses'!B22</f>
        <v>60</v>
      </c>
      <c r="B43" s="1481">
        <f>'Part V-Revenues &amp; Expenses'!E22</f>
        <v>15</v>
      </c>
      <c r="C43" s="1482" t="str">
        <f>_xlfn.CONCAT('Part V-Revenues &amp; Expenses'!C22," / ",'Part V-Revenues &amp; Expenses'!D22)</f>
        <v>1 / 1</v>
      </c>
      <c r="D43" s="1481">
        <f>'Part V-Revenues &amp; Expenses'!F22</f>
        <v>650</v>
      </c>
      <c r="E43" s="4876">
        <f>'Part V-Revenues &amp; Expenses'!H22</f>
        <v>1222</v>
      </c>
      <c r="F43" s="4877"/>
      <c r="G43" s="438"/>
      <c r="H43" s="4902"/>
      <c r="I43" s="4903"/>
      <c r="J43" s="4903"/>
      <c r="K43" s="4903"/>
      <c r="L43" s="4904"/>
    </row>
    <row r="44" spans="1:12" s="431" customFormat="1" ht="13.15" customHeight="1">
      <c r="A44" s="1480">
        <f>'Part V-Revenues &amp; Expenses'!B23</f>
        <v>60</v>
      </c>
      <c r="B44" s="1481">
        <f>'Part V-Revenues &amp; Expenses'!E23</f>
        <v>3</v>
      </c>
      <c r="C44" s="1482" t="str">
        <f>_xlfn.CONCAT('Part V-Revenues &amp; Expenses'!C23," / ",'Part V-Revenues &amp; Expenses'!D23)</f>
        <v>1 / 1</v>
      </c>
      <c r="D44" s="1481">
        <f>'Part V-Revenues &amp; Expenses'!F23</f>
        <v>650</v>
      </c>
      <c r="E44" s="4876">
        <f>'Part V-Revenues &amp; Expenses'!H23</f>
        <v>1222</v>
      </c>
      <c r="F44" s="4877"/>
      <c r="G44" s="438"/>
      <c r="H44" s="4902"/>
      <c r="I44" s="4903"/>
      <c r="J44" s="4903"/>
      <c r="K44" s="4903"/>
      <c r="L44" s="4904"/>
    </row>
    <row r="45" spans="1:12" s="431" customFormat="1" ht="13.15" customHeight="1">
      <c r="A45" s="1480">
        <f>'Part V-Revenues &amp; Expenses'!B24</f>
        <v>0</v>
      </c>
      <c r="B45" s="1481">
        <f>'Part V-Revenues &amp; Expenses'!E24</f>
        <v>0</v>
      </c>
      <c r="C45" s="1482" t="str">
        <f>_xlfn.CONCAT('Part V-Revenues &amp; Expenses'!C24," / ",'Part V-Revenues &amp; Expenses'!D24)</f>
        <v xml:space="preserve"> / </v>
      </c>
      <c r="D45" s="1481">
        <f>'Part V-Revenues &amp; Expenses'!F24</f>
        <v>0</v>
      </c>
      <c r="E45" s="4876">
        <f>'Part V-Revenues &amp; Expenses'!H24</f>
        <v>0</v>
      </c>
      <c r="F45" s="4877"/>
      <c r="G45" s="438"/>
      <c r="H45" s="4902"/>
      <c r="I45" s="4903"/>
      <c r="J45" s="4903"/>
      <c r="K45" s="4903"/>
      <c r="L45" s="4904"/>
    </row>
    <row r="46" spans="1:12" s="431" customFormat="1" ht="13.15" customHeight="1">
      <c r="A46" s="1480">
        <f>'Part V-Revenues &amp; Expenses'!B25</f>
        <v>30</v>
      </c>
      <c r="B46" s="1481">
        <f>'Part V-Revenues &amp; Expenses'!E25</f>
        <v>2</v>
      </c>
      <c r="C46" s="1482" t="str">
        <f>_xlfn.CONCAT('Part V-Revenues &amp; Expenses'!C25," / ",'Part V-Revenues &amp; Expenses'!D25)</f>
        <v>2 / 1</v>
      </c>
      <c r="D46" s="1481">
        <f>'Part V-Revenues &amp; Expenses'!F25</f>
        <v>860</v>
      </c>
      <c r="E46" s="4876">
        <f>'Part V-Revenues &amp; Expenses'!H25</f>
        <v>755</v>
      </c>
      <c r="F46" s="4877"/>
      <c r="G46" s="438"/>
      <c r="H46" s="4902"/>
      <c r="I46" s="4903"/>
      <c r="J46" s="4903"/>
      <c r="K46" s="4903"/>
      <c r="L46" s="4904"/>
    </row>
    <row r="47" spans="1:12" s="431" customFormat="1" ht="13.15" customHeight="1">
      <c r="A47" s="1480">
        <f>'Part V-Revenues &amp; Expenses'!B26</f>
        <v>50</v>
      </c>
      <c r="B47" s="1481">
        <f>'Part V-Revenues &amp; Expenses'!E26</f>
        <v>3</v>
      </c>
      <c r="C47" s="1482" t="str">
        <f>_xlfn.CONCAT('Part V-Revenues &amp; Expenses'!C26," / ",'Part V-Revenues &amp; Expenses'!D26)</f>
        <v>2 / 1</v>
      </c>
      <c r="D47" s="1481">
        <f>'Part V-Revenues &amp; Expenses'!F26</f>
        <v>860</v>
      </c>
      <c r="E47" s="4876">
        <f>'Part V-Revenues &amp; Expenses'!H26</f>
        <v>1223</v>
      </c>
      <c r="F47" s="4877"/>
      <c r="G47" s="438"/>
      <c r="H47" s="4902"/>
      <c r="I47" s="4903"/>
      <c r="J47" s="4903"/>
      <c r="K47" s="4903"/>
      <c r="L47" s="4904"/>
    </row>
    <row r="48" spans="1:12" s="431" customFormat="1" ht="13.15" customHeight="1">
      <c r="A48" s="1480">
        <f>'Part V-Revenues &amp; Expenses'!B27</f>
        <v>60</v>
      </c>
      <c r="B48" s="1481">
        <f>'Part V-Revenues &amp; Expenses'!E27</f>
        <v>53</v>
      </c>
      <c r="C48" s="1482" t="str">
        <f>_xlfn.CONCAT('Part V-Revenues &amp; Expenses'!C27," / ",'Part V-Revenues &amp; Expenses'!D27)</f>
        <v>2 / 1</v>
      </c>
      <c r="D48" s="1481">
        <f>'Part V-Revenues &amp; Expenses'!F27</f>
        <v>860</v>
      </c>
      <c r="E48" s="4876">
        <f>'Part V-Revenues &amp; Expenses'!H27</f>
        <v>1337</v>
      </c>
      <c r="F48" s="4877"/>
      <c r="G48" s="438"/>
      <c r="H48" s="4902"/>
      <c r="I48" s="4903"/>
      <c r="J48" s="4903"/>
      <c r="K48" s="4903"/>
      <c r="L48" s="4904"/>
    </row>
    <row r="49" spans="1:13" s="431" customFormat="1" ht="13.15" customHeight="1">
      <c r="A49" s="1480">
        <f>'Part V-Revenues &amp; Expenses'!B28</f>
        <v>60</v>
      </c>
      <c r="B49" s="1481">
        <f>'Part V-Revenues &amp; Expenses'!E28</f>
        <v>2</v>
      </c>
      <c r="C49" s="1482" t="str">
        <f>_xlfn.CONCAT('Part V-Revenues &amp; Expenses'!C28," / ",'Part V-Revenues &amp; Expenses'!D28)</f>
        <v>2 / 1</v>
      </c>
      <c r="D49" s="1481">
        <f>'Part V-Revenues &amp; Expenses'!F28</f>
        <v>860</v>
      </c>
      <c r="E49" s="4876">
        <f>'Part V-Revenues &amp; Expenses'!H28</f>
        <v>1337</v>
      </c>
      <c r="F49" s="4877"/>
      <c r="G49" s="438"/>
      <c r="H49" s="4902"/>
      <c r="I49" s="4903"/>
      <c r="J49" s="4903"/>
      <c r="K49" s="4903"/>
      <c r="L49" s="4904"/>
    </row>
    <row r="50" spans="1:13" s="431" customFormat="1" ht="13.15"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876">
        <f>'Part V-Revenues &amp; Expenses'!H29</f>
        <v>0</v>
      </c>
      <c r="F50" s="4877"/>
      <c r="G50" s="438"/>
      <c r="H50" s="4902"/>
      <c r="I50" s="4903"/>
      <c r="J50" s="4903"/>
      <c r="K50" s="4903"/>
      <c r="L50" s="4904"/>
    </row>
    <row r="51" spans="1:13" s="431" customFormat="1" ht="13.15" customHeight="1">
      <c r="A51" s="1480">
        <f>'Part V-Revenues &amp; Expenses'!B30</f>
        <v>30</v>
      </c>
      <c r="B51" s="1481">
        <f>'Part V-Revenues &amp; Expenses'!E30</f>
        <v>1</v>
      </c>
      <c r="C51" s="1482" t="str">
        <f>_xlfn.CONCAT('Part V-Revenues &amp; Expenses'!C30," / ",'Part V-Revenues &amp; Expenses'!D30)</f>
        <v>2 / 2</v>
      </c>
      <c r="D51" s="1481">
        <f>'Part V-Revenues &amp; Expenses'!F30</f>
        <v>952</v>
      </c>
      <c r="E51" s="4876">
        <f>'Part V-Revenues &amp; Expenses'!H30</f>
        <v>771</v>
      </c>
      <c r="F51" s="4877"/>
      <c r="G51" s="438"/>
      <c r="H51" s="4902"/>
      <c r="I51" s="4903"/>
      <c r="J51" s="4903"/>
      <c r="K51" s="4903"/>
      <c r="L51" s="4904"/>
    </row>
    <row r="52" spans="1:13" s="431" customFormat="1" ht="13.15" customHeight="1">
      <c r="A52" s="1480">
        <f>'Part V-Revenues &amp; Expenses'!B31</f>
        <v>30</v>
      </c>
      <c r="B52" s="1481">
        <f>'Part V-Revenues &amp; Expenses'!E31</f>
        <v>1</v>
      </c>
      <c r="C52" s="1482" t="str">
        <f>_xlfn.CONCAT('Part V-Revenues &amp; Expenses'!C31," / ",'Part V-Revenues &amp; Expenses'!D31)</f>
        <v>2 / 2</v>
      </c>
      <c r="D52" s="1481">
        <f>'Part V-Revenues &amp; Expenses'!F31</f>
        <v>952</v>
      </c>
      <c r="E52" s="4876">
        <f>'Part V-Revenues &amp; Expenses'!H31</f>
        <v>771</v>
      </c>
      <c r="F52" s="4877"/>
      <c r="G52" s="438"/>
      <c r="H52" s="4902"/>
      <c r="I52" s="4903"/>
      <c r="J52" s="4903"/>
      <c r="K52" s="4903"/>
      <c r="L52" s="4904"/>
    </row>
    <row r="53" spans="1:13" s="431" customFormat="1" ht="13.15" customHeight="1">
      <c r="A53" s="1480">
        <f>'Part V-Revenues &amp; Expenses'!B32</f>
        <v>50</v>
      </c>
      <c r="B53" s="1481">
        <f>'Part V-Revenues &amp; Expenses'!E32</f>
        <v>1</v>
      </c>
      <c r="C53" s="1482" t="str">
        <f>_xlfn.CONCAT('Part V-Revenues &amp; Expenses'!C32," / ",'Part V-Revenues &amp; Expenses'!D32)</f>
        <v>2 / 2</v>
      </c>
      <c r="D53" s="1481">
        <f>'Part V-Revenues &amp; Expenses'!F32</f>
        <v>952</v>
      </c>
      <c r="E53" s="4876">
        <f>'Part V-Revenues &amp; Expenses'!H32</f>
        <v>1249</v>
      </c>
      <c r="F53" s="4877"/>
      <c r="G53" s="438"/>
      <c r="H53" s="4902"/>
      <c r="I53" s="4903"/>
      <c r="J53" s="4903"/>
      <c r="K53" s="4903"/>
      <c r="L53" s="4904"/>
    </row>
    <row r="54" spans="1:13" s="431" customFormat="1" ht="13.15" customHeight="1">
      <c r="A54" s="1480">
        <f>'Part V-Revenues &amp; Expenses'!B33</f>
        <v>50</v>
      </c>
      <c r="B54" s="1481">
        <f>'Part V-Revenues &amp; Expenses'!E33</f>
        <v>1</v>
      </c>
      <c r="C54" s="1482" t="str">
        <f>_xlfn.CONCAT('Part V-Revenues &amp; Expenses'!C33," / ",'Part V-Revenues &amp; Expenses'!D33)</f>
        <v>2 / 2</v>
      </c>
      <c r="D54" s="1481">
        <f>'Part V-Revenues &amp; Expenses'!F33</f>
        <v>952</v>
      </c>
      <c r="E54" s="4876">
        <f>'Part V-Revenues &amp; Expenses'!H33</f>
        <v>1249</v>
      </c>
      <c r="F54" s="4877"/>
      <c r="G54" s="438"/>
      <c r="H54" s="4902"/>
      <c r="I54" s="4903"/>
      <c r="J54" s="4903"/>
      <c r="K54" s="4903"/>
      <c r="L54" s="4904"/>
    </row>
    <row r="55" spans="1:13" s="431" customFormat="1" ht="13.15" customHeight="1">
      <c r="A55" s="1480">
        <f>'Part V-Revenues &amp; Expenses'!B34</f>
        <v>60</v>
      </c>
      <c r="B55" s="1481">
        <f>'Part V-Revenues &amp; Expenses'!E34</f>
        <v>18</v>
      </c>
      <c r="C55" s="1482" t="str">
        <f>_xlfn.CONCAT('Part V-Revenues &amp; Expenses'!C34," / ",'Part V-Revenues &amp; Expenses'!D34)</f>
        <v>2 / 2</v>
      </c>
      <c r="D55" s="1481">
        <f>'Part V-Revenues &amp; Expenses'!F34</f>
        <v>952</v>
      </c>
      <c r="E55" s="4876">
        <f>'Part V-Revenues &amp; Expenses'!H34</f>
        <v>1326</v>
      </c>
      <c r="F55" s="4877"/>
      <c r="G55" s="438"/>
      <c r="H55" s="4902"/>
      <c r="I55" s="4903"/>
      <c r="J55" s="4903"/>
      <c r="K55" s="4903"/>
      <c r="L55" s="4904"/>
    </row>
    <row r="56" spans="1:13" s="431" customFormat="1" ht="13.15" customHeight="1">
      <c r="A56" s="1480">
        <f>'Part V-Revenues &amp; Expenses'!B35</f>
        <v>60</v>
      </c>
      <c r="B56" s="1481">
        <f>'Part V-Revenues &amp; Expenses'!E35</f>
        <v>2</v>
      </c>
      <c r="C56" s="1482" t="str">
        <f>_xlfn.CONCAT('Part V-Revenues &amp; Expenses'!C35," / ",'Part V-Revenues &amp; Expenses'!D35)</f>
        <v>2 / 2</v>
      </c>
      <c r="D56" s="1481">
        <f>'Part V-Revenues &amp; Expenses'!F35</f>
        <v>952</v>
      </c>
      <c r="E56" s="4876">
        <f>'Part V-Revenues &amp; Expenses'!H35</f>
        <v>1326</v>
      </c>
      <c r="F56" s="4877"/>
      <c r="G56" s="438"/>
      <c r="H56" s="4902"/>
      <c r="I56" s="4903"/>
      <c r="J56" s="4903"/>
      <c r="K56" s="4903"/>
      <c r="L56" s="4904"/>
    </row>
    <row r="57" spans="1:13" s="431" customFormat="1" ht="13.15"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76">
        <f>'Part V-Revenues &amp; Expenses'!H36</f>
        <v>0</v>
      </c>
      <c r="F57" s="4877"/>
      <c r="G57" s="438"/>
      <c r="H57" s="4902"/>
      <c r="I57" s="4903"/>
      <c r="J57" s="4903"/>
      <c r="K57" s="4903"/>
      <c r="L57" s="4904"/>
    </row>
    <row r="58" spans="1:13" s="431" customFormat="1" ht="13.1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76">
        <f>'Part V-Revenues &amp; Expenses'!H37</f>
        <v>0</v>
      </c>
      <c r="F58" s="4877"/>
      <c r="G58" s="438"/>
      <c r="H58" s="4902"/>
      <c r="I58" s="4903"/>
      <c r="J58" s="4903"/>
      <c r="K58" s="4903"/>
      <c r="L58" s="4904"/>
    </row>
    <row r="59" spans="1:13" s="431" customFormat="1" ht="13.15"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76">
        <f>'Part V-Revenues &amp; Expenses'!H38</f>
        <v>0</v>
      </c>
      <c r="F59" s="4877"/>
      <c r="G59" s="438"/>
      <c r="H59" s="4902"/>
      <c r="I59" s="4903"/>
      <c r="J59" s="4903"/>
      <c r="K59" s="4903"/>
      <c r="L59" s="4904"/>
    </row>
    <row r="60" spans="1:13" s="431" customFormat="1" ht="13.15"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76">
        <f>'Part V-Revenues &amp; Expenses'!H39</f>
        <v>0</v>
      </c>
      <c r="F60" s="4877"/>
      <c r="G60" s="438"/>
      <c r="H60" s="4902"/>
      <c r="I60" s="4903"/>
      <c r="J60" s="4903"/>
      <c r="K60" s="4903"/>
      <c r="L60" s="4904"/>
      <c r="M60" s="602"/>
    </row>
    <row r="61" spans="1:13" s="431" customFormat="1" ht="13.15"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76">
        <f>'Part V-Revenues &amp; Expenses'!H40</f>
        <v>0</v>
      </c>
      <c r="F61" s="4877"/>
      <c r="G61" s="438"/>
      <c r="H61" s="4902"/>
      <c r="I61" s="4903"/>
      <c r="J61" s="4903"/>
      <c r="K61" s="4903"/>
      <c r="L61" s="4904"/>
      <c r="M61" s="602"/>
    </row>
    <row r="62" spans="1:13" s="431" customFormat="1" ht="13.1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76">
        <f>'Part V-Revenues &amp; Expenses'!H41</f>
        <v>0</v>
      </c>
      <c r="F62" s="4877"/>
      <c r="G62" s="438"/>
      <c r="H62" s="4902"/>
      <c r="I62" s="4903"/>
      <c r="J62" s="4903"/>
      <c r="K62" s="4903"/>
      <c r="L62" s="4904"/>
      <c r="M62" s="602"/>
    </row>
    <row r="63" spans="1:13" s="431" customFormat="1" ht="13.1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76">
        <f>'Part V-Revenues &amp; Expenses'!H42</f>
        <v>0</v>
      </c>
      <c r="F63" s="4877"/>
      <c r="G63" s="438"/>
      <c r="H63" s="4902"/>
      <c r="I63" s="4903"/>
      <c r="J63" s="4903"/>
      <c r="K63" s="4903"/>
      <c r="L63" s="4904"/>
      <c r="M63" s="602"/>
    </row>
    <row r="64" spans="1:13" s="431" customFormat="1" ht="13.1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76">
        <f>'Part V-Revenues &amp; Expenses'!H43</f>
        <v>0</v>
      </c>
      <c r="F64" s="4877"/>
      <c r="G64" s="438"/>
      <c r="H64" s="4902"/>
      <c r="I64" s="4903"/>
      <c r="J64" s="4903"/>
      <c r="K64" s="4903"/>
      <c r="L64" s="4904"/>
      <c r="M64" s="602"/>
    </row>
    <row r="65" spans="1:19" ht="13.1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76">
        <f>'Part V-Revenues &amp; Expenses'!H44</f>
        <v>0</v>
      </c>
      <c r="F65" s="4877"/>
      <c r="G65" s="438"/>
      <c r="H65" s="4902"/>
      <c r="I65" s="4903"/>
      <c r="J65" s="4903"/>
      <c r="K65" s="4903"/>
      <c r="L65" s="4904"/>
      <c r="M65" s="602"/>
      <c r="S65" s="431"/>
    </row>
    <row r="66" spans="1:19" ht="13.1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76">
        <f>'Part V-Revenues &amp; Expenses'!H45</f>
        <v>0</v>
      </c>
      <c r="F66" s="4877"/>
      <c r="G66" s="438"/>
      <c r="H66" s="4902"/>
      <c r="I66" s="4903"/>
      <c r="J66" s="4903"/>
      <c r="K66" s="4903"/>
      <c r="L66" s="4904"/>
      <c r="M66" s="602"/>
      <c r="S66" s="431"/>
    </row>
    <row r="67" spans="1:19" ht="13.1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76">
        <f>'Part V-Revenues &amp; Expenses'!H46</f>
        <v>0</v>
      </c>
      <c r="F67" s="4877"/>
      <c r="G67" s="438"/>
      <c r="H67" s="4902"/>
      <c r="I67" s="4903"/>
      <c r="J67" s="4903"/>
      <c r="K67" s="4903"/>
      <c r="L67" s="4904"/>
      <c r="M67" s="602"/>
      <c r="S67" s="431"/>
    </row>
    <row r="68" spans="1:19" ht="13.1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76">
        <f>'Part V-Revenues &amp; Expenses'!H47</f>
        <v>0</v>
      </c>
      <c r="F68" s="4877"/>
      <c r="G68" s="438"/>
      <c r="H68" s="4902"/>
      <c r="I68" s="4903"/>
      <c r="J68" s="4903"/>
      <c r="K68" s="4903"/>
      <c r="L68" s="4904"/>
      <c r="M68" s="602"/>
      <c r="S68" s="431"/>
    </row>
    <row r="69" spans="1:19" ht="13.1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74">
        <f>'Part V-Revenues &amp; Expenses'!H57</f>
        <v>0</v>
      </c>
      <c r="F69" s="4875"/>
      <c r="G69" s="1486"/>
      <c r="H69" s="4908"/>
      <c r="I69" s="4909"/>
      <c r="J69" s="4909"/>
      <c r="K69" s="4909"/>
      <c r="L69" s="4910"/>
      <c r="M69" s="602"/>
      <c r="S69" s="431"/>
    </row>
    <row r="70" spans="1:19" ht="13.15" customHeight="1">
      <c r="C70" s="1398"/>
      <c r="F70" s="602"/>
      <c r="G70" s="602"/>
      <c r="H70" s="602"/>
      <c r="I70" s="602"/>
      <c r="J70" s="602"/>
      <c r="K70" s="1397"/>
      <c r="L70" s="602"/>
      <c r="M70" s="602"/>
      <c r="S70" s="431"/>
    </row>
    <row r="71" spans="1:19" ht="13.15" customHeight="1">
      <c r="C71" s="1398"/>
      <c r="F71" s="602"/>
      <c r="G71" s="602"/>
      <c r="H71" s="602"/>
      <c r="I71" s="602"/>
      <c r="J71" s="602"/>
      <c r="K71" s="1397"/>
      <c r="L71" s="602"/>
      <c r="M71" s="602"/>
      <c r="S71" s="431"/>
    </row>
    <row r="72" spans="1:19" ht="13.15" customHeight="1">
      <c r="C72" s="1398"/>
      <c r="F72" s="602"/>
      <c r="G72" s="602"/>
      <c r="H72" s="602"/>
      <c r="I72" s="602"/>
      <c r="J72" s="602"/>
      <c r="K72" s="1397"/>
      <c r="L72" s="602"/>
      <c r="M72" s="602"/>
      <c r="S72" s="431"/>
    </row>
    <row r="73" spans="1:19" ht="13.15" customHeight="1">
      <c r="C73" s="1398"/>
      <c r="F73" s="602"/>
      <c r="G73" s="602"/>
      <c r="H73" s="602"/>
      <c r="I73" s="602"/>
      <c r="J73" s="602"/>
      <c r="K73" s="1397"/>
      <c r="L73" s="602"/>
      <c r="M73" s="602"/>
      <c r="S73" s="431"/>
    </row>
    <row r="74" spans="1:19" ht="13.15" customHeight="1">
      <c r="C74" s="1398"/>
      <c r="F74" s="602"/>
      <c r="G74" s="602"/>
      <c r="H74" s="602"/>
      <c r="I74" s="602"/>
      <c r="J74" s="602"/>
      <c r="K74" s="1397"/>
      <c r="L74" s="602"/>
      <c r="M74" s="602"/>
      <c r="S74" s="431"/>
    </row>
    <row r="75" spans="1:19" ht="13.15" customHeight="1">
      <c r="C75" s="1398"/>
      <c r="F75" s="602"/>
      <c r="G75" s="602"/>
      <c r="H75" s="602"/>
      <c r="I75" s="602"/>
      <c r="J75" s="602"/>
      <c r="K75" s="1397"/>
      <c r="L75" s="602"/>
      <c r="M75" s="602"/>
      <c r="S75" s="431"/>
    </row>
    <row r="76" spans="1:19" ht="13.15" customHeight="1">
      <c r="C76" s="1398"/>
      <c r="F76" s="602"/>
      <c r="G76" s="602"/>
      <c r="H76" s="602"/>
      <c r="I76" s="602"/>
      <c r="J76" s="602"/>
      <c r="K76" s="1397"/>
      <c r="L76" s="602"/>
      <c r="M76" s="602"/>
      <c r="S76" s="431"/>
    </row>
    <row r="77" spans="1:19" ht="13.15" customHeight="1">
      <c r="C77" s="1398"/>
      <c r="F77" s="602"/>
      <c r="G77" s="602"/>
      <c r="H77" s="602"/>
      <c r="I77" s="602"/>
      <c r="J77" s="602"/>
      <c r="K77" s="1397"/>
      <c r="L77" s="602"/>
      <c r="M77" s="602"/>
      <c r="S77" s="431"/>
    </row>
    <row r="78" spans="1:19" ht="13.15" customHeight="1">
      <c r="C78" s="1398"/>
      <c r="F78" s="602"/>
      <c r="G78" s="602"/>
      <c r="H78" s="602"/>
      <c r="I78" s="602"/>
      <c r="J78" s="602"/>
      <c r="K78" s="1397"/>
      <c r="L78" s="602"/>
      <c r="M78" s="602"/>
      <c r="S78" s="431"/>
    </row>
    <row r="79" spans="1:19" ht="13.15" customHeight="1">
      <c r="C79" s="1398"/>
      <c r="F79" s="602"/>
      <c r="G79" s="602"/>
      <c r="H79" s="602"/>
      <c r="I79" s="602"/>
      <c r="J79" s="602"/>
      <c r="K79" s="1397"/>
      <c r="L79" s="602"/>
      <c r="M79" s="602"/>
      <c r="S79" s="431"/>
    </row>
    <row r="80" spans="1:19" ht="13.15" customHeight="1">
      <c r="C80" s="1398"/>
      <c r="F80" s="602"/>
      <c r="G80" s="602"/>
      <c r="H80" s="602"/>
      <c r="I80" s="602"/>
      <c r="J80" s="602"/>
      <c r="K80" s="1397"/>
      <c r="L80" s="602"/>
      <c r="M80" s="602"/>
      <c r="S80" s="431"/>
    </row>
    <row r="81" spans="3:19" ht="13.15" customHeight="1">
      <c r="C81" s="1398"/>
      <c r="F81" s="602"/>
      <c r="G81" s="602"/>
      <c r="H81" s="602"/>
      <c r="I81" s="602"/>
      <c r="J81" s="602"/>
      <c r="K81" s="1397"/>
      <c r="L81" s="602"/>
      <c r="M81" s="602"/>
      <c r="S81" s="431"/>
    </row>
    <row r="82" spans="3:19" ht="13.15" customHeight="1">
      <c r="C82" s="1398"/>
      <c r="F82" s="602"/>
      <c r="G82" s="602"/>
      <c r="H82" s="602"/>
      <c r="I82" s="602"/>
      <c r="J82" s="602"/>
      <c r="K82" s="1397"/>
      <c r="L82" s="602"/>
      <c r="M82" s="602"/>
      <c r="S82" s="431"/>
    </row>
    <row r="83" spans="3:19" ht="13.15" customHeight="1">
      <c r="C83" s="1398"/>
      <c r="F83" s="602"/>
      <c r="G83" s="602"/>
      <c r="H83" s="602"/>
      <c r="I83" s="602"/>
      <c r="J83" s="602"/>
      <c r="K83" s="1397"/>
      <c r="L83" s="602"/>
      <c r="M83" s="602"/>
      <c r="S83" s="431"/>
    </row>
    <row r="84" spans="3:19" ht="13.15" customHeight="1">
      <c r="C84" s="1398"/>
      <c r="F84" s="602"/>
      <c r="G84" s="602"/>
      <c r="H84" s="602"/>
      <c r="I84" s="602"/>
      <c r="J84" s="602"/>
      <c r="K84" s="1397"/>
      <c r="L84" s="602"/>
      <c r="M84" s="602"/>
      <c r="S84" s="431"/>
    </row>
    <row r="85" spans="3:19" ht="13.15" customHeight="1">
      <c r="C85" s="1398"/>
      <c r="F85" s="602"/>
      <c r="G85" s="602"/>
      <c r="H85" s="602"/>
      <c r="I85" s="602"/>
      <c r="J85" s="602"/>
      <c r="K85" s="1397"/>
      <c r="L85" s="602"/>
      <c r="M85" s="602"/>
      <c r="S85" s="431"/>
    </row>
    <row r="86" spans="3:19" ht="13.15" customHeight="1">
      <c r="C86" s="1398"/>
      <c r="F86" s="602"/>
      <c r="G86" s="602"/>
      <c r="H86" s="602"/>
      <c r="I86" s="602"/>
      <c r="J86" s="602"/>
      <c r="K86" s="1397"/>
      <c r="L86" s="602"/>
      <c r="M86" s="602"/>
      <c r="S86" s="431"/>
    </row>
    <row r="87" spans="3:19" ht="13.15" customHeight="1">
      <c r="C87" s="1398"/>
      <c r="F87" s="602"/>
      <c r="G87" s="602"/>
      <c r="H87" s="602"/>
      <c r="I87" s="602"/>
      <c r="J87" s="602"/>
      <c r="K87" s="1397"/>
      <c r="L87" s="602"/>
      <c r="M87" s="602"/>
      <c r="S87" s="431"/>
    </row>
    <row r="88" spans="3:19" ht="13.15" customHeight="1">
      <c r="C88" s="1398"/>
      <c r="F88" s="602"/>
      <c r="G88" s="602"/>
      <c r="H88" s="602"/>
      <c r="I88" s="602"/>
      <c r="J88" s="602"/>
      <c r="K88" s="1397"/>
      <c r="L88" s="602"/>
      <c r="M88" s="602"/>
      <c r="S88" s="431"/>
    </row>
    <row r="89" spans="3:19" ht="13.15" customHeight="1">
      <c r="C89" s="1398"/>
      <c r="F89" s="602"/>
      <c r="G89" s="602"/>
      <c r="H89" s="602"/>
      <c r="I89" s="602"/>
      <c r="J89" s="602"/>
      <c r="K89" s="1397"/>
      <c r="L89" s="602"/>
      <c r="M89" s="602"/>
      <c r="S89" s="431"/>
    </row>
    <row r="90" spans="3:19" ht="13.15" customHeight="1">
      <c r="C90" s="1398"/>
      <c r="F90" s="602"/>
      <c r="G90" s="602"/>
      <c r="H90" s="602"/>
      <c r="I90" s="602"/>
      <c r="J90" s="602"/>
      <c r="K90" s="1397"/>
      <c r="L90" s="602"/>
      <c r="M90" s="602"/>
      <c r="S90" s="431"/>
    </row>
    <row r="91" spans="3:19" ht="13.15" customHeight="1">
      <c r="C91" s="1398"/>
      <c r="F91" s="602"/>
      <c r="G91" s="602"/>
      <c r="H91" s="602"/>
      <c r="I91" s="602"/>
      <c r="J91" s="602"/>
      <c r="K91" s="1397"/>
      <c r="L91" s="602"/>
      <c r="M91" s="602"/>
      <c r="S91" s="431"/>
    </row>
    <row r="92" spans="3:19" ht="13.15" customHeight="1">
      <c r="C92" s="1398"/>
      <c r="F92" s="602"/>
      <c r="G92" s="602"/>
      <c r="H92" s="602"/>
      <c r="I92" s="602"/>
      <c r="J92" s="602"/>
      <c r="K92" s="1397"/>
      <c r="L92" s="602"/>
      <c r="M92" s="602"/>
      <c r="S92" s="431"/>
    </row>
    <row r="93" spans="3:19" ht="13.15" customHeight="1">
      <c r="C93" s="1398"/>
      <c r="F93" s="602"/>
      <c r="G93" s="602"/>
      <c r="H93" s="602"/>
      <c r="I93" s="602"/>
      <c r="J93" s="602"/>
      <c r="K93" s="1397"/>
      <c r="L93" s="602"/>
      <c r="M93" s="602"/>
      <c r="S93" s="431"/>
    </row>
    <row r="94" spans="3:19" ht="13.15" customHeight="1">
      <c r="C94" s="1398"/>
      <c r="F94" s="602"/>
      <c r="G94" s="602"/>
      <c r="H94" s="602"/>
      <c r="I94" s="602"/>
      <c r="J94" s="602"/>
      <c r="K94" s="1397"/>
      <c r="L94" s="602"/>
      <c r="M94" s="602"/>
      <c r="S94" s="431"/>
    </row>
    <row r="95" spans="3:19" ht="13.15" customHeight="1">
      <c r="C95" s="1398"/>
      <c r="F95" s="602"/>
      <c r="G95" s="602"/>
      <c r="H95" s="602"/>
      <c r="I95" s="602"/>
      <c r="J95" s="602"/>
      <c r="K95" s="1397"/>
      <c r="L95" s="602"/>
      <c r="M95" s="602"/>
      <c r="S95" s="431"/>
    </row>
    <row r="96" spans="3:19" ht="13.15" customHeight="1">
      <c r="C96" s="1398"/>
      <c r="F96" s="602"/>
      <c r="G96" s="602"/>
      <c r="H96" s="602"/>
      <c r="I96" s="602"/>
      <c r="J96" s="602"/>
      <c r="K96" s="1397"/>
      <c r="L96" s="602"/>
      <c r="M96" s="602"/>
      <c r="S96" s="431"/>
    </row>
    <row r="97" spans="3:19" ht="13.15" customHeight="1">
      <c r="C97" s="1398"/>
      <c r="F97" s="602"/>
      <c r="G97" s="602"/>
      <c r="H97" s="602"/>
      <c r="I97" s="602"/>
      <c r="J97" s="602"/>
      <c r="K97" s="1397"/>
      <c r="L97" s="602"/>
      <c r="M97" s="602"/>
      <c r="S97" s="431"/>
    </row>
    <row r="98" spans="3:19" ht="13.15" customHeight="1">
      <c r="C98" s="1398"/>
      <c r="F98" s="602"/>
      <c r="G98" s="602"/>
      <c r="H98" s="602"/>
      <c r="I98" s="602"/>
      <c r="J98" s="602"/>
      <c r="K98" s="1397"/>
      <c r="L98" s="602"/>
      <c r="M98" s="602"/>
      <c r="S98" s="431"/>
    </row>
    <row r="99" spans="3:19" ht="13.15" customHeight="1">
      <c r="C99" s="1398"/>
      <c r="F99" s="602"/>
      <c r="G99" s="602"/>
      <c r="H99" s="602"/>
      <c r="I99" s="602"/>
      <c r="J99" s="602"/>
      <c r="K99" s="1397"/>
      <c r="L99" s="602"/>
      <c r="M99" s="602"/>
      <c r="S99" s="431"/>
    </row>
    <row r="100" spans="3:19" ht="13.15" customHeight="1">
      <c r="C100" s="1398"/>
      <c r="F100" s="602"/>
      <c r="G100" s="602"/>
      <c r="H100" s="602"/>
      <c r="I100" s="602"/>
      <c r="J100" s="602"/>
      <c r="K100" s="1397"/>
      <c r="L100" s="602"/>
      <c r="M100" s="602"/>
      <c r="S100" s="431"/>
    </row>
    <row r="101" spans="3:19" ht="13.15" customHeight="1">
      <c r="C101" s="1398"/>
      <c r="F101" s="602"/>
      <c r="G101" s="602"/>
      <c r="H101" s="602"/>
      <c r="I101" s="602"/>
      <c r="J101" s="602"/>
      <c r="K101" s="1397"/>
      <c r="L101" s="602"/>
      <c r="M101" s="602"/>
      <c r="S101" s="431"/>
    </row>
    <row r="102" spans="3:19" ht="13.15" customHeight="1">
      <c r="C102" s="1398"/>
      <c r="F102" s="602"/>
      <c r="G102" s="602"/>
      <c r="H102" s="602"/>
      <c r="I102" s="602"/>
      <c r="J102" s="602"/>
      <c r="K102" s="1397"/>
      <c r="L102" s="602"/>
      <c r="M102" s="602"/>
      <c r="S102" s="431"/>
    </row>
    <row r="103" spans="3:19" ht="13.15" customHeight="1">
      <c r="C103" s="1398"/>
      <c r="F103" s="602"/>
      <c r="G103" s="602"/>
      <c r="H103" s="602"/>
      <c r="I103" s="602"/>
      <c r="J103" s="602"/>
      <c r="K103" s="1397"/>
      <c r="L103" s="602"/>
      <c r="M103" s="602"/>
      <c r="S103" s="431"/>
    </row>
    <row r="104" spans="3:19" ht="13.15" customHeight="1">
      <c r="C104" s="1398"/>
      <c r="F104" s="602"/>
      <c r="G104" s="602"/>
      <c r="H104" s="602"/>
      <c r="I104" s="602"/>
      <c r="J104" s="602"/>
      <c r="K104" s="1397"/>
      <c r="L104" s="602"/>
      <c r="M104" s="602"/>
      <c r="S104" s="431"/>
    </row>
    <row r="105" spans="3:19" ht="13.15" customHeight="1">
      <c r="C105" s="1398"/>
      <c r="F105" s="602"/>
      <c r="G105" s="602"/>
      <c r="H105" s="602"/>
      <c r="I105" s="602"/>
      <c r="J105" s="602"/>
      <c r="K105" s="1397"/>
      <c r="L105" s="602"/>
      <c r="M105" s="602"/>
      <c r="S105" s="431"/>
    </row>
    <row r="106" spans="3:19" ht="13.15" customHeight="1">
      <c r="C106" s="1398"/>
      <c r="F106" s="602"/>
      <c r="G106" s="602"/>
      <c r="H106" s="602"/>
      <c r="I106" s="602"/>
      <c r="J106" s="602"/>
      <c r="K106" s="1397"/>
      <c r="L106" s="602"/>
      <c r="M106" s="602"/>
      <c r="S106" s="431"/>
    </row>
    <row r="107" spans="3:19" ht="13.15" customHeight="1">
      <c r="C107" s="1398"/>
      <c r="F107" s="602"/>
      <c r="G107" s="602"/>
      <c r="H107" s="602"/>
      <c r="I107" s="602"/>
      <c r="J107" s="602"/>
      <c r="K107" s="1397"/>
      <c r="L107" s="602"/>
      <c r="M107" s="602"/>
      <c r="S107" s="431"/>
    </row>
    <row r="108" spans="3:19" ht="13.15" customHeight="1">
      <c r="C108" s="1398" t="s">
        <v>233</v>
      </c>
      <c r="F108" s="602"/>
      <c r="G108" s="602"/>
      <c r="H108" s="602"/>
      <c r="I108" s="602"/>
      <c r="J108" s="602"/>
      <c r="K108" s="1397"/>
      <c r="L108" s="602"/>
      <c r="M108" s="602"/>
      <c r="S108" s="431"/>
    </row>
    <row r="109" spans="3:19" ht="13.15" customHeight="1">
      <c r="C109" s="1398"/>
      <c r="F109" s="602"/>
      <c r="G109" s="602"/>
      <c r="H109" s="602"/>
      <c r="I109" s="602"/>
      <c r="J109" s="602"/>
      <c r="K109" s="1397"/>
      <c r="L109" s="602"/>
      <c r="M109" s="602"/>
      <c r="S109" s="431"/>
    </row>
    <row r="110" spans="3:19" ht="13.15" customHeight="1">
      <c r="C110" s="1398"/>
      <c r="F110" s="602"/>
      <c r="G110" s="602"/>
      <c r="H110" s="602"/>
      <c r="I110" s="602"/>
      <c r="J110" s="602"/>
      <c r="K110" s="1397"/>
      <c r="L110" s="602"/>
      <c r="M110" s="602"/>
      <c r="S110" s="431"/>
    </row>
    <row r="111" spans="3:19" ht="13.15" customHeight="1">
      <c r="C111" s="1398"/>
      <c r="F111" s="602"/>
      <c r="G111" s="602"/>
      <c r="H111" s="602"/>
      <c r="I111" s="602"/>
      <c r="J111" s="602"/>
      <c r="K111" s="1397"/>
      <c r="L111" s="602"/>
      <c r="M111" s="602"/>
      <c r="S111" s="431"/>
    </row>
    <row r="112" spans="3:19" ht="13.15" customHeight="1">
      <c r="C112" s="1398"/>
      <c r="F112" s="602"/>
      <c r="G112" s="602"/>
      <c r="H112" s="602"/>
      <c r="I112" s="602"/>
      <c r="J112" s="602"/>
      <c r="K112" s="1397"/>
      <c r="L112" s="602"/>
      <c r="M112" s="602"/>
      <c r="S112" s="431"/>
    </row>
    <row r="113" spans="3:19" ht="13.15" customHeight="1">
      <c r="C113" s="1398"/>
      <c r="F113" s="602"/>
      <c r="G113" s="602"/>
      <c r="H113" s="602"/>
      <c r="I113" s="602"/>
      <c r="J113" s="602"/>
      <c r="K113" s="1397"/>
      <c r="L113" s="602"/>
      <c r="M113" s="602"/>
      <c r="S113" s="431"/>
    </row>
    <row r="114" spans="3:19" ht="13.15" customHeight="1">
      <c r="C114" s="1398"/>
      <c r="F114" s="602"/>
      <c r="G114" s="602"/>
      <c r="H114" s="602"/>
      <c r="I114" s="602"/>
      <c r="J114" s="602"/>
      <c r="K114" s="1397"/>
      <c r="L114" s="602"/>
      <c r="M114" s="602"/>
      <c r="S114" s="431"/>
    </row>
    <row r="115" spans="3:19" ht="13.15" customHeight="1">
      <c r="C115" s="1398"/>
      <c r="F115" s="602"/>
      <c r="G115" s="602"/>
      <c r="H115" s="602"/>
      <c r="I115" s="602"/>
      <c r="J115" s="602"/>
      <c r="K115" s="1397"/>
      <c r="L115" s="602"/>
      <c r="M115" s="602"/>
      <c r="S115" s="431"/>
    </row>
    <row r="116" spans="3:19" ht="13.15" customHeight="1">
      <c r="C116" s="1398"/>
      <c r="F116" s="602"/>
      <c r="G116" s="602"/>
      <c r="H116" s="602"/>
      <c r="I116" s="602"/>
      <c r="J116" s="602"/>
      <c r="K116" s="1397"/>
      <c r="L116" s="602"/>
      <c r="M116" s="602"/>
      <c r="S116" s="431"/>
    </row>
    <row r="117" spans="3:19" ht="13.15" customHeight="1">
      <c r="C117" s="1398"/>
      <c r="F117" s="602"/>
      <c r="G117" s="602"/>
      <c r="H117" s="602"/>
      <c r="I117" s="602"/>
      <c r="J117" s="602"/>
      <c r="K117" s="1397"/>
      <c r="L117" s="602"/>
      <c r="M117" s="602"/>
      <c r="S117" s="431"/>
    </row>
    <row r="118" spans="3:19" ht="13.15" customHeight="1">
      <c r="C118" s="1398"/>
      <c r="F118" s="602"/>
      <c r="G118" s="602"/>
      <c r="H118" s="602"/>
      <c r="I118" s="602"/>
      <c r="J118" s="602"/>
      <c r="K118" s="1397"/>
      <c r="L118" s="602"/>
      <c r="M118" s="602"/>
      <c r="S118" s="431"/>
    </row>
    <row r="119" spans="3:19" ht="13.15" customHeight="1">
      <c r="C119" s="1398"/>
      <c r="F119" s="602"/>
      <c r="G119" s="602"/>
      <c r="H119" s="602"/>
      <c r="I119" s="602"/>
      <c r="J119" s="602"/>
      <c r="K119" s="1397"/>
      <c r="L119" s="602"/>
      <c r="M119" s="602"/>
      <c r="S119" s="431"/>
    </row>
    <row r="120" spans="3:19" ht="13.15" customHeight="1">
      <c r="C120" s="1398"/>
      <c r="F120" s="602"/>
      <c r="G120" s="602"/>
      <c r="H120" s="602"/>
      <c r="I120" s="602"/>
      <c r="J120" s="602"/>
      <c r="K120" s="1397"/>
      <c r="L120" s="602"/>
      <c r="M120" s="602"/>
      <c r="S120" s="431"/>
    </row>
    <row r="121" spans="3:19" ht="13.15" customHeight="1">
      <c r="C121" s="1398"/>
      <c r="F121" s="602"/>
      <c r="G121" s="602"/>
      <c r="H121" s="602"/>
      <c r="I121" s="602"/>
      <c r="J121" s="602"/>
      <c r="K121" s="1397"/>
      <c r="L121" s="602"/>
      <c r="M121" s="602"/>
      <c r="S121" s="431"/>
    </row>
    <row r="122" spans="3:19" ht="13.15" customHeight="1">
      <c r="C122" s="1398"/>
      <c r="F122" s="602"/>
      <c r="G122" s="602"/>
      <c r="H122" s="602"/>
      <c r="I122" s="602"/>
      <c r="J122" s="602"/>
      <c r="K122" s="1397"/>
      <c r="L122" s="602"/>
      <c r="M122" s="602"/>
      <c r="S122" s="431"/>
    </row>
    <row r="123" spans="3:19" ht="13.15" customHeight="1">
      <c r="C123" s="1398"/>
      <c r="F123" s="602"/>
      <c r="G123" s="602"/>
      <c r="H123" s="602"/>
      <c r="I123" s="602"/>
      <c r="J123" s="602"/>
      <c r="K123" s="1397"/>
      <c r="L123" s="602"/>
      <c r="M123" s="602"/>
      <c r="S123" s="431"/>
    </row>
    <row r="124" spans="3:19" ht="13.15" customHeight="1">
      <c r="C124" s="1398"/>
      <c r="F124" s="602"/>
      <c r="G124" s="602"/>
      <c r="H124" s="602"/>
      <c r="I124" s="602"/>
      <c r="J124" s="602"/>
      <c r="K124" s="1397"/>
      <c r="L124" s="602"/>
      <c r="M124" s="602"/>
      <c r="S124" s="431"/>
    </row>
    <row r="125" spans="3:19" ht="13.15" customHeight="1">
      <c r="C125" s="1398"/>
      <c r="F125" s="602"/>
      <c r="G125" s="602"/>
      <c r="H125" s="602"/>
      <c r="I125" s="602"/>
      <c r="J125" s="602"/>
      <c r="K125" s="1397"/>
      <c r="L125" s="602"/>
      <c r="M125" s="602"/>
      <c r="S125" s="431"/>
    </row>
    <row r="126" spans="3:19" ht="13.15" customHeight="1">
      <c r="C126" s="1398"/>
      <c r="F126" s="602"/>
      <c r="G126" s="602"/>
      <c r="H126" s="602"/>
      <c r="I126" s="602"/>
      <c r="J126" s="602"/>
      <c r="K126" s="1397"/>
      <c r="L126" s="602"/>
      <c r="M126" s="602"/>
      <c r="S126" s="431"/>
    </row>
    <row r="127" spans="3:19" ht="13.15" customHeight="1">
      <c r="C127" s="1398"/>
      <c r="F127" s="602"/>
      <c r="G127" s="602"/>
      <c r="H127" s="602"/>
      <c r="I127" s="602"/>
      <c r="J127" s="602"/>
      <c r="K127" s="1397"/>
      <c r="L127" s="602"/>
      <c r="M127" s="602"/>
      <c r="S127" s="431"/>
    </row>
    <row r="128" spans="3:19" ht="13.15" customHeight="1">
      <c r="C128" s="1398"/>
      <c r="F128" s="602"/>
      <c r="G128" s="602"/>
      <c r="H128" s="602"/>
      <c r="I128" s="602"/>
      <c r="J128" s="602"/>
      <c r="K128" s="1397"/>
      <c r="L128" s="602"/>
      <c r="M128" s="602"/>
      <c r="S128" s="431"/>
    </row>
    <row r="129" spans="3:19" ht="13.15" customHeight="1">
      <c r="C129" s="1398"/>
      <c r="F129" s="602"/>
      <c r="G129" s="602"/>
      <c r="H129" s="602"/>
      <c r="I129" s="602"/>
      <c r="J129" s="602"/>
      <c r="K129" s="1397"/>
      <c r="L129" s="602"/>
      <c r="M129" s="602"/>
      <c r="S129" s="431"/>
    </row>
    <row r="130" spans="3:19" ht="13.15" customHeight="1">
      <c r="C130" s="1398"/>
      <c r="F130" s="602"/>
      <c r="G130" s="602"/>
      <c r="H130" s="602"/>
      <c r="I130" s="602"/>
      <c r="J130" s="602"/>
      <c r="K130" s="1397"/>
      <c r="L130" s="602"/>
      <c r="M130" s="602"/>
      <c r="S130" s="431"/>
    </row>
    <row r="131" spans="3:19" ht="13.15" customHeight="1">
      <c r="C131" s="1398"/>
      <c r="F131" s="602"/>
      <c r="G131" s="602"/>
      <c r="H131" s="602"/>
      <c r="I131" s="602"/>
      <c r="J131" s="602"/>
      <c r="K131" s="1397"/>
      <c r="L131" s="602"/>
      <c r="M131" s="602"/>
      <c r="S131" s="431"/>
    </row>
    <row r="132" spans="3:19" ht="13.15" customHeight="1">
      <c r="C132" s="1398"/>
      <c r="F132" s="602"/>
      <c r="G132" s="602"/>
      <c r="H132" s="602"/>
      <c r="I132" s="602"/>
      <c r="J132" s="602"/>
      <c r="K132" s="1397"/>
      <c r="L132" s="602"/>
      <c r="M132" s="602"/>
      <c r="S132" s="431"/>
    </row>
    <row r="133" spans="3:19" ht="13.15" customHeight="1">
      <c r="C133" s="1398"/>
      <c r="F133" s="602"/>
      <c r="G133" s="602"/>
      <c r="H133" s="602"/>
      <c r="I133" s="602"/>
      <c r="J133" s="602"/>
      <c r="K133" s="1397"/>
      <c r="L133" s="602"/>
      <c r="M133" s="602"/>
      <c r="S133" s="431"/>
    </row>
    <row r="134" spans="3:19" ht="13.15" customHeight="1">
      <c r="C134" s="1398"/>
      <c r="F134" s="602"/>
      <c r="G134" s="602"/>
      <c r="H134" s="602"/>
      <c r="I134" s="602"/>
      <c r="J134" s="602"/>
      <c r="K134" s="1397"/>
      <c r="L134" s="602"/>
      <c r="M134" s="602"/>
      <c r="S134" s="431"/>
    </row>
    <row r="135" spans="3:19" ht="13.15" customHeight="1">
      <c r="C135" s="1398"/>
      <c r="F135" s="602"/>
      <c r="G135" s="602"/>
      <c r="H135" s="602"/>
      <c r="I135" s="602"/>
      <c r="J135" s="602"/>
      <c r="K135" s="1397"/>
      <c r="L135" s="602"/>
      <c r="M135" s="602"/>
      <c r="S135" s="431"/>
    </row>
    <row r="136" spans="3:19" ht="13.15" customHeight="1">
      <c r="C136" s="1398"/>
      <c r="F136" s="602"/>
      <c r="G136" s="602"/>
      <c r="H136" s="602"/>
      <c r="I136" s="602"/>
      <c r="J136" s="602"/>
      <c r="K136" s="1397"/>
      <c r="L136" s="602"/>
      <c r="M136" s="602"/>
      <c r="S136" s="431"/>
    </row>
    <row r="137" spans="3:19" ht="13.15" customHeight="1">
      <c r="C137" s="1398"/>
      <c r="F137" s="602"/>
      <c r="G137" s="602"/>
      <c r="H137" s="602"/>
      <c r="I137" s="602"/>
      <c r="J137" s="602"/>
      <c r="K137" s="1397"/>
      <c r="L137" s="602"/>
      <c r="M137" s="602"/>
      <c r="S137" s="431"/>
    </row>
    <row r="138" spans="3:19" ht="13.15" customHeight="1">
      <c r="C138" s="1398"/>
      <c r="F138" s="602"/>
      <c r="G138" s="602"/>
      <c r="H138" s="602"/>
      <c r="I138" s="602"/>
      <c r="J138" s="602"/>
      <c r="K138" s="1397"/>
      <c r="L138" s="602"/>
      <c r="M138" s="602"/>
      <c r="S138" s="431"/>
    </row>
    <row r="139" spans="3:19" ht="13.15" customHeight="1">
      <c r="C139" s="1398"/>
      <c r="F139" s="602"/>
      <c r="G139" s="602"/>
      <c r="H139" s="602"/>
      <c r="I139" s="602"/>
      <c r="J139" s="602"/>
      <c r="K139" s="1397"/>
      <c r="L139" s="602"/>
      <c r="M139" s="602"/>
      <c r="S139" s="431"/>
    </row>
    <row r="140" spans="3:19" ht="13.15" customHeight="1">
      <c r="C140" s="1398"/>
      <c r="F140" s="602"/>
      <c r="G140" s="602"/>
      <c r="H140" s="602"/>
      <c r="I140" s="602"/>
      <c r="J140" s="602"/>
      <c r="K140" s="1397"/>
      <c r="L140" s="602"/>
      <c r="M140" s="602"/>
      <c r="S140" s="431"/>
    </row>
    <row r="141" spans="3:19" ht="13.15" customHeight="1">
      <c r="C141" s="1398"/>
      <c r="F141" s="602"/>
      <c r="G141" s="602"/>
      <c r="H141" s="602"/>
      <c r="I141" s="602"/>
      <c r="J141" s="602"/>
      <c r="K141" s="1397"/>
      <c r="L141" s="602"/>
      <c r="M141" s="602"/>
      <c r="S141" s="431"/>
    </row>
    <row r="142" spans="3:19" ht="13.15" customHeight="1">
      <c r="C142" s="1398"/>
      <c r="F142" s="602"/>
      <c r="G142" s="602"/>
      <c r="H142" s="602"/>
      <c r="I142" s="602"/>
      <c r="J142" s="602"/>
      <c r="K142" s="1397"/>
      <c r="L142" s="602"/>
      <c r="M142" s="602"/>
      <c r="S142" s="431"/>
    </row>
    <row r="143" spans="3:19" ht="13.15" customHeight="1">
      <c r="C143" s="1398"/>
      <c r="F143" s="602"/>
      <c r="G143" s="602"/>
      <c r="H143" s="602"/>
      <c r="I143" s="602"/>
      <c r="J143" s="602"/>
      <c r="K143" s="1397"/>
      <c r="L143" s="602"/>
      <c r="M143" s="602"/>
      <c r="S143" s="431"/>
    </row>
    <row r="144" spans="3:19" ht="13.15" customHeight="1">
      <c r="C144" s="1398"/>
      <c r="F144" s="602"/>
      <c r="G144" s="602"/>
      <c r="H144" s="602"/>
      <c r="I144" s="602"/>
      <c r="J144" s="602"/>
      <c r="K144" s="1397"/>
      <c r="L144" s="602"/>
      <c r="M144" s="602"/>
      <c r="S144" s="431"/>
    </row>
    <row r="145" spans="3:19" ht="13.15" customHeight="1">
      <c r="C145" s="1398"/>
      <c r="F145" s="602"/>
      <c r="G145" s="602"/>
      <c r="H145" s="602"/>
      <c r="I145" s="602"/>
      <c r="J145" s="602"/>
      <c r="K145" s="1397"/>
      <c r="L145" s="602"/>
      <c r="M145" s="602"/>
      <c r="S145" s="431"/>
    </row>
    <row r="146" spans="3:19" ht="13.15" customHeight="1">
      <c r="C146" s="1398"/>
      <c r="F146" s="602"/>
      <c r="G146" s="602"/>
      <c r="H146" s="602"/>
      <c r="I146" s="602"/>
      <c r="J146" s="602"/>
      <c r="K146" s="1397"/>
      <c r="L146" s="602"/>
      <c r="M146" s="602"/>
      <c r="S146" s="431"/>
    </row>
    <row r="147" spans="3:19" ht="13.15" customHeight="1">
      <c r="C147" s="1398"/>
      <c r="F147" s="602"/>
      <c r="G147" s="602"/>
      <c r="H147" s="602"/>
      <c r="I147" s="602"/>
      <c r="J147" s="602"/>
      <c r="K147" s="1397"/>
      <c r="L147" s="602"/>
      <c r="M147" s="602"/>
      <c r="S147" s="431"/>
    </row>
    <row r="148" spans="3:19" ht="13.15" customHeight="1">
      <c r="C148" s="1398"/>
      <c r="F148" s="602"/>
      <c r="G148" s="602"/>
      <c r="H148" s="602"/>
      <c r="I148" s="602"/>
      <c r="J148" s="602"/>
      <c r="K148" s="1397"/>
      <c r="L148" s="602"/>
      <c r="M148" s="602"/>
      <c r="S148" s="431"/>
    </row>
    <row r="149" spans="3:19" ht="13.15" customHeight="1">
      <c r="C149" s="1398"/>
      <c r="F149" s="602"/>
      <c r="G149" s="602"/>
      <c r="H149" s="602"/>
      <c r="I149" s="602"/>
      <c r="J149" s="602"/>
      <c r="K149" s="1397"/>
      <c r="L149" s="602"/>
      <c r="M149" s="602"/>
      <c r="S149" s="431"/>
    </row>
    <row r="150" spans="3:19" ht="13.15" customHeight="1">
      <c r="C150" s="1398"/>
      <c r="F150" s="602"/>
      <c r="G150" s="602"/>
      <c r="H150" s="602"/>
      <c r="I150" s="602"/>
      <c r="J150" s="602"/>
      <c r="K150" s="1397"/>
      <c r="L150" s="602"/>
      <c r="M150" s="602"/>
      <c r="S150" s="431"/>
    </row>
    <row r="151" spans="3:19" ht="13.15" customHeight="1">
      <c r="C151" s="1398"/>
      <c r="F151" s="602"/>
      <c r="G151" s="602"/>
      <c r="H151" s="602"/>
      <c r="I151" s="602"/>
      <c r="J151" s="602"/>
      <c r="K151" s="1397"/>
      <c r="L151" s="602"/>
      <c r="M151" s="602"/>
      <c r="S151" s="431"/>
    </row>
    <row r="152" spans="3:19" ht="13.15" customHeight="1">
      <c r="C152" s="1398"/>
      <c r="F152" s="602"/>
      <c r="G152" s="602"/>
      <c r="H152" s="602"/>
      <c r="I152" s="602"/>
      <c r="J152" s="602"/>
      <c r="K152" s="1397"/>
      <c r="L152" s="602"/>
      <c r="M152" s="602"/>
      <c r="S152" s="431"/>
    </row>
    <row r="153" spans="3:19" ht="13.15" customHeight="1">
      <c r="C153" s="1398"/>
      <c r="F153" s="602"/>
      <c r="G153" s="602"/>
      <c r="H153" s="602"/>
      <c r="I153" s="602"/>
      <c r="J153" s="602"/>
      <c r="K153" s="1397"/>
      <c r="L153" s="602"/>
      <c r="M153" s="602"/>
      <c r="S153" s="431"/>
    </row>
    <row r="154" spans="3:19" ht="13.15" customHeight="1">
      <c r="C154" s="1398"/>
      <c r="F154" s="602"/>
      <c r="G154" s="602"/>
      <c r="H154" s="602"/>
      <c r="I154" s="602"/>
      <c r="J154" s="602"/>
      <c r="K154" s="1397"/>
      <c r="L154" s="602"/>
      <c r="M154" s="602"/>
      <c r="S154" s="431"/>
    </row>
    <row r="155" spans="3:19" ht="13.15" customHeight="1">
      <c r="C155" s="1398"/>
      <c r="F155" s="602"/>
      <c r="G155" s="602"/>
      <c r="H155" s="602"/>
      <c r="I155" s="602"/>
      <c r="J155" s="602"/>
      <c r="K155" s="1397"/>
      <c r="L155" s="602"/>
      <c r="M155" s="602"/>
      <c r="S155" s="431"/>
    </row>
    <row r="156" spans="3:19" ht="13.15" customHeight="1">
      <c r="C156" s="1398"/>
      <c r="F156" s="602"/>
      <c r="G156" s="602"/>
      <c r="H156" s="602"/>
      <c r="I156" s="602"/>
      <c r="J156" s="602"/>
      <c r="K156" s="1397"/>
      <c r="L156" s="602"/>
      <c r="M156" s="602"/>
      <c r="S156" s="431"/>
    </row>
    <row r="157" spans="3:19" ht="13.15" customHeight="1">
      <c r="C157" s="1398"/>
      <c r="F157" s="602"/>
      <c r="G157" s="602"/>
      <c r="H157" s="602"/>
      <c r="I157" s="602"/>
      <c r="J157" s="602"/>
      <c r="K157" s="1397"/>
      <c r="L157" s="602"/>
      <c r="M157" s="602"/>
      <c r="S157" s="431"/>
    </row>
    <row r="158" spans="3:19" ht="13.15" customHeight="1">
      <c r="C158" s="1398"/>
      <c r="F158" s="602"/>
      <c r="G158" s="602"/>
      <c r="H158" s="602"/>
      <c r="I158" s="602"/>
      <c r="J158" s="602"/>
      <c r="K158" s="1397"/>
      <c r="L158" s="602"/>
      <c r="M158" s="602"/>
      <c r="S158" s="431"/>
    </row>
    <row r="159" spans="3:19" ht="13.15" customHeight="1">
      <c r="C159" s="1398"/>
      <c r="F159" s="602"/>
      <c r="G159" s="602"/>
      <c r="H159" s="602"/>
      <c r="I159" s="602"/>
      <c r="J159" s="602"/>
      <c r="K159" s="1397"/>
      <c r="L159" s="602"/>
      <c r="M159" s="602"/>
      <c r="S159" s="431"/>
    </row>
    <row r="160" spans="3:19" ht="13.15" customHeight="1">
      <c r="C160" s="1398"/>
      <c r="F160" s="602"/>
      <c r="G160" s="602"/>
      <c r="H160" s="602"/>
      <c r="I160" s="602"/>
      <c r="J160" s="602"/>
      <c r="K160" s="1397"/>
      <c r="L160" s="602"/>
      <c r="M160" s="602"/>
      <c r="S160" s="431"/>
    </row>
    <row r="161" spans="3:19" ht="13.15" customHeight="1">
      <c r="C161" s="1398"/>
      <c r="F161" s="602"/>
      <c r="G161" s="602"/>
      <c r="H161" s="602"/>
      <c r="I161" s="602"/>
      <c r="J161" s="602"/>
      <c r="K161" s="1397"/>
      <c r="L161" s="602"/>
      <c r="M161" s="602"/>
      <c r="S161" s="431"/>
    </row>
    <row r="162" spans="3:19" ht="13.15" customHeight="1">
      <c r="C162" s="1398"/>
      <c r="F162" s="602"/>
      <c r="G162" s="602"/>
      <c r="H162" s="602"/>
      <c r="I162" s="602"/>
      <c r="J162" s="602"/>
      <c r="K162" s="1397"/>
      <c r="L162" s="602"/>
      <c r="M162" s="602"/>
      <c r="S162" s="431"/>
    </row>
    <row r="163" spans="3:19" ht="13.15" customHeight="1">
      <c r="C163" s="1398"/>
      <c r="F163" s="602"/>
      <c r="G163" s="602"/>
      <c r="H163" s="602"/>
      <c r="I163" s="602"/>
      <c r="J163" s="602"/>
      <c r="K163" s="1397"/>
      <c r="L163" s="602"/>
      <c r="M163" s="602"/>
      <c r="S163" s="431"/>
    </row>
    <row r="164" spans="3:19" ht="13.15" customHeight="1">
      <c r="C164" s="1398"/>
      <c r="F164" s="602"/>
      <c r="G164" s="602"/>
      <c r="H164" s="602"/>
      <c r="I164" s="602"/>
      <c r="J164" s="602"/>
      <c r="K164" s="1397"/>
      <c r="L164" s="602"/>
      <c r="M164" s="602"/>
      <c r="S164" s="431"/>
    </row>
    <row r="165" spans="3:19" ht="13.15" customHeight="1">
      <c r="C165" s="1398"/>
      <c r="F165" s="602"/>
      <c r="G165" s="602"/>
      <c r="H165" s="602"/>
      <c r="I165" s="602"/>
      <c r="J165" s="602"/>
      <c r="K165" s="1397"/>
      <c r="L165" s="602"/>
      <c r="M165" s="602"/>
      <c r="S165" s="431"/>
    </row>
    <row r="166" spans="3:19" ht="13.15" customHeight="1">
      <c r="C166" s="1398"/>
      <c r="F166" s="602"/>
      <c r="G166" s="602"/>
      <c r="H166" s="602"/>
      <c r="I166" s="602"/>
      <c r="J166" s="602"/>
      <c r="K166" s="1397"/>
      <c r="L166" s="602"/>
      <c r="M166" s="602"/>
      <c r="S166" s="431"/>
    </row>
    <row r="167" spans="3:19" ht="13.15" customHeight="1">
      <c r="C167" s="1398"/>
      <c r="F167" s="602"/>
      <c r="G167" s="602"/>
      <c r="H167" s="602"/>
      <c r="I167" s="602"/>
      <c r="J167" s="602"/>
      <c r="K167" s="1397"/>
      <c r="L167" s="602"/>
      <c r="M167" s="602"/>
      <c r="S167" s="431"/>
    </row>
    <row r="168" spans="3:19" ht="13.15" customHeight="1">
      <c r="C168" s="1398"/>
      <c r="F168" s="602"/>
      <c r="G168" s="602"/>
      <c r="H168" s="602"/>
      <c r="I168" s="602"/>
      <c r="J168" s="602"/>
      <c r="K168" s="1397"/>
      <c r="L168" s="602"/>
      <c r="M168" s="602"/>
      <c r="S168" s="431"/>
    </row>
    <row r="169" spans="3:19" ht="13.15" customHeight="1">
      <c r="C169" s="1398"/>
      <c r="F169" s="602"/>
      <c r="G169" s="602"/>
      <c r="H169" s="602"/>
      <c r="I169" s="602"/>
      <c r="J169" s="602"/>
      <c r="K169" s="1397"/>
      <c r="L169" s="602"/>
      <c r="M169" s="602"/>
      <c r="S169" s="431"/>
    </row>
    <row r="170" spans="3:19" ht="13.15" customHeight="1">
      <c r="C170" s="1398"/>
      <c r="F170" s="602"/>
      <c r="G170" s="602"/>
      <c r="H170" s="602"/>
      <c r="I170" s="602"/>
      <c r="J170" s="602"/>
      <c r="K170" s="1397"/>
      <c r="L170" s="602"/>
      <c r="M170" s="602"/>
      <c r="S170" s="431"/>
    </row>
    <row r="171" spans="3:19" ht="13.15" customHeight="1">
      <c r="C171" s="1398"/>
      <c r="F171" s="602"/>
      <c r="G171" s="602"/>
      <c r="H171" s="602"/>
      <c r="I171" s="602"/>
      <c r="J171" s="602"/>
      <c r="K171" s="1397"/>
      <c r="L171" s="602"/>
      <c r="M171" s="602"/>
      <c r="S171" s="431"/>
    </row>
    <row r="172" spans="3:19" ht="13.15" customHeight="1">
      <c r="C172" s="1398"/>
      <c r="F172" s="602"/>
      <c r="G172" s="602"/>
      <c r="H172" s="602"/>
      <c r="I172" s="602"/>
      <c r="J172" s="602"/>
      <c r="K172" s="1397"/>
      <c r="L172" s="602"/>
      <c r="M172" s="602"/>
      <c r="S172" s="431"/>
    </row>
    <row r="173" spans="3:19" ht="13.15" customHeight="1">
      <c r="C173" s="1398"/>
      <c r="F173" s="602"/>
      <c r="G173" s="602"/>
      <c r="H173" s="602"/>
      <c r="I173" s="602"/>
      <c r="J173" s="602"/>
      <c r="K173" s="1397"/>
      <c r="L173" s="602"/>
      <c r="M173" s="602"/>
      <c r="S173" s="431"/>
    </row>
    <row r="174" spans="3:19" ht="13.15" customHeight="1">
      <c r="C174" s="1398"/>
      <c r="F174" s="602"/>
      <c r="G174" s="602"/>
      <c r="H174" s="602"/>
      <c r="I174" s="602"/>
      <c r="J174" s="602"/>
      <c r="K174" s="1397"/>
      <c r="L174" s="602"/>
      <c r="M174" s="602"/>
      <c r="S174" s="431"/>
    </row>
    <row r="175" spans="3:19" ht="13.15" customHeight="1">
      <c r="C175" s="1398"/>
      <c r="F175" s="602"/>
      <c r="G175" s="602"/>
      <c r="H175" s="602"/>
      <c r="I175" s="602"/>
      <c r="J175" s="602"/>
      <c r="K175" s="1397"/>
      <c r="L175" s="602"/>
      <c r="M175" s="602"/>
      <c r="S175" s="431"/>
    </row>
    <row r="176" spans="3:19" ht="13.15" customHeight="1">
      <c r="C176" s="1398"/>
      <c r="F176" s="602"/>
      <c r="G176" s="602"/>
      <c r="H176" s="602"/>
      <c r="I176" s="602"/>
      <c r="J176" s="602"/>
      <c r="K176" s="1397"/>
      <c r="L176" s="602"/>
      <c r="M176" s="602"/>
      <c r="S176" s="431"/>
    </row>
    <row r="177" spans="3:19" ht="13.15" customHeight="1">
      <c r="C177" s="1398"/>
      <c r="F177" s="602"/>
      <c r="G177" s="602"/>
      <c r="H177" s="602"/>
      <c r="I177" s="602"/>
      <c r="J177" s="602"/>
      <c r="K177" s="1397"/>
      <c r="L177" s="602"/>
      <c r="M177" s="602"/>
      <c r="S177" s="431"/>
    </row>
    <row r="178" spans="3:19" ht="13.15" customHeight="1">
      <c r="C178" s="1398"/>
      <c r="F178" s="602"/>
      <c r="G178" s="602"/>
      <c r="H178" s="602"/>
      <c r="I178" s="602"/>
      <c r="J178" s="602"/>
      <c r="K178" s="1397"/>
      <c r="L178" s="602"/>
      <c r="M178" s="602"/>
      <c r="S178" s="431"/>
    </row>
    <row r="179" spans="3:19" ht="13.15" customHeight="1">
      <c r="C179" s="1398"/>
      <c r="F179" s="602"/>
      <c r="G179" s="602"/>
      <c r="H179" s="602"/>
      <c r="I179" s="602"/>
      <c r="J179" s="602"/>
      <c r="K179" s="1397"/>
      <c r="L179" s="602"/>
      <c r="M179" s="602"/>
      <c r="S179" s="431"/>
    </row>
    <row r="180" spans="3:19" ht="13.15" customHeight="1">
      <c r="C180" s="1398"/>
      <c r="F180" s="602"/>
      <c r="G180" s="602"/>
      <c r="H180" s="602"/>
      <c r="I180" s="602"/>
      <c r="J180" s="602"/>
      <c r="K180" s="1397"/>
      <c r="L180" s="602"/>
      <c r="M180" s="602"/>
      <c r="S180" s="431"/>
    </row>
    <row r="181" spans="3:19" ht="13.15" customHeight="1">
      <c r="C181" s="1398"/>
      <c r="F181" s="602"/>
      <c r="G181" s="602"/>
      <c r="H181" s="602"/>
      <c r="I181" s="602"/>
      <c r="J181" s="602"/>
      <c r="K181" s="1397"/>
      <c r="L181" s="602"/>
      <c r="M181" s="602"/>
      <c r="S181" s="431"/>
    </row>
    <row r="182" spans="3:19" ht="13.15" customHeight="1">
      <c r="C182" s="1398"/>
      <c r="F182" s="602"/>
      <c r="G182" s="602"/>
      <c r="H182" s="602"/>
      <c r="I182" s="602"/>
      <c r="J182" s="602"/>
      <c r="K182" s="1397"/>
      <c r="L182" s="602"/>
      <c r="M182" s="602"/>
      <c r="S182" s="431"/>
    </row>
    <row r="183" spans="3:19" ht="13.15" customHeight="1">
      <c r="C183" s="1398"/>
      <c r="F183" s="602"/>
      <c r="G183" s="602"/>
      <c r="H183" s="602"/>
      <c r="I183" s="602"/>
      <c r="J183" s="602"/>
      <c r="K183" s="1397"/>
      <c r="L183" s="602"/>
      <c r="M183" s="602"/>
      <c r="S183" s="431"/>
    </row>
    <row r="184" spans="3:19" ht="13.15" customHeight="1">
      <c r="C184" s="1398"/>
      <c r="F184" s="602"/>
      <c r="G184" s="602"/>
      <c r="H184" s="602"/>
      <c r="I184" s="602"/>
      <c r="J184" s="602"/>
      <c r="K184" s="1397"/>
      <c r="L184" s="602"/>
      <c r="M184" s="602"/>
      <c r="S184" s="431"/>
    </row>
    <row r="185" spans="3:19" ht="13.15" customHeight="1">
      <c r="C185" s="1398"/>
      <c r="F185" s="602"/>
      <c r="G185" s="602"/>
      <c r="H185" s="602"/>
      <c r="I185" s="602"/>
      <c r="J185" s="602"/>
      <c r="K185" s="1397"/>
      <c r="L185" s="602"/>
      <c r="M185" s="602"/>
      <c r="S185" s="431"/>
    </row>
    <row r="186" spans="3:19" ht="13.15" customHeight="1">
      <c r="C186" s="1398"/>
      <c r="F186" s="602"/>
      <c r="G186" s="602"/>
      <c r="H186" s="602"/>
      <c r="I186" s="602"/>
      <c r="J186" s="602"/>
      <c r="K186" s="1397"/>
      <c r="L186" s="602"/>
      <c r="M186" s="602"/>
      <c r="S186" s="431"/>
    </row>
    <row r="187" spans="3:19" ht="13.15" customHeight="1">
      <c r="C187" s="1398" t="s">
        <v>233</v>
      </c>
      <c r="F187" s="602"/>
      <c r="G187" s="602"/>
      <c r="H187" s="602"/>
      <c r="I187" s="602"/>
      <c r="J187" s="602"/>
      <c r="K187" s="1397"/>
      <c r="L187" s="602"/>
      <c r="M187" s="602"/>
      <c r="S187" s="431"/>
    </row>
    <row r="188" spans="3:19" ht="13.15" customHeight="1">
      <c r="C188" s="1398"/>
      <c r="F188" s="602"/>
      <c r="G188" s="602"/>
      <c r="H188" s="602"/>
      <c r="I188" s="602"/>
      <c r="J188" s="602"/>
      <c r="K188" s="1397"/>
      <c r="L188" s="602"/>
      <c r="M188" s="602"/>
      <c r="S188" s="431"/>
    </row>
    <row r="189" spans="3:19" ht="13.15" customHeight="1">
      <c r="C189" s="1398"/>
      <c r="F189" s="602"/>
      <c r="G189" s="602"/>
      <c r="H189" s="602"/>
      <c r="I189" s="602"/>
      <c r="J189" s="602"/>
      <c r="K189" s="1397"/>
      <c r="L189" s="602"/>
      <c r="M189" s="602"/>
      <c r="S189" s="431"/>
    </row>
    <row r="190" spans="3:19" ht="13.15" customHeight="1">
      <c r="C190" s="1398"/>
      <c r="F190" s="602"/>
      <c r="G190" s="602"/>
      <c r="H190" s="602"/>
      <c r="I190" s="602"/>
      <c r="J190" s="602"/>
      <c r="K190" s="1397"/>
      <c r="L190" s="602"/>
      <c r="M190" s="602"/>
      <c r="S190" s="431"/>
    </row>
    <row r="191" spans="3:19" ht="13.15" customHeight="1">
      <c r="C191" s="1398"/>
      <c r="F191" s="602"/>
      <c r="G191" s="602"/>
      <c r="H191" s="602"/>
      <c r="I191" s="602"/>
      <c r="J191" s="602"/>
      <c r="K191" s="1397"/>
      <c r="L191" s="602"/>
      <c r="M191" s="602"/>
      <c r="S191" s="431"/>
    </row>
    <row r="192" spans="3:19" ht="13.15" customHeight="1">
      <c r="C192" s="1398"/>
      <c r="F192" s="602"/>
      <c r="G192" s="602"/>
      <c r="H192" s="602"/>
      <c r="I192" s="602"/>
      <c r="J192" s="602"/>
      <c r="K192" s="1397"/>
      <c r="L192" s="602"/>
      <c r="M192" s="602"/>
      <c r="S192" s="431"/>
    </row>
    <row r="193" spans="3:19" ht="13.15" customHeight="1">
      <c r="C193" s="1398"/>
      <c r="F193" s="548"/>
      <c r="G193" s="548"/>
      <c r="H193" s="548"/>
      <c r="I193" s="548"/>
      <c r="J193" s="548"/>
      <c r="K193" s="1397"/>
      <c r="L193" s="548"/>
      <c r="M193" s="548"/>
      <c r="S193" s="431"/>
    </row>
    <row r="194" spans="3:19" ht="13.15" customHeight="1">
      <c r="C194" s="1398"/>
      <c r="F194" s="548"/>
      <c r="G194" s="548"/>
      <c r="H194" s="548"/>
      <c r="I194" s="548"/>
      <c r="J194" s="548"/>
      <c r="K194" s="1397"/>
      <c r="L194" s="548"/>
      <c r="M194" s="548"/>
      <c r="S194" s="431"/>
    </row>
    <row r="195" spans="3:19" ht="13.15" customHeight="1">
      <c r="C195" s="1398"/>
      <c r="F195" s="548"/>
      <c r="G195" s="548"/>
      <c r="H195" s="548"/>
      <c r="I195" s="548"/>
      <c r="J195" s="548"/>
      <c r="K195" s="1397"/>
      <c r="L195" s="548"/>
      <c r="M195" s="548"/>
      <c r="S195" s="431"/>
    </row>
    <row r="196" spans="3:19" ht="13.15" customHeight="1">
      <c r="C196" s="1398"/>
      <c r="F196" s="548"/>
      <c r="G196" s="548"/>
      <c r="H196" s="548"/>
      <c r="I196" s="548"/>
      <c r="J196" s="548"/>
      <c r="K196" s="1397"/>
      <c r="L196" s="548"/>
      <c r="M196" s="548"/>
      <c r="S196" s="431"/>
    </row>
    <row r="197" spans="3:19" ht="13.15" customHeight="1">
      <c r="C197" s="1398"/>
      <c r="F197" s="548"/>
      <c r="G197" s="548"/>
      <c r="H197" s="548"/>
      <c r="I197" s="548"/>
      <c r="J197" s="548"/>
      <c r="K197" s="1397"/>
      <c r="L197" s="548"/>
      <c r="M197" s="548"/>
      <c r="S197" s="431"/>
    </row>
    <row r="198" spans="3:19" ht="13.15" customHeight="1">
      <c r="C198" s="1398"/>
      <c r="F198" s="548"/>
      <c r="G198" s="548"/>
      <c r="H198" s="548"/>
      <c r="I198" s="548"/>
      <c r="J198" s="548"/>
      <c r="K198" s="1397"/>
      <c r="L198" s="548"/>
      <c r="M198" s="548"/>
      <c r="S198" s="431"/>
    </row>
    <row r="199" spans="3:19" ht="13.15" customHeight="1">
      <c r="C199" s="1398"/>
      <c r="F199" s="548"/>
      <c r="G199" s="548"/>
      <c r="H199" s="548"/>
      <c r="I199" s="548"/>
      <c r="J199" s="548"/>
      <c r="K199" s="1397"/>
      <c r="L199" s="548"/>
      <c r="M199" s="548"/>
      <c r="S199" s="431"/>
    </row>
    <row r="200" spans="3:19" ht="13.15" customHeight="1">
      <c r="C200" s="1398"/>
      <c r="F200" s="548"/>
      <c r="G200" s="548"/>
      <c r="H200" s="548"/>
      <c r="I200" s="548"/>
      <c r="J200" s="548"/>
      <c r="K200" s="1397"/>
      <c r="L200" s="548"/>
      <c r="M200" s="548"/>
      <c r="S200" s="431"/>
    </row>
    <row r="201" spans="3:19" ht="13.15" customHeight="1">
      <c r="C201" s="1398"/>
      <c r="F201" s="548"/>
      <c r="G201" s="548"/>
      <c r="H201" s="548"/>
      <c r="I201" s="548"/>
      <c r="J201" s="548"/>
      <c r="K201" s="1397"/>
      <c r="L201" s="548"/>
      <c r="M201" s="548"/>
      <c r="S201" s="431"/>
    </row>
    <row r="202" spans="3:19" ht="13.15" customHeight="1">
      <c r="C202" s="1398"/>
      <c r="F202" s="548"/>
      <c r="G202" s="548"/>
      <c r="H202" s="548"/>
      <c r="I202" s="548"/>
      <c r="J202" s="548"/>
      <c r="K202" s="1397"/>
      <c r="L202" s="548"/>
      <c r="M202" s="548"/>
      <c r="S202" s="431"/>
    </row>
    <row r="203" spans="3:19" ht="13.15" customHeight="1">
      <c r="C203" s="1398"/>
      <c r="F203" s="548"/>
      <c r="G203" s="548"/>
      <c r="H203" s="548"/>
      <c r="I203" s="548"/>
      <c r="J203" s="548"/>
      <c r="K203" s="1397"/>
      <c r="L203" s="548"/>
      <c r="M203" s="548"/>
      <c r="S203" s="431"/>
    </row>
    <row r="204" spans="3:19" ht="13.15" customHeight="1">
      <c r="C204" s="1398"/>
      <c r="F204" s="548"/>
      <c r="G204" s="548"/>
      <c r="H204" s="548"/>
      <c r="I204" s="548"/>
      <c r="J204" s="548"/>
      <c r="K204" s="1397"/>
      <c r="L204" s="548"/>
      <c r="M204" s="548"/>
      <c r="S204" s="431"/>
    </row>
    <row r="205" spans="3:19" ht="13.15" customHeight="1">
      <c r="C205" s="1398"/>
      <c r="F205" s="548"/>
      <c r="G205" s="548"/>
      <c r="H205" s="548"/>
      <c r="I205" s="548"/>
      <c r="J205" s="548"/>
      <c r="K205" s="1397"/>
      <c r="L205" s="548"/>
      <c r="M205" s="548"/>
      <c r="S205" s="431"/>
    </row>
    <row r="206" spans="3:19" ht="13.15" customHeight="1">
      <c r="C206" s="1398"/>
      <c r="F206" s="548"/>
      <c r="G206" s="548"/>
      <c r="H206" s="548"/>
      <c r="I206" s="548"/>
      <c r="J206" s="548"/>
      <c r="K206" s="1397"/>
      <c r="L206" s="548"/>
      <c r="M206" s="548"/>
      <c r="S206" s="431"/>
    </row>
    <row r="207" spans="3:19" ht="13.15" customHeight="1">
      <c r="C207" s="1398"/>
      <c r="F207" s="548"/>
      <c r="G207" s="548"/>
      <c r="H207" s="548"/>
      <c r="I207" s="548"/>
      <c r="J207" s="548"/>
      <c r="K207" s="1397"/>
      <c r="L207" s="548"/>
      <c r="M207" s="548"/>
      <c r="S207" s="431"/>
    </row>
    <row r="208" spans="3:19" ht="13.15" customHeight="1">
      <c r="C208" s="1398"/>
      <c r="F208" s="548"/>
      <c r="G208" s="548"/>
      <c r="H208" s="548"/>
      <c r="I208" s="548"/>
      <c r="J208" s="548"/>
      <c r="K208" s="1397"/>
      <c r="L208" s="548"/>
      <c r="M208" s="548"/>
      <c r="S208" s="431"/>
    </row>
    <row r="209" spans="3:19" ht="13.15" customHeight="1">
      <c r="C209" s="1398"/>
      <c r="F209" s="548"/>
      <c r="G209" s="548"/>
      <c r="H209" s="548"/>
      <c r="I209" s="548"/>
      <c r="J209" s="548"/>
      <c r="K209" s="1397"/>
      <c r="L209" s="548"/>
      <c r="M209" s="548"/>
      <c r="S209" s="431"/>
    </row>
    <row r="210" spans="3:19" ht="13.15" customHeight="1">
      <c r="C210" s="1398"/>
      <c r="F210" s="548"/>
      <c r="G210" s="548"/>
      <c r="H210" s="548"/>
      <c r="I210" s="548"/>
      <c r="J210" s="548"/>
      <c r="K210" s="1397"/>
      <c r="L210" s="548"/>
      <c r="M210" s="548"/>
      <c r="S210" s="431"/>
    </row>
    <row r="211" spans="3:19" ht="13.15" customHeight="1">
      <c r="C211" s="1398"/>
      <c r="F211" s="548"/>
      <c r="G211" s="548"/>
      <c r="H211" s="548"/>
      <c r="I211" s="548"/>
      <c r="J211" s="548"/>
      <c r="K211" s="1397"/>
      <c r="L211" s="548"/>
      <c r="M211" s="548"/>
      <c r="S211" s="431"/>
    </row>
    <row r="212" spans="3:19" ht="13.15" customHeight="1">
      <c r="C212" s="1398"/>
      <c r="F212" s="548"/>
      <c r="G212" s="548"/>
      <c r="H212" s="548"/>
      <c r="I212" s="548"/>
      <c r="J212" s="548"/>
      <c r="K212" s="1397"/>
      <c r="L212" s="548"/>
      <c r="M212" s="548"/>
      <c r="S212" s="431"/>
    </row>
    <row r="213" spans="3:19" ht="13.15" customHeight="1">
      <c r="C213" s="1398"/>
      <c r="F213" s="548"/>
      <c r="G213" s="548"/>
      <c r="H213" s="548"/>
      <c r="I213" s="548"/>
      <c r="J213" s="548"/>
      <c r="K213" s="1397"/>
      <c r="L213" s="548"/>
      <c r="M213" s="548"/>
      <c r="S213" s="431"/>
    </row>
    <row r="214" spans="3:19" ht="13.15" customHeight="1">
      <c r="C214" s="1398"/>
      <c r="F214" s="548"/>
      <c r="G214" s="548"/>
      <c r="H214" s="548"/>
      <c r="I214" s="548"/>
      <c r="J214" s="548"/>
      <c r="K214" s="1397"/>
      <c r="L214" s="548"/>
      <c r="M214" s="548"/>
      <c r="S214" s="431"/>
    </row>
    <row r="215" spans="3:19" ht="13.15" customHeight="1">
      <c r="C215" s="1398"/>
      <c r="F215" s="548"/>
      <c r="G215" s="548"/>
      <c r="H215" s="548"/>
      <c r="I215" s="548"/>
      <c r="J215" s="548"/>
      <c r="K215" s="1397"/>
      <c r="L215" s="548"/>
      <c r="M215" s="548"/>
      <c r="S215" s="431"/>
    </row>
    <row r="216" spans="3:19" ht="13.15" customHeight="1">
      <c r="C216" s="1398"/>
      <c r="F216" s="548"/>
      <c r="G216" s="548"/>
      <c r="H216" s="548"/>
      <c r="I216" s="548"/>
      <c r="J216" s="548"/>
      <c r="K216" s="1397"/>
      <c r="L216" s="548"/>
      <c r="M216" s="548"/>
      <c r="S216" s="431"/>
    </row>
    <row r="217" spans="3:19" ht="13.15" customHeight="1">
      <c r="C217" s="1398"/>
      <c r="F217" s="548"/>
      <c r="G217" s="548"/>
      <c r="H217" s="548"/>
      <c r="I217" s="548"/>
      <c r="J217" s="548"/>
      <c r="K217" s="1397"/>
      <c r="L217" s="548"/>
      <c r="M217" s="548"/>
      <c r="S217" s="431"/>
    </row>
    <row r="218" spans="3:19" ht="13.15" customHeight="1">
      <c r="C218" s="1398"/>
      <c r="F218" s="548"/>
      <c r="G218" s="548"/>
      <c r="H218" s="548"/>
      <c r="I218" s="548"/>
      <c r="J218" s="548"/>
      <c r="K218" s="1397"/>
      <c r="L218" s="548"/>
      <c r="M218" s="548"/>
      <c r="S218" s="431"/>
    </row>
    <row r="219" spans="3:19" ht="13.15" customHeight="1">
      <c r="C219" s="1398"/>
      <c r="F219" s="548"/>
      <c r="G219" s="548"/>
      <c r="H219" s="548"/>
      <c r="I219" s="548"/>
      <c r="J219" s="548"/>
      <c r="K219" s="1397"/>
      <c r="L219" s="548"/>
      <c r="M219" s="548"/>
      <c r="S219" s="431"/>
    </row>
    <row r="220" spans="3:19" ht="13.15" customHeight="1">
      <c r="C220" s="1398"/>
      <c r="F220" s="548"/>
      <c r="G220" s="548"/>
      <c r="H220" s="548"/>
      <c r="I220" s="548"/>
      <c r="J220" s="548"/>
      <c r="K220" s="1397"/>
      <c r="L220" s="548"/>
      <c r="M220" s="548"/>
      <c r="S220" s="431"/>
    </row>
    <row r="221" spans="3:19" ht="13.15" customHeight="1">
      <c r="C221" s="1398"/>
      <c r="F221" s="548"/>
      <c r="G221" s="548"/>
      <c r="H221" s="548"/>
      <c r="I221" s="548"/>
      <c r="J221" s="548"/>
      <c r="K221" s="1397"/>
      <c r="L221" s="548"/>
      <c r="M221" s="548"/>
      <c r="S221" s="431"/>
    </row>
    <row r="222" spans="3:19" ht="13.15" customHeight="1">
      <c r="C222" s="1398"/>
      <c r="F222" s="548"/>
      <c r="G222" s="548"/>
      <c r="H222" s="548"/>
      <c r="I222" s="548"/>
      <c r="J222" s="548"/>
      <c r="K222" s="1397"/>
      <c r="L222" s="548"/>
      <c r="M222" s="548"/>
      <c r="S222" s="431"/>
    </row>
    <row r="223" spans="3:19" ht="13.15" customHeight="1">
      <c r="C223" s="1398"/>
      <c r="F223" s="548"/>
      <c r="G223" s="548"/>
      <c r="H223" s="548"/>
      <c r="I223" s="548"/>
      <c r="J223" s="548"/>
      <c r="K223" s="1397"/>
      <c r="L223" s="548"/>
      <c r="M223" s="548"/>
      <c r="S223" s="431"/>
    </row>
    <row r="224" spans="3:19" ht="13.15" customHeight="1">
      <c r="C224" s="1398"/>
      <c r="F224" s="548"/>
      <c r="G224" s="548"/>
      <c r="H224" s="548"/>
      <c r="I224" s="548"/>
      <c r="J224" s="548"/>
      <c r="K224" s="1397"/>
      <c r="L224" s="548"/>
      <c r="M224" s="548"/>
      <c r="S224" s="431"/>
    </row>
    <row r="225" spans="3:19" ht="13.15" customHeight="1">
      <c r="C225" s="1398"/>
      <c r="F225" s="548"/>
      <c r="G225" s="548"/>
      <c r="H225" s="548"/>
      <c r="I225" s="548"/>
      <c r="J225" s="548"/>
      <c r="K225" s="1397"/>
      <c r="L225" s="548"/>
      <c r="M225" s="548"/>
      <c r="S225" s="431"/>
    </row>
    <row r="226" spans="3:19" ht="13.15" customHeight="1">
      <c r="C226" s="1398"/>
      <c r="F226" s="548"/>
      <c r="G226" s="548"/>
      <c r="H226" s="548"/>
      <c r="I226" s="548"/>
      <c r="J226" s="548"/>
      <c r="K226" s="1397"/>
      <c r="L226" s="548"/>
      <c r="M226" s="548"/>
      <c r="S226" s="431"/>
    </row>
    <row r="227" spans="3:19" ht="13.15" customHeight="1">
      <c r="C227" s="1398"/>
      <c r="F227" s="548"/>
      <c r="G227" s="548"/>
      <c r="H227" s="548"/>
      <c r="I227" s="548"/>
      <c r="J227" s="548"/>
      <c r="K227" s="1397"/>
      <c r="L227" s="548"/>
      <c r="M227" s="548"/>
      <c r="S227" s="431"/>
    </row>
    <row r="228" spans="3:19" ht="13.15" customHeight="1">
      <c r="C228" s="1398"/>
      <c r="F228" s="548"/>
      <c r="G228" s="548"/>
      <c r="H228" s="548"/>
      <c r="I228" s="548"/>
      <c r="J228" s="548"/>
      <c r="K228" s="1397"/>
      <c r="L228" s="548"/>
      <c r="M228" s="548"/>
      <c r="S228" s="431"/>
    </row>
    <row r="229" spans="3:19" ht="13.15" customHeight="1">
      <c r="C229" s="1398"/>
      <c r="F229" s="548"/>
      <c r="G229" s="548"/>
      <c r="H229" s="548"/>
      <c r="I229" s="548"/>
      <c r="J229" s="548"/>
      <c r="K229" s="1397"/>
      <c r="L229" s="548"/>
      <c r="M229" s="548"/>
      <c r="S229" s="431"/>
    </row>
    <row r="230" spans="3:19" ht="13.15" customHeight="1">
      <c r="C230" s="1398"/>
      <c r="F230" s="548"/>
      <c r="G230" s="548"/>
      <c r="H230" s="548"/>
      <c r="I230" s="548"/>
      <c r="J230" s="548"/>
      <c r="K230" s="1397"/>
      <c r="L230" s="548"/>
      <c r="M230" s="548"/>
      <c r="S230" s="431"/>
    </row>
    <row r="231" spans="3:19" ht="13.15" customHeight="1">
      <c r="C231" s="1398"/>
      <c r="F231" s="548"/>
      <c r="G231" s="548"/>
      <c r="H231" s="548"/>
      <c r="I231" s="548"/>
      <c r="J231" s="548"/>
      <c r="K231" s="1397"/>
      <c r="L231" s="548"/>
      <c r="M231" s="548"/>
      <c r="S231" s="431"/>
    </row>
    <row r="232" spans="3:19" ht="13.15" customHeight="1">
      <c r="C232" s="1398"/>
      <c r="F232" s="548"/>
      <c r="G232" s="548"/>
      <c r="H232" s="548"/>
      <c r="I232" s="548"/>
      <c r="J232" s="548"/>
      <c r="K232" s="1397"/>
      <c r="L232" s="548"/>
      <c r="M232" s="548"/>
      <c r="S232" s="431"/>
    </row>
    <row r="233" spans="3:19" ht="13.15" customHeight="1">
      <c r="C233" s="1398"/>
      <c r="F233" s="548"/>
      <c r="G233" s="548"/>
      <c r="H233" s="548"/>
      <c r="I233" s="548"/>
      <c r="J233" s="548"/>
      <c r="K233" s="1397"/>
      <c r="L233" s="548"/>
      <c r="M233" s="548"/>
      <c r="S233" s="431"/>
    </row>
    <row r="234" spans="3:19" ht="13.15" customHeight="1">
      <c r="C234" s="1398"/>
      <c r="F234" s="548"/>
      <c r="G234" s="548"/>
      <c r="H234" s="548"/>
      <c r="I234" s="548"/>
      <c r="J234" s="548"/>
      <c r="K234" s="1397"/>
      <c r="L234" s="548"/>
      <c r="M234" s="548"/>
      <c r="S234" s="431"/>
    </row>
    <row r="235" spans="3:19" ht="13.15" customHeight="1">
      <c r="C235" s="1398"/>
      <c r="F235" s="548"/>
      <c r="G235" s="548"/>
      <c r="H235" s="548"/>
      <c r="I235" s="548"/>
      <c r="J235" s="548"/>
      <c r="K235" s="1397"/>
      <c r="L235" s="548"/>
      <c r="M235" s="548"/>
      <c r="S235" s="431"/>
    </row>
    <row r="236" spans="3:19" ht="13.15" customHeight="1">
      <c r="C236" s="1398"/>
      <c r="F236" s="548"/>
      <c r="G236" s="548"/>
      <c r="H236" s="548"/>
      <c r="I236" s="548"/>
      <c r="J236" s="548"/>
      <c r="K236" s="1397"/>
      <c r="L236" s="548"/>
      <c r="M236" s="548"/>
      <c r="S236" s="431"/>
    </row>
    <row r="237" spans="3:19" ht="13.15" customHeight="1">
      <c r="C237" s="1398"/>
      <c r="F237" s="548"/>
      <c r="G237" s="548"/>
      <c r="H237" s="548"/>
      <c r="I237" s="548"/>
      <c r="J237" s="548"/>
      <c r="K237" s="1397"/>
      <c r="L237" s="548"/>
      <c r="M237" s="548"/>
      <c r="S237" s="431"/>
    </row>
    <row r="238" spans="3:19" ht="13.15" customHeight="1">
      <c r="C238" s="1398"/>
      <c r="F238" s="548"/>
      <c r="G238" s="548"/>
      <c r="H238" s="548"/>
      <c r="I238" s="548"/>
      <c r="J238" s="548"/>
      <c r="K238" s="1397"/>
      <c r="L238" s="548"/>
      <c r="M238" s="548"/>
      <c r="S238" s="431"/>
    </row>
    <row r="239" spans="3:19" ht="13.15" customHeight="1">
      <c r="C239" s="1398"/>
      <c r="F239" s="548"/>
      <c r="G239" s="548"/>
      <c r="H239" s="548"/>
      <c r="I239" s="548"/>
      <c r="J239" s="548"/>
      <c r="K239" s="1397"/>
      <c r="L239" s="548"/>
      <c r="M239" s="548"/>
      <c r="S239" s="431"/>
    </row>
    <row r="240" spans="3:19" ht="13.15" customHeight="1">
      <c r="C240" s="1398"/>
      <c r="F240" s="548"/>
      <c r="G240" s="548"/>
      <c r="H240" s="548"/>
      <c r="I240" s="548"/>
      <c r="J240" s="548"/>
      <c r="K240" s="1397"/>
      <c r="L240" s="548"/>
      <c r="M240" s="548"/>
      <c r="S240" s="431"/>
    </row>
    <row r="241" spans="3:19" ht="13.15" customHeight="1">
      <c r="C241" s="1398"/>
      <c r="F241" s="548"/>
      <c r="G241" s="548"/>
      <c r="H241" s="548"/>
      <c r="I241" s="548"/>
      <c r="J241" s="548"/>
      <c r="K241" s="1397"/>
      <c r="L241" s="548"/>
      <c r="M241" s="548"/>
      <c r="S241" s="431"/>
    </row>
    <row r="242" spans="3:19" ht="13.15" customHeight="1">
      <c r="C242" s="1398"/>
      <c r="F242" s="548"/>
      <c r="G242" s="548"/>
      <c r="H242" s="548"/>
      <c r="I242" s="548"/>
      <c r="J242" s="548"/>
      <c r="K242" s="1397"/>
      <c r="L242" s="548"/>
      <c r="M242" s="548"/>
      <c r="S242" s="431"/>
    </row>
    <row r="243" spans="3:19" ht="13.15" customHeight="1">
      <c r="C243" s="1398"/>
      <c r="F243" s="548"/>
      <c r="G243" s="548"/>
      <c r="H243" s="548"/>
      <c r="I243" s="548"/>
      <c r="J243" s="548"/>
      <c r="K243" s="1397"/>
      <c r="L243" s="548"/>
      <c r="M243" s="548"/>
      <c r="S243" s="431"/>
    </row>
    <row r="244" spans="3:19" ht="13.15" customHeight="1">
      <c r="C244" s="1398"/>
      <c r="F244" s="548"/>
      <c r="G244" s="548"/>
      <c r="H244" s="548"/>
      <c r="I244" s="548"/>
      <c r="J244" s="548"/>
      <c r="K244" s="1397"/>
      <c r="L244" s="548"/>
      <c r="M244" s="548"/>
      <c r="S244" s="431"/>
    </row>
    <row r="245" spans="3:19" ht="13.15" customHeight="1">
      <c r="C245" s="1398"/>
      <c r="F245" s="548"/>
      <c r="G245" s="548"/>
      <c r="H245" s="548"/>
      <c r="I245" s="548"/>
      <c r="J245" s="548"/>
      <c r="K245" s="1397"/>
      <c r="L245" s="548"/>
      <c r="M245" s="548"/>
      <c r="S245" s="431"/>
    </row>
    <row r="246" spans="3:19" ht="13.15" customHeight="1">
      <c r="C246" s="1398"/>
      <c r="K246" s="596"/>
      <c r="S246" s="431"/>
    </row>
    <row r="247" spans="3:19" ht="13.15" customHeight="1">
      <c r="C247" s="1398"/>
      <c r="K247" s="596"/>
      <c r="S247" s="431"/>
    </row>
    <row r="248" spans="3:19" ht="13.15" customHeight="1">
      <c r="C248" s="1398"/>
      <c r="K248" s="596"/>
      <c r="S248" s="431"/>
    </row>
    <row r="249" spans="3:19" ht="13.15" customHeight="1">
      <c r="C249" s="1398"/>
      <c r="K249" s="596"/>
      <c r="S249" s="431"/>
    </row>
    <row r="250" spans="3:19" ht="13.15" customHeight="1">
      <c r="C250" s="1398"/>
      <c r="K250" s="596"/>
      <c r="S250" s="431"/>
    </row>
    <row r="251" spans="3:19" ht="13.15" customHeight="1">
      <c r="C251" s="1398"/>
      <c r="K251" s="596"/>
      <c r="S251" s="431"/>
    </row>
    <row r="252" spans="3:19" ht="13.15" customHeight="1">
      <c r="C252" s="1398"/>
      <c r="K252" s="596"/>
      <c r="S252" s="431"/>
    </row>
    <row r="253" spans="3:19" ht="13.15" customHeight="1">
      <c r="C253" s="1398"/>
      <c r="K253" s="596"/>
      <c r="S253" s="431"/>
    </row>
    <row r="254" spans="3:19" ht="13.15" customHeight="1">
      <c r="C254" s="1398"/>
      <c r="K254" s="596"/>
      <c r="S254" s="431"/>
    </row>
    <row r="255" spans="3:19" ht="13.15" customHeight="1">
      <c r="C255" s="1398"/>
      <c r="K255" s="596"/>
      <c r="S255" s="431"/>
    </row>
    <row r="256" spans="3:19" ht="13.15" customHeight="1">
      <c r="C256" s="1398"/>
      <c r="K256" s="596"/>
      <c r="S256" s="431"/>
    </row>
    <row r="257" spans="3:19" ht="13.15" customHeight="1">
      <c r="C257" s="1398"/>
      <c r="K257" s="596"/>
      <c r="S257" s="431"/>
    </row>
    <row r="258" spans="3:19" ht="13.15" customHeight="1">
      <c r="C258" s="1398"/>
      <c r="K258" s="596"/>
      <c r="S258" s="431"/>
    </row>
    <row r="259" spans="3:19" ht="13.15" customHeight="1">
      <c r="C259" s="1398"/>
      <c r="K259" s="596"/>
      <c r="S259" s="431"/>
    </row>
    <row r="260" spans="3:19" ht="13.15" customHeight="1">
      <c r="C260" s="1398"/>
      <c r="K260" s="596"/>
      <c r="S260" s="431"/>
    </row>
    <row r="261" spans="3:19" ht="13.15" customHeight="1">
      <c r="C261" s="1398"/>
      <c r="K261" s="596"/>
      <c r="S261" s="431"/>
    </row>
    <row r="262" spans="3:19" ht="13.15" customHeight="1">
      <c r="C262" s="1398"/>
      <c r="K262" s="596"/>
      <c r="S262" s="431"/>
    </row>
    <row r="263" spans="3:19" ht="13.15" customHeight="1">
      <c r="C263" s="1398"/>
      <c r="K263" s="596"/>
      <c r="S263" s="431"/>
    </row>
    <row r="264" spans="3:19" ht="13.15" customHeight="1">
      <c r="C264" s="1398"/>
      <c r="K264" s="596"/>
      <c r="S264" s="431"/>
    </row>
    <row r="265" spans="3:19" ht="13.15" customHeight="1">
      <c r="C265" s="1398"/>
      <c r="K265" s="596"/>
      <c r="S265" s="431"/>
    </row>
    <row r="266" spans="3:19" ht="13.15" customHeight="1">
      <c r="C266" s="1398"/>
      <c r="K266" s="596"/>
      <c r="S266" s="431"/>
    </row>
    <row r="267" spans="3:19" ht="13.15" customHeight="1">
      <c r="C267" s="1398" t="s">
        <v>233</v>
      </c>
      <c r="K267" s="596"/>
      <c r="S267" s="431"/>
    </row>
    <row r="268" spans="3:19" ht="13.15" customHeight="1">
      <c r="C268" s="1398"/>
      <c r="K268" s="596"/>
      <c r="S268" s="431"/>
    </row>
    <row r="269" spans="3:19" ht="13.15" customHeight="1">
      <c r="C269" s="1398"/>
      <c r="K269" s="596"/>
      <c r="S269" s="431"/>
    </row>
    <row r="270" spans="3:19" ht="13.15" customHeight="1">
      <c r="C270" s="1398"/>
      <c r="K270" s="596"/>
      <c r="S270" s="431"/>
    </row>
    <row r="271" spans="3:19" ht="13.15" customHeight="1">
      <c r="C271" s="1398"/>
      <c r="K271" s="596"/>
      <c r="S271" s="431"/>
    </row>
    <row r="272" spans="3:19" ht="13.15" customHeight="1">
      <c r="C272" s="1398"/>
      <c r="K272" s="596"/>
      <c r="S272" s="431"/>
    </row>
    <row r="273" spans="3:19" ht="13.15" customHeight="1">
      <c r="C273" s="1398"/>
      <c r="K273" s="596"/>
      <c r="S273" s="431"/>
    </row>
    <row r="274" spans="3:19" ht="13.15" customHeight="1">
      <c r="C274" s="1398"/>
      <c r="K274" s="596"/>
      <c r="S274" s="431"/>
    </row>
    <row r="275" spans="3:19" ht="13.15" customHeight="1">
      <c r="C275" s="1398"/>
      <c r="K275" s="596"/>
      <c r="S275" s="431"/>
    </row>
    <row r="276" spans="3:19" ht="13.15" customHeight="1">
      <c r="C276" s="1398"/>
      <c r="K276" s="596"/>
      <c r="S276" s="431"/>
    </row>
    <row r="277" spans="3:19" ht="13.15" customHeight="1">
      <c r="C277" s="1398"/>
      <c r="K277" s="596"/>
      <c r="S277" s="431"/>
    </row>
    <row r="278" spans="3:19" ht="13.15" customHeight="1">
      <c r="C278" s="1398"/>
      <c r="K278" s="596"/>
      <c r="S278" s="431"/>
    </row>
    <row r="279" spans="3:19" ht="13.15" customHeight="1">
      <c r="C279" s="1398"/>
      <c r="K279" s="596"/>
      <c r="S279" s="431"/>
    </row>
    <row r="280" spans="3:19" ht="13.15" customHeight="1">
      <c r="C280" s="1398"/>
      <c r="K280" s="596"/>
      <c r="S280" s="431"/>
    </row>
    <row r="281" spans="3:19" ht="13.15" customHeight="1">
      <c r="C281" s="1398"/>
      <c r="K281" s="596"/>
      <c r="S281" s="431"/>
    </row>
    <row r="282" spans="3:19" ht="13.15" customHeight="1">
      <c r="C282" s="1398"/>
      <c r="K282" s="596"/>
      <c r="S282" s="431"/>
    </row>
    <row r="283" spans="3:19" ht="13.15" customHeight="1">
      <c r="C283" s="1398"/>
      <c r="K283" s="596"/>
      <c r="S283" s="431"/>
    </row>
    <row r="284" spans="3:19" ht="13.15" customHeight="1">
      <c r="C284" s="1398"/>
      <c r="K284" s="596"/>
      <c r="S284" s="431"/>
    </row>
    <row r="285" spans="3:19" ht="13.15" customHeight="1">
      <c r="C285" s="1398"/>
      <c r="K285" s="596"/>
      <c r="S285" s="431"/>
    </row>
    <row r="286" spans="3:19" ht="13.15" customHeight="1">
      <c r="C286" s="1398"/>
      <c r="K286" s="596"/>
      <c r="S286" s="431"/>
    </row>
    <row r="287" spans="3:19" ht="13.15" customHeight="1">
      <c r="C287" s="1398"/>
      <c r="K287" s="596"/>
      <c r="S287" s="431"/>
    </row>
    <row r="288" spans="3:19" ht="13.15" customHeight="1">
      <c r="C288" s="1398"/>
      <c r="K288" s="596"/>
      <c r="S288" s="431"/>
    </row>
    <row r="289" spans="3:19" ht="13.15" customHeight="1">
      <c r="C289" s="1398"/>
      <c r="K289" s="596"/>
      <c r="S289" s="431"/>
    </row>
    <row r="290" spans="3:19" ht="13.15" customHeight="1">
      <c r="C290" s="1398"/>
      <c r="K290" s="596"/>
      <c r="S290" s="431"/>
    </row>
    <row r="291" spans="3:19" ht="13.15" customHeight="1">
      <c r="C291" s="1398"/>
      <c r="K291" s="596"/>
      <c r="S291" s="431"/>
    </row>
    <row r="292" spans="3:19" ht="13.15" customHeight="1">
      <c r="C292" s="1398"/>
      <c r="K292" s="596"/>
      <c r="S292" s="431"/>
    </row>
    <row r="293" spans="3:19" ht="13.15" customHeight="1">
      <c r="C293" s="1398"/>
      <c r="K293" s="596"/>
      <c r="S293" s="431"/>
    </row>
    <row r="294" spans="3:19" ht="13.15" customHeight="1">
      <c r="C294" s="1398"/>
      <c r="K294" s="596"/>
      <c r="S294" s="431"/>
    </row>
    <row r="295" spans="3:19" ht="13.15" customHeight="1">
      <c r="C295" s="1398"/>
      <c r="K295" s="596"/>
      <c r="S295" s="431"/>
    </row>
    <row r="296" spans="3:19" ht="13.15" customHeight="1">
      <c r="C296" s="1398"/>
      <c r="K296" s="596"/>
      <c r="S296" s="431"/>
    </row>
    <row r="297" spans="3:19" ht="13.15" customHeight="1">
      <c r="C297" s="1398"/>
      <c r="K297" s="596"/>
      <c r="S297" s="431"/>
    </row>
    <row r="298" spans="3:19" ht="13.15" customHeight="1">
      <c r="C298" s="1398"/>
      <c r="K298" s="596"/>
      <c r="S298" s="431"/>
    </row>
    <row r="299" spans="3:19" ht="13.15" customHeight="1">
      <c r="C299" s="1398"/>
      <c r="K299" s="596"/>
      <c r="S299" s="431"/>
    </row>
    <row r="300" spans="3:19" ht="13.15" customHeight="1">
      <c r="C300" s="1398"/>
      <c r="K300" s="596"/>
      <c r="S300" s="431"/>
    </row>
    <row r="301" spans="3:19" ht="13.15" customHeight="1">
      <c r="C301" s="1398"/>
      <c r="K301" s="596"/>
      <c r="S301" s="431"/>
    </row>
    <row r="302" spans="3:19" ht="13.15" customHeight="1">
      <c r="C302" s="1398"/>
      <c r="K302" s="596"/>
      <c r="S302" s="431"/>
    </row>
    <row r="303" spans="3:19" ht="13.15" customHeight="1">
      <c r="C303" s="1398"/>
      <c r="K303" s="596"/>
      <c r="S303" s="431"/>
    </row>
    <row r="304" spans="3:19" ht="13.15" customHeight="1">
      <c r="C304" s="1398"/>
      <c r="K304" s="596"/>
      <c r="S304" s="431"/>
    </row>
    <row r="305" spans="3:19" ht="13.15" customHeight="1">
      <c r="C305" s="1398"/>
      <c r="K305" s="596"/>
      <c r="S305" s="431"/>
    </row>
    <row r="306" spans="3:19" ht="13.15" customHeight="1">
      <c r="C306" s="1398"/>
      <c r="K306" s="596"/>
      <c r="S306" s="431"/>
    </row>
    <row r="307" spans="3:19" ht="13.15" customHeight="1">
      <c r="C307" s="1398"/>
      <c r="K307" s="596"/>
      <c r="S307" s="431"/>
    </row>
    <row r="308" spans="3:19" ht="13.15" customHeight="1">
      <c r="C308" s="1398"/>
      <c r="K308" s="596"/>
      <c r="S308" s="431"/>
    </row>
    <row r="309" spans="3:19" ht="13.15" customHeight="1">
      <c r="C309" s="1398"/>
      <c r="K309" s="596"/>
      <c r="S309" s="431"/>
    </row>
    <row r="310" spans="3:19" ht="13.15" customHeight="1">
      <c r="C310" s="1398"/>
      <c r="K310" s="596"/>
      <c r="S310" s="431"/>
    </row>
    <row r="311" spans="3:19" ht="13.15" customHeight="1">
      <c r="C311" s="1398"/>
      <c r="K311" s="596"/>
      <c r="S311" s="431"/>
    </row>
    <row r="312" spans="3:19" ht="13.15" customHeight="1">
      <c r="C312" s="1398"/>
      <c r="K312" s="596"/>
      <c r="S312" s="431"/>
    </row>
    <row r="313" spans="3:19" ht="13.15" customHeight="1">
      <c r="C313" s="1398"/>
      <c r="K313" s="596"/>
      <c r="S313" s="431"/>
    </row>
    <row r="314" spans="3:19" ht="13.15" customHeight="1">
      <c r="C314" s="1398"/>
      <c r="K314" s="596"/>
      <c r="S314" s="431"/>
    </row>
    <row r="315" spans="3:19" ht="13.15" customHeight="1">
      <c r="C315" s="1398"/>
      <c r="K315" s="596"/>
      <c r="S315" s="431"/>
    </row>
    <row r="316" spans="3:19" ht="13.15" customHeight="1">
      <c r="C316" s="1398"/>
      <c r="K316" s="596"/>
      <c r="S316" s="431"/>
    </row>
    <row r="317" spans="3:19" ht="13.15" customHeight="1">
      <c r="C317" s="1398"/>
      <c r="K317" s="596"/>
      <c r="S317" s="431"/>
    </row>
    <row r="318" spans="3:19" ht="13.15" customHeight="1">
      <c r="C318" s="1398"/>
      <c r="K318" s="596"/>
      <c r="S318" s="431"/>
    </row>
    <row r="319" spans="3:19" ht="13.15" customHeight="1">
      <c r="C319" s="1398"/>
      <c r="K319" s="596"/>
      <c r="S319" s="431"/>
    </row>
    <row r="320" spans="3:19" ht="13.15" customHeight="1">
      <c r="C320" s="1398"/>
      <c r="K320" s="596"/>
      <c r="S320" s="431"/>
    </row>
    <row r="321" spans="3:19" ht="13.15" customHeight="1">
      <c r="C321" s="1398"/>
      <c r="K321" s="596"/>
      <c r="S321" s="431"/>
    </row>
    <row r="322" spans="3:19" ht="13.15" customHeight="1">
      <c r="C322" s="1398"/>
      <c r="K322" s="596"/>
      <c r="S322" s="431"/>
    </row>
    <row r="323" spans="3:19" ht="13.15" customHeight="1">
      <c r="C323" s="1398"/>
      <c r="K323" s="596"/>
      <c r="S323" s="431"/>
    </row>
    <row r="324" spans="3:19" ht="13.15" customHeight="1">
      <c r="C324" s="1398"/>
      <c r="K324" s="596"/>
      <c r="S324" s="431"/>
    </row>
    <row r="325" spans="3:19" ht="13.15" customHeight="1">
      <c r="C325" s="1398"/>
      <c r="K325" s="596"/>
      <c r="S325" s="431"/>
    </row>
    <row r="326" spans="3:19" ht="13.15" customHeight="1">
      <c r="C326" s="1398"/>
      <c r="K326" s="596"/>
      <c r="S326" s="431"/>
    </row>
    <row r="327" spans="3:19" ht="13.15" customHeight="1">
      <c r="C327" s="1398"/>
      <c r="K327" s="596"/>
      <c r="S327" s="431"/>
    </row>
    <row r="328" spans="3:19" ht="13.15" customHeight="1">
      <c r="C328" s="1398"/>
      <c r="K328" s="596"/>
      <c r="S328" s="431"/>
    </row>
    <row r="329" spans="3:19" ht="13.15" customHeight="1">
      <c r="C329" s="1398"/>
      <c r="K329" s="596"/>
      <c r="S329" s="431"/>
    </row>
    <row r="330" spans="3:19" ht="13.15" customHeight="1">
      <c r="C330" s="1398"/>
      <c r="K330" s="596"/>
      <c r="S330" s="431"/>
    </row>
    <row r="331" spans="3:19" ht="13.15" customHeight="1">
      <c r="C331" s="1398"/>
      <c r="K331" s="596"/>
      <c r="S331" s="431"/>
    </row>
    <row r="332" spans="3:19" ht="13.15" customHeight="1">
      <c r="C332" s="1398"/>
      <c r="K332" s="596"/>
      <c r="S332" s="431"/>
    </row>
    <row r="333" spans="3:19" ht="13.15" customHeight="1">
      <c r="C333" s="1398"/>
      <c r="K333" s="596"/>
      <c r="S333" s="431"/>
    </row>
    <row r="334" spans="3:19" ht="13.15" customHeight="1">
      <c r="C334" s="1398"/>
      <c r="K334" s="596"/>
      <c r="S334" s="431"/>
    </row>
    <row r="335" spans="3:19" ht="13.15" customHeight="1">
      <c r="C335" s="1398"/>
      <c r="K335" s="596"/>
      <c r="S335" s="431"/>
    </row>
    <row r="336" spans="3:19" ht="13.15" customHeight="1">
      <c r="C336" s="1398"/>
      <c r="K336" s="596"/>
      <c r="S336" s="431"/>
    </row>
    <row r="337" spans="3:19" ht="13.15" customHeight="1">
      <c r="C337" s="1398"/>
      <c r="K337" s="596"/>
      <c r="S337" s="431"/>
    </row>
    <row r="338" spans="3:19" ht="13.15" customHeight="1">
      <c r="C338" s="1398"/>
      <c r="K338" s="596"/>
      <c r="S338" s="431"/>
    </row>
    <row r="339" spans="3:19" ht="13.15" customHeight="1">
      <c r="C339" s="1398"/>
      <c r="K339" s="596"/>
      <c r="S339" s="431"/>
    </row>
    <row r="340" spans="3:19" ht="13.15" customHeight="1">
      <c r="C340" s="1398"/>
      <c r="K340" s="596"/>
      <c r="S340" s="431"/>
    </row>
    <row r="341" spans="3:19" ht="13.15" customHeight="1">
      <c r="C341" s="1398"/>
      <c r="K341" s="596"/>
      <c r="S341" s="431"/>
    </row>
    <row r="342" spans="3:19" ht="13.15" customHeight="1">
      <c r="C342" s="1398"/>
      <c r="K342" s="596"/>
      <c r="S342" s="431"/>
    </row>
    <row r="343" spans="3:19" ht="13.15" customHeight="1">
      <c r="C343" s="1398"/>
      <c r="K343" s="596"/>
      <c r="S343" s="431"/>
    </row>
    <row r="344" spans="3:19" ht="13.15" customHeight="1">
      <c r="C344" s="1398"/>
      <c r="K344" s="596"/>
      <c r="S344" s="431"/>
    </row>
    <row r="345" spans="3:19" ht="13.15" customHeight="1">
      <c r="C345" s="1398"/>
      <c r="K345" s="596"/>
      <c r="S345" s="431"/>
    </row>
    <row r="346" spans="3:19" ht="13.15" customHeight="1">
      <c r="C346" s="1398" t="s">
        <v>233</v>
      </c>
      <c r="K346" s="596"/>
      <c r="S346" s="431"/>
    </row>
    <row r="347" spans="3:19" ht="13.15" customHeight="1">
      <c r="C347" s="1398"/>
      <c r="K347" s="596"/>
      <c r="S347" s="431"/>
    </row>
    <row r="348" spans="3:19" ht="13.15" customHeight="1">
      <c r="C348" s="1398"/>
      <c r="K348" s="596"/>
      <c r="S348" s="431"/>
    </row>
    <row r="349" spans="3:19" ht="13.15" customHeight="1">
      <c r="C349" s="1398"/>
      <c r="K349" s="596"/>
      <c r="S349" s="431"/>
    </row>
    <row r="350" spans="3:19" ht="13.15" customHeight="1">
      <c r="C350" s="1398"/>
      <c r="K350" s="596"/>
      <c r="S350" s="431"/>
    </row>
    <row r="351" spans="3:19" ht="13.15" customHeight="1">
      <c r="C351" s="1398"/>
      <c r="K351" s="596"/>
      <c r="S351" s="431"/>
    </row>
    <row r="352" spans="3:19" ht="13.15" customHeight="1">
      <c r="C352" s="1398"/>
      <c r="K352" s="596"/>
      <c r="S352" s="431"/>
    </row>
    <row r="353" spans="3:19" ht="13.15" customHeight="1">
      <c r="C353" s="1398"/>
      <c r="K353" s="596"/>
      <c r="S353" s="431"/>
    </row>
    <row r="354" spans="3:19" ht="13.15" customHeight="1">
      <c r="C354" s="1398"/>
      <c r="K354" s="596"/>
      <c r="S354" s="431"/>
    </row>
    <row r="355" spans="3:19" ht="13.15" customHeight="1">
      <c r="C355" s="1398"/>
      <c r="K355" s="596"/>
      <c r="S355" s="431"/>
    </row>
    <row r="356" spans="3:19" ht="13.15" customHeight="1">
      <c r="C356" s="1398"/>
      <c r="K356" s="596"/>
      <c r="S356" s="431"/>
    </row>
    <row r="357" spans="3:19" ht="13.15" customHeight="1">
      <c r="C357" s="1398"/>
      <c r="K357" s="596"/>
      <c r="S357" s="431"/>
    </row>
    <row r="358" spans="3:19" ht="13.15" customHeight="1">
      <c r="C358" s="1398"/>
      <c r="K358" s="596"/>
      <c r="S358" s="431"/>
    </row>
    <row r="359" spans="3:19" ht="13.15" customHeight="1">
      <c r="C359" s="1398"/>
      <c r="K359" s="596"/>
      <c r="S359" s="431"/>
    </row>
    <row r="360" spans="3:19" ht="13.15" customHeight="1">
      <c r="C360" s="1398"/>
      <c r="K360" s="596"/>
      <c r="S360" s="431"/>
    </row>
    <row r="361" spans="3:19" ht="13.15" customHeight="1">
      <c r="C361" s="1398"/>
      <c r="K361" s="596"/>
      <c r="S361" s="431"/>
    </row>
    <row r="362" spans="3:19" ht="13.15" customHeight="1">
      <c r="C362" s="1398"/>
      <c r="K362" s="596"/>
      <c r="S362" s="431"/>
    </row>
    <row r="363" spans="3:19" ht="13.15" customHeight="1">
      <c r="C363" s="1398"/>
      <c r="K363" s="596"/>
      <c r="S363" s="431"/>
    </row>
    <row r="364" spans="3:19" ht="13.15" customHeight="1">
      <c r="C364" s="1398"/>
      <c r="K364" s="596"/>
      <c r="S364" s="431"/>
    </row>
    <row r="365" spans="3:19" ht="13.15" customHeight="1">
      <c r="C365" s="1398"/>
      <c r="K365" s="596"/>
      <c r="S365" s="431"/>
    </row>
    <row r="366" spans="3:19" ht="13.15" customHeight="1">
      <c r="C366" s="1398"/>
      <c r="K366" s="596"/>
      <c r="S366" s="431"/>
    </row>
    <row r="367" spans="3:19" ht="13.15" customHeight="1">
      <c r="C367" s="1398"/>
      <c r="K367" s="596"/>
      <c r="S367" s="431"/>
    </row>
    <row r="368" spans="3:19" ht="13.15" customHeight="1">
      <c r="C368" s="1398"/>
      <c r="K368" s="596"/>
      <c r="S368" s="431"/>
    </row>
    <row r="369" spans="3:19" ht="13.15" customHeight="1">
      <c r="C369" s="1398"/>
      <c r="K369" s="596"/>
      <c r="S369" s="431"/>
    </row>
    <row r="370" spans="3:19" ht="13.15" customHeight="1">
      <c r="C370" s="1398"/>
      <c r="K370" s="596"/>
      <c r="S370" s="431"/>
    </row>
    <row r="371" spans="3:19" ht="13.15" customHeight="1">
      <c r="C371" s="1398"/>
      <c r="K371" s="596"/>
      <c r="S371" s="431"/>
    </row>
    <row r="372" spans="3:19" ht="13.15" customHeight="1">
      <c r="C372" s="1398"/>
      <c r="K372" s="596"/>
      <c r="S372" s="431"/>
    </row>
    <row r="373" spans="3:19" ht="13.15" customHeight="1">
      <c r="C373" s="1398"/>
      <c r="K373" s="596"/>
      <c r="S373" s="431"/>
    </row>
    <row r="374" spans="3:19" ht="13.15" customHeight="1">
      <c r="C374" s="1398"/>
      <c r="K374" s="596"/>
      <c r="S374" s="431"/>
    </row>
    <row r="375" spans="3:19" ht="13.15" customHeight="1">
      <c r="C375" s="1398"/>
      <c r="K375" s="596"/>
      <c r="S375" s="431"/>
    </row>
    <row r="376" spans="3:19" ht="13.15" customHeight="1">
      <c r="C376" s="1398"/>
      <c r="K376" s="596"/>
      <c r="S376" s="431"/>
    </row>
    <row r="377" spans="3:19" ht="13.15" customHeight="1">
      <c r="C377" s="1398"/>
      <c r="K377" s="596"/>
      <c r="S377" s="431"/>
    </row>
    <row r="378" spans="3:19" ht="13.15" customHeight="1">
      <c r="C378" s="1398"/>
      <c r="K378" s="596"/>
      <c r="S378" s="431"/>
    </row>
    <row r="379" spans="3:19" ht="13.15" customHeight="1">
      <c r="C379" s="1398"/>
      <c r="K379" s="596"/>
      <c r="S379" s="431"/>
    </row>
    <row r="380" spans="3:19" ht="13.15" customHeight="1">
      <c r="C380" s="1398"/>
      <c r="K380" s="596"/>
      <c r="S380" s="431"/>
    </row>
    <row r="381" spans="3:19" ht="13.15" customHeight="1">
      <c r="C381" s="1398"/>
      <c r="K381" s="596"/>
      <c r="S381" s="431"/>
    </row>
    <row r="382" spans="3:19" ht="13.15" customHeight="1">
      <c r="C382" s="1398"/>
      <c r="K382" s="596"/>
      <c r="S382" s="431"/>
    </row>
    <row r="383" spans="3:19" ht="13.15" customHeight="1">
      <c r="C383" s="1398"/>
      <c r="K383" s="596"/>
      <c r="S383" s="431"/>
    </row>
    <row r="384" spans="3:19" ht="13.15" customHeight="1">
      <c r="C384" s="1398"/>
      <c r="K384" s="596"/>
      <c r="S384" s="431"/>
    </row>
    <row r="385" spans="3:19" ht="13.15" customHeight="1">
      <c r="C385" s="1398"/>
      <c r="K385" s="596"/>
      <c r="S385" s="431"/>
    </row>
    <row r="386" spans="3:19" ht="13.15" customHeight="1">
      <c r="C386" s="1398"/>
      <c r="K386" s="596"/>
      <c r="S386" s="431"/>
    </row>
    <row r="387" spans="3:19" ht="13.15" customHeight="1">
      <c r="C387" s="1398"/>
      <c r="K387" s="596"/>
      <c r="S387" s="431"/>
    </row>
    <row r="388" spans="3:19" ht="13.15" customHeight="1">
      <c r="C388" s="1398"/>
      <c r="K388" s="596"/>
      <c r="S388" s="431"/>
    </row>
    <row r="389" spans="3:19" ht="13.15" customHeight="1">
      <c r="C389" s="1398"/>
      <c r="K389" s="596"/>
      <c r="S389" s="431"/>
    </row>
    <row r="390" spans="3:19" ht="13.15" customHeight="1">
      <c r="C390" s="1398"/>
      <c r="K390" s="596"/>
      <c r="S390" s="431"/>
    </row>
    <row r="391" spans="3:19" ht="13.15" customHeight="1">
      <c r="C391" s="1398"/>
      <c r="K391" s="596"/>
      <c r="S391" s="431"/>
    </row>
    <row r="392" spans="3:19" ht="13.15" customHeight="1">
      <c r="C392" s="1398"/>
      <c r="K392" s="596"/>
      <c r="S392" s="431"/>
    </row>
    <row r="393" spans="3:19" ht="13.15" customHeight="1">
      <c r="C393" s="1398"/>
      <c r="K393" s="596"/>
      <c r="S393" s="431"/>
    </row>
    <row r="394" spans="3:19" ht="13.15" customHeight="1">
      <c r="C394" s="1398"/>
      <c r="K394" s="596"/>
      <c r="S394" s="431"/>
    </row>
    <row r="395" spans="3:19" ht="13.15" customHeight="1">
      <c r="C395" s="1398"/>
      <c r="K395" s="596"/>
      <c r="S395" s="431"/>
    </row>
    <row r="396" spans="3:19" ht="13.15" customHeight="1">
      <c r="C396" s="1398"/>
      <c r="K396" s="596"/>
      <c r="S396" s="431"/>
    </row>
    <row r="397" spans="3:19" ht="13.15" customHeight="1">
      <c r="C397" s="1398"/>
      <c r="K397" s="596"/>
      <c r="S397" s="431"/>
    </row>
    <row r="398" spans="3:19" ht="13.15" customHeight="1">
      <c r="C398" s="1398"/>
      <c r="K398" s="596"/>
      <c r="S398" s="431"/>
    </row>
    <row r="399" spans="3:19" ht="13.15" customHeight="1">
      <c r="C399" s="1398"/>
      <c r="K399" s="596"/>
      <c r="S399" s="431"/>
    </row>
    <row r="400" spans="3:19" ht="13.15" customHeight="1">
      <c r="C400" s="1398"/>
      <c r="K400" s="596"/>
      <c r="S400" s="431"/>
    </row>
    <row r="401" spans="3:19" ht="13.15" customHeight="1">
      <c r="C401" s="1398"/>
      <c r="K401" s="596"/>
      <c r="S401" s="431"/>
    </row>
    <row r="402" spans="3:19" ht="13.15" customHeight="1">
      <c r="C402" s="1398"/>
      <c r="K402" s="596"/>
      <c r="S402" s="431"/>
    </row>
    <row r="403" spans="3:19" ht="13.15" customHeight="1">
      <c r="C403" s="1398"/>
      <c r="K403" s="596"/>
      <c r="S403" s="431"/>
    </row>
    <row r="404" spans="3:19" ht="13.15" customHeight="1">
      <c r="C404" s="1398"/>
      <c r="K404" s="596"/>
      <c r="S404" s="431"/>
    </row>
    <row r="405" spans="3:19" ht="13.15" customHeight="1">
      <c r="C405" s="1398"/>
      <c r="K405" s="596"/>
      <c r="S405" s="431"/>
    </row>
    <row r="406" spans="3:19" ht="13.15" customHeight="1">
      <c r="C406" s="1398"/>
      <c r="K406" s="596"/>
      <c r="S406" s="431"/>
    </row>
    <row r="407" spans="3:19" ht="13.15" customHeight="1">
      <c r="C407" s="1398"/>
      <c r="K407" s="596"/>
      <c r="S407" s="431"/>
    </row>
    <row r="408" spans="3:19" ht="13.15" customHeight="1">
      <c r="C408" s="1398"/>
      <c r="K408" s="596"/>
      <c r="S408" s="431"/>
    </row>
    <row r="409" spans="3:19" ht="13.15" customHeight="1">
      <c r="C409" s="1398"/>
      <c r="K409" s="596"/>
      <c r="S409" s="431"/>
    </row>
    <row r="410" spans="3:19" ht="13.15" customHeight="1">
      <c r="C410" s="1398"/>
      <c r="K410" s="596"/>
      <c r="S410" s="431"/>
    </row>
    <row r="411" spans="3:19" ht="13.15" customHeight="1">
      <c r="C411" s="1398"/>
      <c r="K411" s="596"/>
      <c r="S411" s="431"/>
    </row>
    <row r="412" spans="3:19" ht="13.15" customHeight="1">
      <c r="C412" s="1398"/>
      <c r="K412" s="596"/>
      <c r="S412" s="431"/>
    </row>
    <row r="413" spans="3:19" ht="13.15" customHeight="1">
      <c r="C413" s="1398"/>
      <c r="K413" s="596"/>
      <c r="S413" s="431"/>
    </row>
    <row r="414" spans="3:19" ht="13.15" customHeight="1">
      <c r="C414" s="1398"/>
      <c r="K414" s="596"/>
      <c r="S414" s="431"/>
    </row>
    <row r="415" spans="3:19" ht="13.15" customHeight="1">
      <c r="C415" s="1398"/>
      <c r="K415" s="596"/>
      <c r="S415" s="431"/>
    </row>
    <row r="416" spans="3:19" ht="13.15" customHeight="1">
      <c r="C416" s="1398"/>
      <c r="K416" s="596"/>
      <c r="S416" s="431"/>
    </row>
    <row r="417" spans="3:19" ht="13.15" customHeight="1">
      <c r="C417" s="1398"/>
      <c r="K417" s="596"/>
      <c r="S417" s="431"/>
    </row>
    <row r="418" spans="3:19" ht="13.15" customHeight="1">
      <c r="C418" s="1398"/>
      <c r="K418" s="596"/>
      <c r="S418" s="431"/>
    </row>
    <row r="419" spans="3:19" ht="13.15" customHeight="1">
      <c r="C419" s="1398"/>
      <c r="K419" s="596"/>
      <c r="S419" s="431"/>
    </row>
    <row r="420" spans="3:19" ht="13.15" customHeight="1">
      <c r="C420" s="1398"/>
      <c r="K420" s="596"/>
      <c r="S420" s="431"/>
    </row>
    <row r="421" spans="3:19" ht="13.15" customHeight="1">
      <c r="C421" s="1398"/>
      <c r="K421" s="596"/>
      <c r="S421" s="431"/>
    </row>
    <row r="422" spans="3:19" ht="13.15" customHeight="1">
      <c r="C422" s="1398"/>
      <c r="K422" s="596"/>
      <c r="S422" s="431"/>
    </row>
    <row r="423" spans="3:19" ht="13.15" customHeight="1">
      <c r="C423" s="1398"/>
      <c r="K423" s="596"/>
      <c r="S423" s="431"/>
    </row>
    <row r="424" spans="3:19" ht="13.15" customHeight="1">
      <c r="C424" s="1398"/>
      <c r="K424" s="596"/>
      <c r="S424" s="431"/>
    </row>
    <row r="425" spans="3:19" ht="13.15" customHeight="1">
      <c r="C425" s="1398" t="s">
        <v>233</v>
      </c>
      <c r="K425" s="596"/>
      <c r="S425" s="431"/>
    </row>
    <row r="426" spans="3:19" ht="13.15" customHeight="1">
      <c r="C426" s="1398"/>
      <c r="K426" s="596"/>
      <c r="S426" s="431"/>
    </row>
    <row r="427" spans="3:19" ht="13.15" customHeight="1">
      <c r="C427" s="1398"/>
      <c r="K427" s="596"/>
      <c r="S427" s="431"/>
    </row>
    <row r="428" spans="3:19" ht="13.1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09"/>
    <col min="27" max="16384" width="9.26953125" style="145"/>
  </cols>
  <sheetData>
    <row r="1" spans="1:26" s="1638" customFormat="1" ht="13.5" hidden="1" customHeight="1">
      <c r="A1" s="1606"/>
      <c r="D1" s="1638" t="s">
        <v>4210</v>
      </c>
      <c r="E1" s="1638" t="s">
        <v>4200</v>
      </c>
      <c r="F1" s="1638" t="s">
        <v>4211</v>
      </c>
      <c r="H1" s="1638" t="s">
        <v>4212</v>
      </c>
      <c r="J1" s="1638" t="s">
        <v>4213</v>
      </c>
      <c r="K1" s="1638" t="s">
        <v>4214</v>
      </c>
      <c r="L1" s="1638" t="s">
        <v>4215</v>
      </c>
      <c r="M1" s="1638" t="s">
        <v>4216</v>
      </c>
      <c r="O1" s="1638" t="s">
        <v>4217</v>
      </c>
      <c r="Q1" s="1638" t="s">
        <v>4218</v>
      </c>
      <c r="Z1" s="1608">
        <v>1</v>
      </c>
    </row>
    <row r="2" spans="1:26" s="144" customFormat="1" ht="14.15" customHeight="1">
      <c r="A2" s="3184" t="e">
        <f>CONCATENATE("PART TWO - DEVELOPMENT TEAM INFORMATION","  -  ",#REF!," ",#REF!,", ",#REF!,", ",#REF!," County")</f>
        <v>#REF!</v>
      </c>
      <c r="B2" s="3185"/>
      <c r="C2" s="3185"/>
      <c r="D2" s="3185"/>
      <c r="E2" s="3185"/>
      <c r="F2" s="3185"/>
      <c r="G2" s="3185"/>
      <c r="H2" s="3185"/>
      <c r="I2" s="3185"/>
      <c r="J2" s="3185"/>
      <c r="K2" s="3185"/>
      <c r="L2" s="3185"/>
      <c r="M2" s="3185"/>
      <c r="N2" s="3185"/>
      <c r="O2" s="3185"/>
      <c r="P2" s="3185"/>
      <c r="Q2" s="3185"/>
      <c r="R2" s="3185"/>
      <c r="S2" s="3186"/>
      <c r="Z2" s="1608">
        <v>2</v>
      </c>
    </row>
    <row r="3" spans="1:26" ht="12" customHeight="1" thickBot="1">
      <c r="A3" s="727" t="s">
        <v>3539</v>
      </c>
      <c r="B3" s="728"/>
      <c r="C3" s="728"/>
      <c r="D3" s="728"/>
      <c r="E3" s="728"/>
      <c r="F3" s="728"/>
      <c r="G3" s="728"/>
      <c r="H3" s="728"/>
      <c r="I3" s="728"/>
      <c r="J3" s="728"/>
      <c r="K3" s="728"/>
      <c r="L3" s="728"/>
      <c r="M3" s="728"/>
      <c r="N3" s="728"/>
      <c r="O3" s="728"/>
      <c r="P3" s="728"/>
      <c r="Q3" s="728"/>
      <c r="R3" s="728"/>
      <c r="S3" s="728"/>
      <c r="Z3" s="1608">
        <v>3</v>
      </c>
    </row>
    <row r="4" spans="1:26" s="144" customFormat="1" ht="13.4" customHeight="1" thickBot="1">
      <c r="A4" s="243" t="s">
        <v>572</v>
      </c>
      <c r="B4" s="222" t="s">
        <v>1717</v>
      </c>
      <c r="C4" s="222"/>
      <c r="E4" s="222"/>
      <c r="F4" s="222"/>
      <c r="G4" s="222"/>
      <c r="H4" s="928" t="s">
        <v>3372</v>
      </c>
      <c r="O4" s="3188" t="e">
        <f>#REF!</f>
        <v>#REF!</v>
      </c>
      <c r="P4" s="3189"/>
      <c r="Q4" s="3189"/>
      <c r="R4" s="3189"/>
      <c r="S4" s="3190"/>
      <c r="Z4" s="1608">
        <v>4</v>
      </c>
    </row>
    <row r="5" spans="1:26" s="144" customFormat="1" ht="8.65" customHeight="1">
      <c r="A5" s="243"/>
      <c r="B5" s="243"/>
      <c r="C5" s="243"/>
      <c r="D5" s="222"/>
      <c r="E5" s="222"/>
      <c r="F5" s="222"/>
      <c r="G5" s="222"/>
      <c r="H5" s="222"/>
      <c r="I5" s="222"/>
      <c r="J5" s="222"/>
      <c r="Z5" s="1608">
        <v>5</v>
      </c>
    </row>
    <row r="6" spans="1:26" s="144" customFormat="1" ht="11.25" customHeight="1">
      <c r="B6" s="243" t="s">
        <v>1836</v>
      </c>
      <c r="C6" s="222" t="s">
        <v>1713</v>
      </c>
      <c r="H6" s="3053" t="s">
        <v>87</v>
      </c>
      <c r="I6" s="3109"/>
      <c r="J6" s="3109"/>
      <c r="K6" s="3109"/>
      <c r="L6" s="3109"/>
      <c r="M6" s="3109"/>
      <c r="N6" s="3110"/>
      <c r="O6" s="259" t="s">
        <v>1842</v>
      </c>
      <c r="P6" s="259"/>
      <c r="Q6" s="3053"/>
      <c r="R6" s="3109"/>
      <c r="S6" s="3110"/>
      <c r="Y6" s="822"/>
      <c r="Z6" s="1608">
        <v>6</v>
      </c>
    </row>
    <row r="7" spans="1:26" s="144" customFormat="1" ht="11.25" customHeight="1">
      <c r="D7" s="260"/>
      <c r="E7" s="246" t="s">
        <v>956</v>
      </c>
      <c r="F7" s="247"/>
      <c r="H7" s="3070"/>
      <c r="I7" s="3176"/>
      <c r="J7" s="3176"/>
      <c r="K7" s="3177"/>
      <c r="L7" s="3176"/>
      <c r="M7" s="3176"/>
      <c r="N7" s="3178"/>
      <c r="O7" s="259" t="s">
        <v>1621</v>
      </c>
      <c r="P7" s="261"/>
      <c r="Q7" s="3179"/>
      <c r="R7" s="3180"/>
      <c r="S7" s="3181"/>
      <c r="V7" s="822"/>
      <c r="W7" s="822"/>
      <c r="X7" s="822"/>
      <c r="Y7" s="822"/>
      <c r="Z7" s="1608">
        <v>7</v>
      </c>
    </row>
    <row r="8" spans="1:26" s="144" customFormat="1" ht="11.25" customHeight="1">
      <c r="D8" s="260"/>
      <c r="E8" s="246" t="s">
        <v>574</v>
      </c>
      <c r="H8" s="3070"/>
      <c r="I8" s="3177"/>
      <c r="J8" s="3106"/>
      <c r="K8" s="334" t="s">
        <v>709</v>
      </c>
      <c r="L8" s="3187"/>
      <c r="M8" s="3176"/>
      <c r="N8" s="3178"/>
      <c r="O8" s="259" t="s">
        <v>1598</v>
      </c>
      <c r="P8" s="261"/>
      <c r="Q8" s="3064"/>
      <c r="R8" s="3065"/>
      <c r="S8" s="3066"/>
      <c r="Z8" s="1608">
        <v>8</v>
      </c>
    </row>
    <row r="9" spans="1:26" s="144" customFormat="1" ht="11.25" customHeight="1">
      <c r="D9" s="260"/>
      <c r="E9" s="246" t="s">
        <v>1666</v>
      </c>
      <c r="H9" s="976"/>
      <c r="I9" s="661" t="s">
        <v>2056</v>
      </c>
      <c r="J9" s="3191"/>
      <c r="K9" s="3192"/>
      <c r="L9" s="261" t="s">
        <v>3111</v>
      </c>
      <c r="M9" s="3193"/>
      <c r="N9" s="3194"/>
      <c r="O9" s="259" t="s">
        <v>1833</v>
      </c>
      <c r="P9" s="261"/>
      <c r="Q9" s="3064"/>
      <c r="R9" s="3065"/>
      <c r="S9" s="3066"/>
      <c r="Z9" s="1608">
        <v>9</v>
      </c>
    </row>
    <row r="10" spans="1:26" s="144" customFormat="1" ht="11.25" customHeight="1">
      <c r="D10" s="260"/>
      <c r="E10" s="246" t="s">
        <v>3373</v>
      </c>
      <c r="H10" s="3174"/>
      <c r="I10" s="3195"/>
      <c r="J10" s="696"/>
      <c r="K10" s="262" t="s">
        <v>1837</v>
      </c>
      <c r="L10" s="3107"/>
      <c r="M10" s="3057"/>
      <c r="N10" s="3057"/>
      <c r="O10" s="3058"/>
      <c r="P10" s="3058"/>
      <c r="Q10" s="3057"/>
      <c r="R10" s="3057"/>
      <c r="S10" s="3108"/>
      <c r="Z10" s="1608">
        <v>10</v>
      </c>
    </row>
    <row r="11" spans="1:26" s="144" customFormat="1" ht="11.25" customHeight="1">
      <c r="D11" s="260"/>
      <c r="E11" s="928" t="s">
        <v>3372</v>
      </c>
      <c r="H11" s="263"/>
      <c r="I11" s="261"/>
      <c r="J11" s="261"/>
      <c r="K11" s="304"/>
      <c r="L11" s="261"/>
      <c r="M11" s="261"/>
      <c r="N11" s="335" t="s">
        <v>3053</v>
      </c>
      <c r="O11" s="261"/>
      <c r="P11" s="261"/>
      <c r="Q11" s="262"/>
      <c r="R11" s="261"/>
      <c r="S11" s="261"/>
      <c r="T11" s="261"/>
      <c r="Z11" s="16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3053"/>
      <c r="I15" s="3109"/>
      <c r="J15" s="3109"/>
      <c r="K15" s="3109"/>
      <c r="L15" s="3109"/>
      <c r="M15" s="3109"/>
      <c r="N15" s="3110"/>
      <c r="O15" s="259" t="s">
        <v>1842</v>
      </c>
      <c r="P15" s="259"/>
      <c r="Q15" s="3053"/>
      <c r="R15" s="3109"/>
      <c r="S15" s="3110"/>
      <c r="Z15" s="1608">
        <v>15</v>
      </c>
    </row>
    <row r="16" spans="1:26" s="144" customFormat="1" ht="11.25" customHeight="1">
      <c r="D16" s="260"/>
      <c r="E16" s="246" t="s">
        <v>956</v>
      </c>
      <c r="F16" s="247"/>
      <c r="H16" s="3070"/>
      <c r="I16" s="3176"/>
      <c r="J16" s="3176"/>
      <c r="K16" s="3177"/>
      <c r="L16" s="3176"/>
      <c r="M16" s="3176"/>
      <c r="N16" s="3178"/>
      <c r="O16" s="259" t="s">
        <v>1621</v>
      </c>
      <c r="P16" s="261"/>
      <c r="Q16" s="3179"/>
      <c r="R16" s="3180"/>
      <c r="S16" s="3181"/>
      <c r="Z16" s="1608">
        <v>16</v>
      </c>
    </row>
    <row r="17" spans="4:26" s="144" customFormat="1" ht="11.25" customHeight="1">
      <c r="D17" s="260"/>
      <c r="E17" s="246" t="s">
        <v>574</v>
      </c>
      <c r="H17" s="3070"/>
      <c r="I17" s="3177"/>
      <c r="J17" s="3106"/>
      <c r="K17" s="262" t="s">
        <v>2452</v>
      </c>
      <c r="L17" s="3070"/>
      <c r="M17" s="3176"/>
      <c r="N17" s="3106"/>
      <c r="O17" s="259" t="s">
        <v>1598</v>
      </c>
      <c r="P17" s="261"/>
      <c r="Q17" s="3064"/>
      <c r="R17" s="3065"/>
      <c r="S17" s="3066"/>
      <c r="Z17" s="1608">
        <v>17</v>
      </c>
    </row>
    <row r="18" spans="4:26" s="144" customFormat="1" ht="11.25" customHeight="1">
      <c r="D18" s="243"/>
      <c r="E18" s="246" t="s">
        <v>1666</v>
      </c>
      <c r="H18" s="976"/>
      <c r="I18" s="261"/>
      <c r="J18" s="261"/>
      <c r="K18" s="661" t="s">
        <v>2056</v>
      </c>
      <c r="L18" s="3182"/>
      <c r="M18" s="3183"/>
      <c r="N18" s="261"/>
      <c r="O18" s="259" t="s">
        <v>1833</v>
      </c>
      <c r="P18" s="261"/>
      <c r="Q18" s="3064"/>
      <c r="R18" s="3065"/>
      <c r="S18" s="3066"/>
      <c r="Z18" s="1608">
        <v>18</v>
      </c>
    </row>
    <row r="19" spans="4:26" s="144" customFormat="1" ht="11.25" customHeight="1">
      <c r="D19" s="260"/>
      <c r="E19" s="246" t="s">
        <v>3373</v>
      </c>
      <c r="H19" s="3174"/>
      <c r="I19" s="3175"/>
      <c r="J19" s="255"/>
      <c r="K19" s="262" t="s">
        <v>1837</v>
      </c>
      <c r="L19" s="3056"/>
      <c r="M19" s="3057"/>
      <c r="N19" s="3058"/>
      <c r="O19" s="3058"/>
      <c r="P19" s="3058"/>
      <c r="Q19" s="3057"/>
      <c r="R19" s="3057"/>
      <c r="S19" s="3108"/>
      <c r="Z19" s="1608">
        <v>19</v>
      </c>
    </row>
    <row r="20" spans="4:26" ht="4.4000000000000004"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3053"/>
      <c r="I21" s="3109"/>
      <c r="J21" s="3109"/>
      <c r="K21" s="3109"/>
      <c r="L21" s="3109"/>
      <c r="M21" s="3109"/>
      <c r="N21" s="3110"/>
      <c r="O21" s="259" t="s">
        <v>1842</v>
      </c>
      <c r="P21" s="259"/>
      <c r="Q21" s="3053"/>
      <c r="R21" s="3109"/>
      <c r="S21" s="3110"/>
      <c r="Z21" s="1608">
        <v>21</v>
      </c>
    </row>
    <row r="22" spans="4:26" s="144" customFormat="1" ht="11.25" customHeight="1">
      <c r="D22" s="260"/>
      <c r="E22" s="246" t="s">
        <v>956</v>
      </c>
      <c r="F22" s="247"/>
      <c r="H22" s="3070"/>
      <c r="I22" s="3176"/>
      <c r="J22" s="3176"/>
      <c r="K22" s="3177"/>
      <c r="L22" s="3176"/>
      <c r="M22" s="3176"/>
      <c r="N22" s="3178"/>
      <c r="O22" s="259" t="s">
        <v>1621</v>
      </c>
      <c r="P22" s="261"/>
      <c r="Q22" s="3179"/>
      <c r="R22" s="3180"/>
      <c r="S22" s="3181"/>
      <c r="Z22" s="1608">
        <v>22</v>
      </c>
    </row>
    <row r="23" spans="4:26" s="144" customFormat="1" ht="11.25" customHeight="1">
      <c r="D23" s="260"/>
      <c r="E23" s="246" t="s">
        <v>574</v>
      </c>
      <c r="H23" s="3070"/>
      <c r="I23" s="3177"/>
      <c r="J23" s="3106"/>
      <c r="K23" s="262" t="s">
        <v>2452</v>
      </c>
      <c r="L23" s="3070"/>
      <c r="M23" s="3176"/>
      <c r="N23" s="3106"/>
      <c r="O23" s="259" t="s">
        <v>1598</v>
      </c>
      <c r="P23" s="261"/>
      <c r="Q23" s="3064"/>
      <c r="R23" s="3065"/>
      <c r="S23" s="3066"/>
      <c r="Z23" s="1608">
        <v>23</v>
      </c>
    </row>
    <row r="24" spans="4:26" s="144" customFormat="1" ht="11.25" customHeight="1">
      <c r="E24" s="246" t="s">
        <v>1666</v>
      </c>
      <c r="H24" s="976"/>
      <c r="I24" s="261"/>
      <c r="J24" s="261"/>
      <c r="K24" s="661" t="s">
        <v>2056</v>
      </c>
      <c r="L24" s="3182"/>
      <c r="M24" s="3183"/>
      <c r="N24" s="261"/>
      <c r="O24" s="259" t="s">
        <v>1833</v>
      </c>
      <c r="P24" s="261"/>
      <c r="Q24" s="3064"/>
      <c r="R24" s="3065"/>
      <c r="S24" s="3066"/>
      <c r="Z24" s="1608">
        <v>24</v>
      </c>
    </row>
    <row r="25" spans="4:26" s="144" customFormat="1" ht="11.25" customHeight="1">
      <c r="D25" s="260"/>
      <c r="E25" s="246" t="s">
        <v>3373</v>
      </c>
      <c r="H25" s="3174"/>
      <c r="I25" s="3175"/>
      <c r="J25" s="255"/>
      <c r="K25" s="262" t="s">
        <v>1837</v>
      </c>
      <c r="L25" s="3056"/>
      <c r="M25" s="3057"/>
      <c r="N25" s="3058"/>
      <c r="O25" s="3058"/>
      <c r="P25" s="3058"/>
      <c r="Q25" s="3057"/>
      <c r="R25" s="3057"/>
      <c r="S25" s="3108"/>
      <c r="Z25" s="1608">
        <v>25</v>
      </c>
    </row>
    <row r="26" spans="4:26" s="144" customFormat="1" ht="4.4000000000000004"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3053"/>
      <c r="I27" s="3109"/>
      <c r="J27" s="3109"/>
      <c r="K27" s="3109"/>
      <c r="L27" s="3109"/>
      <c r="M27" s="3109"/>
      <c r="N27" s="3110"/>
      <c r="O27" s="259" t="s">
        <v>1842</v>
      </c>
      <c r="P27" s="259"/>
      <c r="Q27" s="3053"/>
      <c r="R27" s="3109"/>
      <c r="S27" s="3110"/>
      <c r="Z27" s="1608">
        <v>27</v>
      </c>
    </row>
    <row r="28" spans="4:26" s="144" customFormat="1" ht="11.25" customHeight="1">
      <c r="D28" s="260"/>
      <c r="E28" s="246" t="s">
        <v>956</v>
      </c>
      <c r="F28" s="247"/>
      <c r="H28" s="3070"/>
      <c r="I28" s="3176"/>
      <c r="J28" s="3176"/>
      <c r="K28" s="3177"/>
      <c r="L28" s="3176"/>
      <c r="M28" s="3176"/>
      <c r="N28" s="3178"/>
      <c r="O28" s="259" t="s">
        <v>1621</v>
      </c>
      <c r="P28" s="261"/>
      <c r="Q28" s="3179"/>
      <c r="R28" s="3180"/>
      <c r="S28" s="3181"/>
      <c r="Z28" s="1608">
        <v>28</v>
      </c>
    </row>
    <row r="29" spans="4:26" s="144" customFormat="1" ht="11.25" customHeight="1">
      <c r="D29" s="260"/>
      <c r="E29" s="246" t="s">
        <v>574</v>
      </c>
      <c r="H29" s="3070"/>
      <c r="I29" s="3177"/>
      <c r="J29" s="3106"/>
      <c r="K29" s="262" t="s">
        <v>2452</v>
      </c>
      <c r="L29" s="3070"/>
      <c r="M29" s="3176"/>
      <c r="N29" s="3106"/>
      <c r="O29" s="259" t="s">
        <v>1598</v>
      </c>
      <c r="P29" s="261"/>
      <c r="Q29" s="3064"/>
      <c r="R29" s="3065"/>
      <c r="S29" s="3066"/>
      <c r="Z29" s="1608">
        <v>29</v>
      </c>
    </row>
    <row r="30" spans="4:26" s="144" customFormat="1" ht="11.25" customHeight="1">
      <c r="E30" s="246" t="s">
        <v>1666</v>
      </c>
      <c r="H30" s="976"/>
      <c r="I30" s="261"/>
      <c r="J30" s="261"/>
      <c r="K30" s="661" t="s">
        <v>2056</v>
      </c>
      <c r="L30" s="3182"/>
      <c r="M30" s="3183"/>
      <c r="N30" s="261"/>
      <c r="O30" s="259" t="s">
        <v>1833</v>
      </c>
      <c r="P30" s="261"/>
      <c r="Q30" s="3064"/>
      <c r="R30" s="3065"/>
      <c r="S30" s="3066"/>
      <c r="Z30" s="1608">
        <v>30</v>
      </c>
    </row>
    <row r="31" spans="4:26" s="144" customFormat="1" ht="11.25" customHeight="1">
      <c r="D31" s="260"/>
      <c r="E31" s="246" t="s">
        <v>3373</v>
      </c>
      <c r="H31" s="3174"/>
      <c r="I31" s="3175"/>
      <c r="J31" s="255"/>
      <c r="K31" s="262" t="s">
        <v>1837</v>
      </c>
      <c r="L31" s="3056"/>
      <c r="M31" s="3057"/>
      <c r="N31" s="3058"/>
      <c r="O31" s="3058"/>
      <c r="P31" s="3058"/>
      <c r="Q31" s="3057"/>
      <c r="R31" s="3057"/>
      <c r="S31" s="3108"/>
      <c r="Z31" s="1608">
        <v>31</v>
      </c>
    </row>
    <row r="32" spans="4:26" ht="4.4000000000000004"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3372</v>
      </c>
      <c r="L33" s="261"/>
      <c r="M33" s="261"/>
      <c r="N33" s="261"/>
      <c r="O33" s="261"/>
      <c r="P33" s="261"/>
      <c r="Q33" s="261"/>
      <c r="R33" s="261"/>
      <c r="S33" s="261"/>
      <c r="Z33" s="1608">
        <v>33</v>
      </c>
    </row>
    <row r="34" spans="3:26" s="144" customFormat="1" ht="11.25" customHeight="1">
      <c r="D34" s="243" t="s">
        <v>1958</v>
      </c>
      <c r="E34" s="144" t="s">
        <v>698</v>
      </c>
      <c r="H34" s="3053"/>
      <c r="I34" s="3109"/>
      <c r="J34" s="3109"/>
      <c r="K34" s="3109"/>
      <c r="L34" s="3109"/>
      <c r="M34" s="3109"/>
      <c r="N34" s="3110"/>
      <c r="O34" s="259" t="s">
        <v>1842</v>
      </c>
      <c r="P34" s="259"/>
      <c r="Q34" s="3053"/>
      <c r="R34" s="3109"/>
      <c r="S34" s="3110"/>
      <c r="Z34" s="1608">
        <v>34</v>
      </c>
    </row>
    <row r="35" spans="3:26" s="144" customFormat="1" ht="11.25" customHeight="1">
      <c r="D35" s="260"/>
      <c r="E35" s="246" t="s">
        <v>956</v>
      </c>
      <c r="F35" s="247"/>
      <c r="H35" s="3070"/>
      <c r="I35" s="3176"/>
      <c r="J35" s="3176"/>
      <c r="K35" s="3177"/>
      <c r="L35" s="3176"/>
      <c r="M35" s="3176"/>
      <c r="N35" s="3178"/>
      <c r="O35" s="259" t="s">
        <v>1621</v>
      </c>
      <c r="P35" s="261"/>
      <c r="Q35" s="3179"/>
      <c r="R35" s="3180"/>
      <c r="S35" s="3181"/>
      <c r="Z35" s="1608">
        <v>35</v>
      </c>
    </row>
    <row r="36" spans="3:26" s="144" customFormat="1" ht="11.25" customHeight="1">
      <c r="D36" s="260"/>
      <c r="E36" s="246" t="s">
        <v>574</v>
      </c>
      <c r="H36" s="3070"/>
      <c r="I36" s="3177"/>
      <c r="J36" s="3106"/>
      <c r="K36" s="262" t="s">
        <v>2452</v>
      </c>
      <c r="L36" s="3070"/>
      <c r="M36" s="3176"/>
      <c r="N36" s="3106"/>
      <c r="O36" s="259" t="s">
        <v>1598</v>
      </c>
      <c r="P36" s="261"/>
      <c r="Q36" s="3064"/>
      <c r="R36" s="3065"/>
      <c r="S36" s="3066"/>
      <c r="Z36" s="1608">
        <v>36</v>
      </c>
    </row>
    <row r="37" spans="3:26" s="144" customFormat="1" ht="11.25" customHeight="1">
      <c r="E37" s="246" t="s">
        <v>1666</v>
      </c>
      <c r="H37" s="976"/>
      <c r="I37" s="261"/>
      <c r="J37" s="261"/>
      <c r="K37" s="661" t="s">
        <v>2056</v>
      </c>
      <c r="L37" s="3182"/>
      <c r="M37" s="3183"/>
      <c r="N37" s="261"/>
      <c r="O37" s="259" t="s">
        <v>1833</v>
      </c>
      <c r="P37" s="261"/>
      <c r="Q37" s="3064"/>
      <c r="R37" s="3065"/>
      <c r="S37" s="3066"/>
      <c r="Z37" s="1608">
        <v>37</v>
      </c>
    </row>
    <row r="38" spans="3:26" s="144" customFormat="1" ht="11.25" customHeight="1">
      <c r="D38" s="260"/>
      <c r="E38" s="246" t="s">
        <v>3373</v>
      </c>
      <c r="H38" s="3174"/>
      <c r="I38" s="3175"/>
      <c r="J38" s="255"/>
      <c r="K38" s="262" t="s">
        <v>1837</v>
      </c>
      <c r="L38" s="3056"/>
      <c r="M38" s="3057"/>
      <c r="N38" s="3058"/>
      <c r="O38" s="3058"/>
      <c r="P38" s="3058"/>
      <c r="Q38" s="3057"/>
      <c r="R38" s="3057"/>
      <c r="S38" s="3108"/>
      <c r="Z38" s="1608">
        <v>38</v>
      </c>
    </row>
    <row r="39" spans="3:26" ht="4.4000000000000004"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3053"/>
      <c r="I40" s="3109"/>
      <c r="J40" s="3109"/>
      <c r="K40" s="3109"/>
      <c r="L40" s="3109"/>
      <c r="M40" s="3109"/>
      <c r="N40" s="3110"/>
      <c r="O40" s="259" t="s">
        <v>1842</v>
      </c>
      <c r="P40" s="259"/>
      <c r="Q40" s="3053"/>
      <c r="R40" s="3109"/>
      <c r="S40" s="3110"/>
      <c r="Z40" s="1608">
        <v>40</v>
      </c>
    </row>
    <row r="41" spans="3:26" s="144" customFormat="1" ht="11.25" customHeight="1">
      <c r="D41" s="260"/>
      <c r="E41" s="246" t="s">
        <v>956</v>
      </c>
      <c r="F41" s="247"/>
      <c r="H41" s="3070"/>
      <c r="I41" s="3176"/>
      <c r="J41" s="3176"/>
      <c r="K41" s="3177"/>
      <c r="L41" s="3176"/>
      <c r="M41" s="3176"/>
      <c r="N41" s="3178"/>
      <c r="O41" s="259" t="s">
        <v>1621</v>
      </c>
      <c r="P41" s="261"/>
      <c r="Q41" s="3179"/>
      <c r="R41" s="3180"/>
      <c r="S41" s="3181"/>
      <c r="Z41" s="1608">
        <v>41</v>
      </c>
    </row>
    <row r="42" spans="3:26" s="144" customFormat="1" ht="11.25" customHeight="1">
      <c r="D42" s="260"/>
      <c r="E42" s="246" t="s">
        <v>574</v>
      </c>
      <c r="H42" s="3070"/>
      <c r="I42" s="3177"/>
      <c r="J42" s="3106"/>
      <c r="K42" s="262" t="s">
        <v>2452</v>
      </c>
      <c r="L42" s="3070"/>
      <c r="M42" s="3176"/>
      <c r="N42" s="3106"/>
      <c r="O42" s="259" t="s">
        <v>1598</v>
      </c>
      <c r="P42" s="261"/>
      <c r="Q42" s="3064"/>
      <c r="R42" s="3065"/>
      <c r="S42" s="3066"/>
      <c r="Z42" s="1608">
        <v>42</v>
      </c>
    </row>
    <row r="43" spans="3:26" s="144" customFormat="1" ht="11.25" customHeight="1">
      <c r="D43" s="243"/>
      <c r="E43" s="246" t="s">
        <v>1666</v>
      </c>
      <c r="H43" s="976"/>
      <c r="I43" s="261"/>
      <c r="J43" s="261"/>
      <c r="K43" s="661" t="s">
        <v>2056</v>
      </c>
      <c r="L43" s="3182"/>
      <c r="M43" s="3183"/>
      <c r="N43" s="261"/>
      <c r="O43" s="259" t="s">
        <v>1833</v>
      </c>
      <c r="P43" s="261"/>
      <c r="Q43" s="3064"/>
      <c r="R43" s="3065"/>
      <c r="S43" s="3066"/>
      <c r="Z43" s="1608">
        <v>43</v>
      </c>
    </row>
    <row r="44" spans="3:26" s="144" customFormat="1" ht="11.25" customHeight="1">
      <c r="D44" s="260"/>
      <c r="E44" s="246" t="s">
        <v>3373</v>
      </c>
      <c r="H44" s="3174"/>
      <c r="I44" s="3175"/>
      <c r="J44" s="255"/>
      <c r="K44" s="262" t="s">
        <v>1837</v>
      </c>
      <c r="L44" s="3056"/>
      <c r="M44" s="3057"/>
      <c r="N44" s="3058"/>
      <c r="O44" s="3058"/>
      <c r="P44" s="3058"/>
      <c r="Q44" s="3057"/>
      <c r="R44" s="3057"/>
      <c r="S44" s="3108"/>
      <c r="Z44" s="1608">
        <v>44</v>
      </c>
    </row>
    <row r="45" spans="3:26" s="144" customFormat="1" ht="4.4000000000000004"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3372</v>
      </c>
      <c r="L46" s="261"/>
      <c r="M46" s="261"/>
      <c r="N46" s="261"/>
      <c r="O46" s="261"/>
      <c r="P46" s="261"/>
      <c r="Q46" s="261"/>
      <c r="R46" s="261"/>
      <c r="S46" s="261"/>
      <c r="Z46" s="1608">
        <v>46</v>
      </c>
    </row>
    <row r="47" spans="3:26" s="144" customFormat="1" ht="11.25" customHeight="1">
      <c r="E47" s="144" t="s">
        <v>88</v>
      </c>
      <c r="H47" s="3053"/>
      <c r="I47" s="3109"/>
      <c r="J47" s="3109"/>
      <c r="K47" s="3109"/>
      <c r="L47" s="3109"/>
      <c r="M47" s="3109"/>
      <c r="N47" s="3110"/>
      <c r="O47" s="259" t="s">
        <v>1842</v>
      </c>
      <c r="P47" s="259"/>
      <c r="Q47" s="3053"/>
      <c r="R47" s="3109"/>
      <c r="S47" s="3110"/>
      <c r="Z47" s="1608">
        <v>47</v>
      </c>
    </row>
    <row r="48" spans="3:26" s="144" customFormat="1" ht="11.25" customHeight="1">
      <c r="D48" s="260"/>
      <c r="E48" s="246" t="s">
        <v>956</v>
      </c>
      <c r="F48" s="247"/>
      <c r="H48" s="3070"/>
      <c r="I48" s="3176"/>
      <c r="J48" s="3176"/>
      <c r="K48" s="3177"/>
      <c r="L48" s="3176"/>
      <c r="M48" s="3176"/>
      <c r="N48" s="3178"/>
      <c r="O48" s="259" t="s">
        <v>1621</v>
      </c>
      <c r="P48" s="261"/>
      <c r="Q48" s="3179"/>
      <c r="R48" s="3180"/>
      <c r="S48" s="3181"/>
      <c r="Z48" s="1608">
        <v>48</v>
      </c>
    </row>
    <row r="49" spans="1:26" s="144" customFormat="1" ht="11.25" customHeight="1">
      <c r="D49" s="260"/>
      <c r="E49" s="246" t="s">
        <v>574</v>
      </c>
      <c r="H49" s="3070"/>
      <c r="I49" s="3177"/>
      <c r="J49" s="3106"/>
      <c r="K49" s="262" t="s">
        <v>2452</v>
      </c>
      <c r="L49" s="3070"/>
      <c r="M49" s="3176"/>
      <c r="N49" s="3106"/>
      <c r="O49" s="259" t="s">
        <v>1598</v>
      </c>
      <c r="P49" s="261"/>
      <c r="Q49" s="3064"/>
      <c r="R49" s="3065"/>
      <c r="S49" s="3066"/>
      <c r="Z49" s="1608">
        <v>49</v>
      </c>
    </row>
    <row r="50" spans="1:26" s="144" customFormat="1" ht="11.25" customHeight="1">
      <c r="E50" s="246" t="s">
        <v>1666</v>
      </c>
      <c r="H50" s="976"/>
      <c r="I50" s="261"/>
      <c r="J50" s="261"/>
      <c r="K50" s="661" t="s">
        <v>2056</v>
      </c>
      <c r="L50" s="3182"/>
      <c r="M50" s="3183"/>
      <c r="N50" s="261"/>
      <c r="O50" s="259" t="s">
        <v>1833</v>
      </c>
      <c r="P50" s="261"/>
      <c r="Q50" s="3064"/>
      <c r="R50" s="3065"/>
      <c r="S50" s="3066"/>
      <c r="Z50" s="1608">
        <v>50</v>
      </c>
    </row>
    <row r="51" spans="1:26" s="144" customFormat="1" ht="11.25" customHeight="1">
      <c r="D51" s="260"/>
      <c r="E51" s="246" t="s">
        <v>3373</v>
      </c>
      <c r="H51" s="3174"/>
      <c r="I51" s="3175"/>
      <c r="J51" s="255"/>
      <c r="K51" s="262" t="s">
        <v>1837</v>
      </c>
      <c r="L51" s="3056"/>
      <c r="M51" s="3057"/>
      <c r="N51" s="3058"/>
      <c r="O51" s="3058"/>
      <c r="P51" s="3058"/>
      <c r="Q51" s="3057"/>
      <c r="R51" s="3057"/>
      <c r="S51" s="3108"/>
      <c r="Z51" s="1608">
        <v>51</v>
      </c>
    </row>
    <row r="52" spans="1:26" ht="6.75" customHeight="1">
      <c r="H52" s="271"/>
      <c r="I52" s="271"/>
      <c r="J52" s="271"/>
      <c r="K52" s="271"/>
      <c r="L52" s="271"/>
      <c r="M52" s="271"/>
      <c r="N52" s="271"/>
      <c r="O52" s="271"/>
      <c r="P52" s="271"/>
      <c r="Q52" s="271"/>
      <c r="R52" s="271"/>
      <c r="S52" s="271"/>
      <c r="Z52" s="1608">
        <v>52</v>
      </c>
    </row>
    <row r="53" spans="1:26" s="144" customFormat="1" ht="13.4" customHeight="1">
      <c r="A53" s="243" t="s">
        <v>688</v>
      </c>
      <c r="B53" s="243" t="s">
        <v>605</v>
      </c>
      <c r="F53" s="243"/>
      <c r="G53" s="248"/>
      <c r="H53" s="262"/>
      <c r="I53" s="262"/>
      <c r="J53" s="261"/>
      <c r="K53" s="1217" t="s">
        <v>3372</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3053"/>
      <c r="I55" s="3109"/>
      <c r="J55" s="3109"/>
      <c r="K55" s="3109"/>
      <c r="L55" s="3109"/>
      <c r="M55" s="3109"/>
      <c r="N55" s="3110"/>
      <c r="O55" s="259" t="s">
        <v>1842</v>
      </c>
      <c r="P55" s="259"/>
      <c r="Q55" s="3053"/>
      <c r="R55" s="3109"/>
      <c r="S55" s="3110"/>
      <c r="Z55" s="1608">
        <v>55</v>
      </c>
    </row>
    <row r="56" spans="1:26" s="144" customFormat="1" ht="11.25" customHeight="1">
      <c r="D56" s="260"/>
      <c r="E56" s="246" t="s">
        <v>956</v>
      </c>
      <c r="F56" s="247"/>
      <c r="H56" s="3070"/>
      <c r="I56" s="3176"/>
      <c r="J56" s="3176"/>
      <c r="K56" s="3177"/>
      <c r="L56" s="3176"/>
      <c r="M56" s="3176"/>
      <c r="N56" s="3178"/>
      <c r="O56" s="259" t="s">
        <v>1621</v>
      </c>
      <c r="P56" s="261"/>
      <c r="Q56" s="3179"/>
      <c r="R56" s="3180"/>
      <c r="S56" s="3181"/>
      <c r="Z56" s="1608">
        <v>56</v>
      </c>
    </row>
    <row r="57" spans="1:26" s="144" customFormat="1" ht="11.25" customHeight="1">
      <c r="D57" s="260"/>
      <c r="E57" s="246" t="s">
        <v>574</v>
      </c>
      <c r="H57" s="3070"/>
      <c r="I57" s="3177"/>
      <c r="J57" s="3106"/>
      <c r="K57" s="262" t="s">
        <v>2452</v>
      </c>
      <c r="L57" s="3070"/>
      <c r="M57" s="3176"/>
      <c r="N57" s="3106"/>
      <c r="O57" s="259" t="s">
        <v>1598</v>
      </c>
      <c r="P57" s="261"/>
      <c r="Q57" s="3064"/>
      <c r="R57" s="3065"/>
      <c r="S57" s="3066"/>
      <c r="Z57" s="1608">
        <v>57</v>
      </c>
    </row>
    <row r="58" spans="1:26" s="144" customFormat="1" ht="11.25" customHeight="1">
      <c r="E58" s="246" t="s">
        <v>1666</v>
      </c>
      <c r="H58" s="976"/>
      <c r="I58" s="261"/>
      <c r="J58" s="261"/>
      <c r="K58" s="661" t="s">
        <v>2056</v>
      </c>
      <c r="L58" s="3182"/>
      <c r="M58" s="3183"/>
      <c r="N58" s="261"/>
      <c r="O58" s="259" t="s">
        <v>1833</v>
      </c>
      <c r="P58" s="261"/>
      <c r="Q58" s="3064"/>
      <c r="R58" s="3065"/>
      <c r="S58" s="3066"/>
      <c r="Z58" s="1608">
        <v>58</v>
      </c>
    </row>
    <row r="59" spans="1:26" s="144" customFormat="1" ht="11.25" customHeight="1">
      <c r="D59" s="260"/>
      <c r="E59" s="246" t="s">
        <v>3373</v>
      </c>
      <c r="H59" s="3174"/>
      <c r="I59" s="3175"/>
      <c r="J59" s="255"/>
      <c r="K59" s="262" t="s">
        <v>1837</v>
      </c>
      <c r="L59" s="3056"/>
      <c r="M59" s="3057"/>
      <c r="N59" s="3058"/>
      <c r="O59" s="3058"/>
      <c r="P59" s="3058"/>
      <c r="Q59" s="3057"/>
      <c r="R59" s="3057"/>
      <c r="S59" s="3108"/>
      <c r="Z59" s="1608">
        <v>59</v>
      </c>
    </row>
    <row r="60" spans="1:26" s="144" customFormat="1" ht="6.65"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3053"/>
      <c r="I61" s="3109"/>
      <c r="J61" s="3109"/>
      <c r="K61" s="3109"/>
      <c r="L61" s="3109"/>
      <c r="M61" s="3109"/>
      <c r="N61" s="3110"/>
      <c r="O61" s="259" t="s">
        <v>1842</v>
      </c>
      <c r="P61" s="259"/>
      <c r="Q61" s="3053"/>
      <c r="R61" s="3109"/>
      <c r="S61" s="3110"/>
      <c r="Z61" s="1608">
        <v>61</v>
      </c>
    </row>
    <row r="62" spans="1:26" s="144" customFormat="1" ht="11.25" customHeight="1">
      <c r="D62" s="260"/>
      <c r="E62" s="246" t="s">
        <v>956</v>
      </c>
      <c r="F62" s="247"/>
      <c r="H62" s="3070"/>
      <c r="I62" s="3176"/>
      <c r="J62" s="3176"/>
      <c r="K62" s="3177"/>
      <c r="L62" s="3176"/>
      <c r="M62" s="3176"/>
      <c r="N62" s="3178"/>
      <c r="O62" s="259" t="s">
        <v>1621</v>
      </c>
      <c r="P62" s="261"/>
      <c r="Q62" s="3179"/>
      <c r="R62" s="3180"/>
      <c r="S62" s="3181"/>
      <c r="Z62" s="1608">
        <v>62</v>
      </c>
    </row>
    <row r="63" spans="1:26" s="144" customFormat="1" ht="11.25" customHeight="1">
      <c r="D63" s="260"/>
      <c r="E63" s="246" t="s">
        <v>574</v>
      </c>
      <c r="H63" s="3070"/>
      <c r="I63" s="3177"/>
      <c r="J63" s="3106"/>
      <c r="K63" s="262" t="s">
        <v>2452</v>
      </c>
      <c r="L63" s="3070"/>
      <c r="M63" s="3176"/>
      <c r="N63" s="3106"/>
      <c r="O63" s="259" t="s">
        <v>1598</v>
      </c>
      <c r="P63" s="261"/>
      <c r="Q63" s="3064"/>
      <c r="R63" s="3065"/>
      <c r="S63" s="3066"/>
      <c r="Z63" s="1608">
        <v>63</v>
      </c>
    </row>
    <row r="64" spans="1:26" s="144" customFormat="1" ht="11.25" customHeight="1">
      <c r="E64" s="246" t="s">
        <v>1666</v>
      </c>
      <c r="H64" s="976"/>
      <c r="I64" s="261"/>
      <c r="J64" s="261"/>
      <c r="K64" s="661" t="s">
        <v>2056</v>
      </c>
      <c r="L64" s="3182"/>
      <c r="M64" s="3183"/>
      <c r="N64" s="261"/>
      <c r="O64" s="259" t="s">
        <v>1833</v>
      </c>
      <c r="P64" s="261"/>
      <c r="Q64" s="3064"/>
      <c r="R64" s="3065"/>
      <c r="S64" s="3066"/>
      <c r="Z64" s="1608">
        <v>64</v>
      </c>
    </row>
    <row r="65" spans="1:26" s="144" customFormat="1" ht="11.25" customHeight="1">
      <c r="D65" s="260"/>
      <c r="E65" s="246" t="s">
        <v>3373</v>
      </c>
      <c r="H65" s="3174"/>
      <c r="I65" s="3175"/>
      <c r="J65" s="255"/>
      <c r="K65" s="262" t="s">
        <v>1837</v>
      </c>
      <c r="L65" s="3056"/>
      <c r="M65" s="3057"/>
      <c r="N65" s="3058"/>
      <c r="O65" s="3058"/>
      <c r="P65" s="3058"/>
      <c r="Q65" s="3057"/>
      <c r="R65" s="3057"/>
      <c r="S65" s="3108"/>
      <c r="Z65" s="1608">
        <v>65</v>
      </c>
    </row>
    <row r="66" spans="1:26" s="144" customFormat="1" ht="6.65"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53"/>
      <c r="I67" s="3109"/>
      <c r="J67" s="3109"/>
      <c r="K67" s="3109"/>
      <c r="L67" s="3109"/>
      <c r="M67" s="3109"/>
      <c r="N67" s="3110"/>
      <c r="O67" s="259" t="s">
        <v>1842</v>
      </c>
      <c r="P67" s="259"/>
      <c r="Q67" s="3053"/>
      <c r="R67" s="3109"/>
      <c r="S67" s="3110"/>
      <c r="Z67" s="1608">
        <v>67</v>
      </c>
    </row>
    <row r="68" spans="1:26" s="144" customFormat="1" ht="11.25" customHeight="1">
      <c r="D68" s="260"/>
      <c r="E68" s="246" t="s">
        <v>956</v>
      </c>
      <c r="F68" s="247"/>
      <c r="H68" s="3070"/>
      <c r="I68" s="3176"/>
      <c r="J68" s="3176"/>
      <c r="K68" s="3177"/>
      <c r="L68" s="3176"/>
      <c r="M68" s="3176"/>
      <c r="N68" s="3178"/>
      <c r="O68" s="259" t="s">
        <v>1621</v>
      </c>
      <c r="P68" s="261"/>
      <c r="Q68" s="3179"/>
      <c r="R68" s="3180"/>
      <c r="S68" s="3181"/>
      <c r="Z68" s="1608">
        <v>68</v>
      </c>
    </row>
    <row r="69" spans="1:26" s="144" customFormat="1" ht="11.25" customHeight="1">
      <c r="D69" s="260"/>
      <c r="E69" s="246" t="s">
        <v>574</v>
      </c>
      <c r="H69" s="3070"/>
      <c r="I69" s="3177"/>
      <c r="J69" s="3106"/>
      <c r="K69" s="262" t="s">
        <v>2452</v>
      </c>
      <c r="L69" s="3070"/>
      <c r="M69" s="3176"/>
      <c r="N69" s="3106"/>
      <c r="O69" s="259" t="s">
        <v>1598</v>
      </c>
      <c r="P69" s="261"/>
      <c r="Q69" s="3064"/>
      <c r="R69" s="3065"/>
      <c r="S69" s="3066"/>
      <c r="Z69" s="1608">
        <v>69</v>
      </c>
    </row>
    <row r="70" spans="1:26" s="144" customFormat="1" ht="11.25" customHeight="1">
      <c r="E70" s="246" t="s">
        <v>1666</v>
      </c>
      <c r="H70" s="976"/>
      <c r="I70" s="261"/>
      <c r="J70" s="261"/>
      <c r="K70" s="661" t="s">
        <v>2056</v>
      </c>
      <c r="L70" s="3182"/>
      <c r="M70" s="3183"/>
      <c r="N70" s="261"/>
      <c r="O70" s="259" t="s">
        <v>1833</v>
      </c>
      <c r="P70" s="261"/>
      <c r="Q70" s="3064"/>
      <c r="R70" s="3065"/>
      <c r="S70" s="3066"/>
      <c r="Z70" s="1608">
        <v>70</v>
      </c>
    </row>
    <row r="71" spans="1:26" s="144" customFormat="1" ht="11.25" customHeight="1">
      <c r="D71" s="260"/>
      <c r="E71" s="246" t="s">
        <v>3373</v>
      </c>
      <c r="H71" s="3174"/>
      <c r="I71" s="3175"/>
      <c r="J71" s="255"/>
      <c r="K71" s="262" t="s">
        <v>1837</v>
      </c>
      <c r="L71" s="3056"/>
      <c r="M71" s="3057"/>
      <c r="N71" s="3058"/>
      <c r="O71" s="3058"/>
      <c r="P71" s="3058"/>
      <c r="Q71" s="3057"/>
      <c r="R71" s="3057"/>
      <c r="S71" s="3108"/>
      <c r="Z71" s="1608">
        <v>71</v>
      </c>
    </row>
    <row r="72" spans="1:26" ht="6.65"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3053"/>
      <c r="I73" s="3109"/>
      <c r="J73" s="3109"/>
      <c r="K73" s="3109"/>
      <c r="L73" s="3109"/>
      <c r="M73" s="3109"/>
      <c r="N73" s="3110"/>
      <c r="O73" s="259" t="s">
        <v>1842</v>
      </c>
      <c r="P73" s="259"/>
      <c r="Q73" s="3053"/>
      <c r="R73" s="3109"/>
      <c r="S73" s="3110"/>
      <c r="Z73" s="1608">
        <v>73</v>
      </c>
    </row>
    <row r="74" spans="1:26" s="144" customFormat="1" ht="11.25" customHeight="1">
      <c r="D74" s="260"/>
      <c r="E74" s="246" t="s">
        <v>956</v>
      </c>
      <c r="F74" s="247"/>
      <c r="H74" s="3070"/>
      <c r="I74" s="3176"/>
      <c r="J74" s="3176"/>
      <c r="K74" s="3177"/>
      <c r="L74" s="3176"/>
      <c r="M74" s="3176"/>
      <c r="N74" s="3178"/>
      <c r="O74" s="259" t="s">
        <v>1621</v>
      </c>
      <c r="P74" s="261"/>
      <c r="Q74" s="3179"/>
      <c r="R74" s="3180"/>
      <c r="S74" s="3181"/>
      <c r="Z74" s="1608">
        <v>74</v>
      </c>
    </row>
    <row r="75" spans="1:26" s="144" customFormat="1" ht="11.25" customHeight="1">
      <c r="D75" s="260"/>
      <c r="E75" s="246" t="s">
        <v>574</v>
      </c>
      <c r="H75" s="3070"/>
      <c r="I75" s="3177"/>
      <c r="J75" s="3106"/>
      <c r="K75" s="262" t="s">
        <v>2452</v>
      </c>
      <c r="L75" s="3070"/>
      <c r="M75" s="3176"/>
      <c r="N75" s="3106"/>
      <c r="O75" s="259" t="s">
        <v>1598</v>
      </c>
      <c r="P75" s="261"/>
      <c r="Q75" s="3064"/>
      <c r="R75" s="3065"/>
      <c r="S75" s="3066"/>
      <c r="Z75" s="1608">
        <v>75</v>
      </c>
    </row>
    <row r="76" spans="1:26" s="144" customFormat="1" ht="11.25" customHeight="1">
      <c r="E76" s="246" t="s">
        <v>1666</v>
      </c>
      <c r="H76" s="976"/>
      <c r="I76" s="261"/>
      <c r="J76" s="261"/>
      <c r="K76" s="661" t="s">
        <v>2056</v>
      </c>
      <c r="L76" s="3182"/>
      <c r="M76" s="3183"/>
      <c r="N76" s="261"/>
      <c r="O76" s="259" t="s">
        <v>1833</v>
      </c>
      <c r="P76" s="261"/>
      <c r="Q76" s="3064"/>
      <c r="R76" s="3065"/>
      <c r="S76" s="3066"/>
      <c r="Z76" s="1608">
        <v>76</v>
      </c>
    </row>
    <row r="77" spans="1:26" s="144" customFormat="1" ht="11.25" customHeight="1">
      <c r="D77" s="260"/>
      <c r="E77" s="246" t="s">
        <v>3373</v>
      </c>
      <c r="H77" s="3174"/>
      <c r="I77" s="3175"/>
      <c r="J77" s="255"/>
      <c r="K77" s="262" t="s">
        <v>1837</v>
      </c>
      <c r="L77" s="3056"/>
      <c r="M77" s="3057"/>
      <c r="N77" s="3058"/>
      <c r="O77" s="3058"/>
      <c r="P77" s="3058"/>
      <c r="Q77" s="3057"/>
      <c r="R77" s="3057"/>
      <c r="S77" s="3108"/>
      <c r="Z77" s="1608">
        <v>77</v>
      </c>
    </row>
    <row r="78" spans="1:26" ht="6.75" customHeight="1">
      <c r="H78" s="271"/>
      <c r="I78" s="271"/>
      <c r="J78" s="271"/>
      <c r="K78" s="271"/>
      <c r="L78" s="271"/>
      <c r="M78" s="271"/>
      <c r="N78" s="271"/>
      <c r="O78" s="271"/>
      <c r="P78" s="271"/>
      <c r="Q78" s="271"/>
      <c r="R78" s="271"/>
      <c r="S78" s="271"/>
      <c r="Z78" s="1608">
        <v>78</v>
      </c>
    </row>
    <row r="79" spans="1:26" s="246" customFormat="1" ht="13.4" customHeight="1">
      <c r="A79" s="222" t="s">
        <v>690</v>
      </c>
      <c r="B79" s="222" t="s">
        <v>273</v>
      </c>
      <c r="D79" s="222"/>
      <c r="F79" s="222"/>
      <c r="G79" s="222"/>
      <c r="H79" s="264"/>
      <c r="I79" s="264"/>
      <c r="J79" s="264"/>
      <c r="K79" s="1217" t="s">
        <v>3372</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3053"/>
      <c r="I81" s="3109"/>
      <c r="J81" s="3109"/>
      <c r="K81" s="3109"/>
      <c r="L81" s="3109"/>
      <c r="M81" s="3109"/>
      <c r="N81" s="3110"/>
      <c r="O81" s="259" t="s">
        <v>1842</v>
      </c>
      <c r="P81" s="259"/>
      <c r="Q81" s="3053"/>
      <c r="R81" s="3109"/>
      <c r="S81" s="3110"/>
      <c r="Z81" s="1608">
        <v>81</v>
      </c>
    </row>
    <row r="82" spans="2:26" s="144" customFormat="1" ht="11.25" customHeight="1">
      <c r="D82" s="260"/>
      <c r="E82" s="246" t="s">
        <v>956</v>
      </c>
      <c r="F82" s="247"/>
      <c r="H82" s="3070"/>
      <c r="I82" s="3176"/>
      <c r="J82" s="3176"/>
      <c r="K82" s="3177"/>
      <c r="L82" s="3176"/>
      <c r="M82" s="3176"/>
      <c r="N82" s="3178"/>
      <c r="O82" s="259" t="s">
        <v>1621</v>
      </c>
      <c r="P82" s="261"/>
      <c r="Q82" s="3179"/>
      <c r="R82" s="3180"/>
      <c r="S82" s="3181"/>
      <c r="Z82" s="1608">
        <v>82</v>
      </c>
    </row>
    <row r="83" spans="2:26" s="144" customFormat="1" ht="11.25" customHeight="1">
      <c r="D83" s="260"/>
      <c r="E83" s="246" t="s">
        <v>574</v>
      </c>
      <c r="H83" s="3070"/>
      <c r="I83" s="3177"/>
      <c r="J83" s="3106"/>
      <c r="K83" s="262" t="s">
        <v>2452</v>
      </c>
      <c r="L83" s="3070"/>
      <c r="M83" s="3176"/>
      <c r="N83" s="3106"/>
      <c r="O83" s="259" t="s">
        <v>1598</v>
      </c>
      <c r="P83" s="261"/>
      <c r="Q83" s="3064"/>
      <c r="R83" s="3065"/>
      <c r="S83" s="3066"/>
      <c r="Z83" s="1608">
        <v>83</v>
      </c>
    </row>
    <row r="84" spans="2:26" s="144" customFormat="1" ht="11.25" customHeight="1">
      <c r="E84" s="246" t="s">
        <v>1666</v>
      </c>
      <c r="H84" s="976"/>
      <c r="I84" s="261"/>
      <c r="J84" s="261"/>
      <c r="K84" s="661" t="s">
        <v>2056</v>
      </c>
      <c r="L84" s="3182"/>
      <c r="M84" s="3183"/>
      <c r="N84" s="261"/>
      <c r="O84" s="259" t="s">
        <v>1833</v>
      </c>
      <c r="P84" s="261"/>
      <c r="Q84" s="3064"/>
      <c r="R84" s="3065"/>
      <c r="S84" s="3066"/>
      <c r="Z84" s="1608">
        <v>84</v>
      </c>
    </row>
    <row r="85" spans="2:26" s="144" customFormat="1" ht="11.25" customHeight="1">
      <c r="D85" s="260"/>
      <c r="E85" s="246" t="s">
        <v>3373</v>
      </c>
      <c r="H85" s="3174"/>
      <c r="I85" s="3175"/>
      <c r="J85" s="255"/>
      <c r="K85" s="262" t="s">
        <v>1837</v>
      </c>
      <c r="L85" s="3056"/>
      <c r="M85" s="3057"/>
      <c r="N85" s="3058"/>
      <c r="O85" s="3058"/>
      <c r="P85" s="3058"/>
      <c r="Q85" s="3057"/>
      <c r="R85" s="3057"/>
      <c r="S85" s="3108"/>
      <c r="Z85" s="1608">
        <v>85</v>
      </c>
    </row>
    <row r="86" spans="2:26" ht="6.65"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3053"/>
      <c r="I87" s="3109"/>
      <c r="J87" s="3109"/>
      <c r="K87" s="3109"/>
      <c r="L87" s="3109"/>
      <c r="M87" s="3109"/>
      <c r="N87" s="3110"/>
      <c r="O87" s="259" t="s">
        <v>1842</v>
      </c>
      <c r="P87" s="259"/>
      <c r="Q87" s="3053"/>
      <c r="R87" s="3109"/>
      <c r="S87" s="3110"/>
      <c r="Z87" s="1608">
        <v>87</v>
      </c>
    </row>
    <row r="88" spans="2:26" s="144" customFormat="1" ht="11.25" customHeight="1">
      <c r="D88" s="260"/>
      <c r="E88" s="246" t="s">
        <v>956</v>
      </c>
      <c r="F88" s="247"/>
      <c r="H88" s="3070"/>
      <c r="I88" s="3176"/>
      <c r="J88" s="3176"/>
      <c r="K88" s="3177"/>
      <c r="L88" s="3176"/>
      <c r="M88" s="3176"/>
      <c r="N88" s="3178"/>
      <c r="O88" s="259" t="s">
        <v>1621</v>
      </c>
      <c r="P88" s="261"/>
      <c r="Q88" s="3179"/>
      <c r="R88" s="3180"/>
      <c r="S88" s="3181"/>
      <c r="Z88" s="1608">
        <v>88</v>
      </c>
    </row>
    <row r="89" spans="2:26" s="144" customFormat="1" ht="11.25" customHeight="1">
      <c r="D89" s="260"/>
      <c r="E89" s="246" t="s">
        <v>574</v>
      </c>
      <c r="H89" s="3070"/>
      <c r="I89" s="3177"/>
      <c r="J89" s="3106"/>
      <c r="K89" s="262" t="s">
        <v>2452</v>
      </c>
      <c r="L89" s="3070"/>
      <c r="M89" s="3176"/>
      <c r="N89" s="3106"/>
      <c r="O89" s="259" t="s">
        <v>1598</v>
      </c>
      <c r="P89" s="261"/>
      <c r="Q89" s="3064"/>
      <c r="R89" s="3065"/>
      <c r="S89" s="3066"/>
      <c r="Z89" s="1608">
        <v>89</v>
      </c>
    </row>
    <row r="90" spans="2:26" s="144" customFormat="1" ht="11.25" customHeight="1">
      <c r="E90" s="246" t="s">
        <v>1666</v>
      </c>
      <c r="H90" s="976"/>
      <c r="I90" s="261"/>
      <c r="J90" s="261"/>
      <c r="K90" s="661" t="s">
        <v>2056</v>
      </c>
      <c r="L90" s="3182"/>
      <c r="M90" s="3183"/>
      <c r="N90" s="261"/>
      <c r="O90" s="259" t="s">
        <v>1833</v>
      </c>
      <c r="P90" s="261"/>
      <c r="Q90" s="3064"/>
      <c r="R90" s="3065"/>
      <c r="S90" s="3066"/>
      <c r="Z90" s="1608">
        <v>90</v>
      </c>
    </row>
    <row r="91" spans="2:26" s="144" customFormat="1" ht="11.25" customHeight="1">
      <c r="D91" s="260"/>
      <c r="E91" s="246" t="s">
        <v>3373</v>
      </c>
      <c r="H91" s="3174"/>
      <c r="I91" s="3175"/>
      <c r="J91" s="255"/>
      <c r="K91" s="262" t="s">
        <v>1837</v>
      </c>
      <c r="L91" s="3056"/>
      <c r="M91" s="3057"/>
      <c r="N91" s="3058"/>
      <c r="O91" s="3058"/>
      <c r="P91" s="3058"/>
      <c r="Q91" s="3057"/>
      <c r="R91" s="3057"/>
      <c r="S91" s="3108"/>
      <c r="Z91" s="1608">
        <v>91</v>
      </c>
    </row>
    <row r="92" spans="2:26" ht="6.65"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53"/>
      <c r="I93" s="3109"/>
      <c r="J93" s="3109"/>
      <c r="K93" s="3109"/>
      <c r="L93" s="3109"/>
      <c r="M93" s="3109"/>
      <c r="N93" s="3110"/>
      <c r="O93" s="259" t="s">
        <v>1842</v>
      </c>
      <c r="P93" s="259"/>
      <c r="Q93" s="3053"/>
      <c r="R93" s="3109"/>
      <c r="S93" s="3110"/>
      <c r="Z93" s="1608">
        <v>93</v>
      </c>
    </row>
    <row r="94" spans="2:26" s="144" customFormat="1" ht="11.25" customHeight="1">
      <c r="D94" s="260"/>
      <c r="E94" s="246" t="s">
        <v>956</v>
      </c>
      <c r="F94" s="247"/>
      <c r="H94" s="3070"/>
      <c r="I94" s="3176"/>
      <c r="J94" s="3176"/>
      <c r="K94" s="3177"/>
      <c r="L94" s="3176"/>
      <c r="M94" s="3176"/>
      <c r="N94" s="3178"/>
      <c r="O94" s="259" t="s">
        <v>1621</v>
      </c>
      <c r="P94" s="261"/>
      <c r="Q94" s="3179"/>
      <c r="R94" s="3180"/>
      <c r="S94" s="3181"/>
      <c r="Z94" s="1608">
        <v>94</v>
      </c>
    </row>
    <row r="95" spans="2:26" s="144" customFormat="1" ht="11.25" customHeight="1">
      <c r="D95" s="260"/>
      <c r="E95" s="246" t="s">
        <v>574</v>
      </c>
      <c r="H95" s="3070"/>
      <c r="I95" s="3177"/>
      <c r="J95" s="3106"/>
      <c r="K95" s="262" t="s">
        <v>2452</v>
      </c>
      <c r="L95" s="3070"/>
      <c r="M95" s="3176"/>
      <c r="N95" s="3106"/>
      <c r="O95" s="259" t="s">
        <v>1598</v>
      </c>
      <c r="P95" s="261"/>
      <c r="Q95" s="3064"/>
      <c r="R95" s="3065"/>
      <c r="S95" s="3066"/>
      <c r="Z95" s="1608">
        <v>95</v>
      </c>
    </row>
    <row r="96" spans="2:26" s="144" customFormat="1" ht="11.25" customHeight="1">
      <c r="D96" s="260"/>
      <c r="E96" s="246" t="s">
        <v>1666</v>
      </c>
      <c r="H96" s="976"/>
      <c r="I96" s="261"/>
      <c r="J96" s="261"/>
      <c r="K96" s="661" t="s">
        <v>2056</v>
      </c>
      <c r="L96" s="3182"/>
      <c r="M96" s="3183"/>
      <c r="N96" s="261"/>
      <c r="O96" s="259" t="s">
        <v>1833</v>
      </c>
      <c r="P96" s="261"/>
      <c r="Q96" s="3064"/>
      <c r="R96" s="3065"/>
      <c r="S96" s="3066"/>
      <c r="Z96" s="1608">
        <v>96</v>
      </c>
    </row>
    <row r="97" spans="2:26" s="144" customFormat="1" ht="11.25" customHeight="1">
      <c r="D97" s="260"/>
      <c r="E97" s="246" t="s">
        <v>3373</v>
      </c>
      <c r="H97" s="3174"/>
      <c r="I97" s="3175"/>
      <c r="J97" s="255"/>
      <c r="K97" s="262" t="s">
        <v>1837</v>
      </c>
      <c r="L97" s="3056"/>
      <c r="M97" s="3057"/>
      <c r="N97" s="3058"/>
      <c r="O97" s="3058"/>
      <c r="P97" s="3058"/>
      <c r="Q97" s="3057"/>
      <c r="R97" s="3057"/>
      <c r="S97" s="3108"/>
      <c r="Z97" s="1608">
        <v>97</v>
      </c>
    </row>
    <row r="98" spans="2:26" ht="6.65"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3053"/>
      <c r="I99" s="3109"/>
      <c r="J99" s="3109"/>
      <c r="K99" s="3109"/>
      <c r="L99" s="3109"/>
      <c r="M99" s="3109"/>
      <c r="N99" s="3110"/>
      <c r="O99" s="259" t="s">
        <v>1842</v>
      </c>
      <c r="P99" s="259"/>
      <c r="Q99" s="3053"/>
      <c r="R99" s="3109"/>
      <c r="S99" s="3110"/>
      <c r="Z99" s="1608">
        <v>99</v>
      </c>
    </row>
    <row r="100" spans="2:26" s="144" customFormat="1" ht="11.25" customHeight="1">
      <c r="D100" s="260"/>
      <c r="E100" s="246" t="s">
        <v>956</v>
      </c>
      <c r="F100" s="247"/>
      <c r="H100" s="3070"/>
      <c r="I100" s="3176"/>
      <c r="J100" s="3176"/>
      <c r="K100" s="3177"/>
      <c r="L100" s="3176"/>
      <c r="M100" s="3176"/>
      <c r="N100" s="3178"/>
      <c r="O100" s="259" t="s">
        <v>1621</v>
      </c>
      <c r="P100" s="261"/>
      <c r="Q100" s="3179"/>
      <c r="R100" s="3180"/>
      <c r="S100" s="3181"/>
      <c r="Z100" s="1608">
        <v>100</v>
      </c>
    </row>
    <row r="101" spans="2:26" s="144" customFormat="1" ht="11.25" customHeight="1">
      <c r="D101" s="260"/>
      <c r="E101" s="246" t="s">
        <v>574</v>
      </c>
      <c r="H101" s="3070"/>
      <c r="I101" s="3177"/>
      <c r="J101" s="3106"/>
      <c r="K101" s="262" t="s">
        <v>2452</v>
      </c>
      <c r="L101" s="3070"/>
      <c r="M101" s="3176"/>
      <c r="N101" s="3106"/>
      <c r="O101" s="259" t="s">
        <v>1598</v>
      </c>
      <c r="P101" s="261"/>
      <c r="Q101" s="3064"/>
      <c r="R101" s="3065"/>
      <c r="S101" s="3066"/>
      <c r="Z101" s="1608">
        <v>101</v>
      </c>
    </row>
    <row r="102" spans="2:26" s="144" customFormat="1" ht="11.25" customHeight="1">
      <c r="D102" s="260"/>
      <c r="E102" s="246" t="s">
        <v>1666</v>
      </c>
      <c r="H102" s="976"/>
      <c r="I102" s="261"/>
      <c r="J102" s="261"/>
      <c r="K102" s="661" t="s">
        <v>2056</v>
      </c>
      <c r="L102" s="3182"/>
      <c r="M102" s="3183"/>
      <c r="N102" s="261"/>
      <c r="O102" s="259" t="s">
        <v>1833</v>
      </c>
      <c r="P102" s="261"/>
      <c r="Q102" s="3064"/>
      <c r="R102" s="3065"/>
      <c r="S102" s="3066"/>
      <c r="Z102" s="1608">
        <v>102</v>
      </c>
    </row>
    <row r="103" spans="2:26" ht="11.25" customHeight="1">
      <c r="E103" s="246" t="s">
        <v>3373</v>
      </c>
      <c r="F103" s="144"/>
      <c r="G103" s="144"/>
      <c r="H103" s="3174"/>
      <c r="I103" s="3175"/>
      <c r="J103" s="255"/>
      <c r="K103" s="262" t="s">
        <v>1837</v>
      </c>
      <c r="L103" s="3056"/>
      <c r="M103" s="3057"/>
      <c r="N103" s="3058"/>
      <c r="O103" s="3058"/>
      <c r="P103" s="3058"/>
      <c r="Q103" s="3057"/>
      <c r="R103" s="3057"/>
      <c r="S103" s="3108"/>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53"/>
      <c r="I105" s="3109"/>
      <c r="J105" s="3109"/>
      <c r="K105" s="3109"/>
      <c r="L105" s="3109"/>
      <c r="M105" s="3109"/>
      <c r="N105" s="3110"/>
      <c r="O105" s="259" t="s">
        <v>1842</v>
      </c>
      <c r="P105" s="259"/>
      <c r="Q105" s="3053"/>
      <c r="R105" s="3109"/>
      <c r="S105" s="3110"/>
      <c r="Z105" s="1608">
        <v>105</v>
      </c>
    </row>
    <row r="106" spans="2:26" s="144" customFormat="1" ht="11.25" customHeight="1">
      <c r="D106" s="260"/>
      <c r="E106" s="246" t="s">
        <v>956</v>
      </c>
      <c r="F106" s="247"/>
      <c r="H106" s="3070"/>
      <c r="I106" s="3176"/>
      <c r="J106" s="3176"/>
      <c r="K106" s="3177"/>
      <c r="L106" s="3176"/>
      <c r="M106" s="3176"/>
      <c r="N106" s="3178"/>
      <c r="O106" s="259" t="s">
        <v>1621</v>
      </c>
      <c r="P106" s="261"/>
      <c r="Q106" s="3179"/>
      <c r="R106" s="3180"/>
      <c r="S106" s="3181"/>
      <c r="Z106" s="1608">
        <v>106</v>
      </c>
    </row>
    <row r="107" spans="2:26" s="144" customFormat="1" ht="11.25" customHeight="1">
      <c r="D107" s="260"/>
      <c r="E107" s="246" t="s">
        <v>574</v>
      </c>
      <c r="H107" s="3070"/>
      <c r="I107" s="3177"/>
      <c r="J107" s="3106"/>
      <c r="K107" s="262" t="s">
        <v>2452</v>
      </c>
      <c r="L107" s="3070"/>
      <c r="M107" s="3176"/>
      <c r="N107" s="3106"/>
      <c r="O107" s="259" t="s">
        <v>1598</v>
      </c>
      <c r="P107" s="261"/>
      <c r="Q107" s="3064"/>
      <c r="R107" s="3065"/>
      <c r="S107" s="3066"/>
      <c r="Z107" s="1608">
        <v>107</v>
      </c>
    </row>
    <row r="108" spans="2:26" s="144" customFormat="1" ht="11.25" customHeight="1">
      <c r="D108" s="260"/>
      <c r="E108" s="246" t="s">
        <v>1666</v>
      </c>
      <c r="H108" s="976"/>
      <c r="I108" s="261"/>
      <c r="J108" s="261"/>
      <c r="K108" s="661" t="s">
        <v>2056</v>
      </c>
      <c r="L108" s="3182"/>
      <c r="M108" s="3183"/>
      <c r="N108" s="261"/>
      <c r="O108" s="259" t="s">
        <v>1833</v>
      </c>
      <c r="P108" s="261"/>
      <c r="Q108" s="3064"/>
      <c r="R108" s="3065"/>
      <c r="S108" s="3066"/>
      <c r="Z108" s="1608">
        <v>108</v>
      </c>
    </row>
    <row r="109" spans="2:26" ht="11.25" customHeight="1">
      <c r="E109" s="246" t="s">
        <v>3373</v>
      </c>
      <c r="F109" s="144"/>
      <c r="G109" s="144"/>
      <c r="H109" s="3174"/>
      <c r="I109" s="3175"/>
      <c r="J109" s="255"/>
      <c r="K109" s="262" t="s">
        <v>1837</v>
      </c>
      <c r="L109" s="3056"/>
      <c r="M109" s="3057"/>
      <c r="N109" s="3058"/>
      <c r="O109" s="3058"/>
      <c r="P109" s="3058"/>
      <c r="Q109" s="3057"/>
      <c r="R109" s="3057"/>
      <c r="S109" s="3108"/>
      <c r="Z109" s="1608">
        <v>109</v>
      </c>
    </row>
    <row r="110" spans="2:26" ht="6.65"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53"/>
      <c r="I111" s="3109"/>
      <c r="J111" s="3109"/>
      <c r="K111" s="3109"/>
      <c r="L111" s="3109"/>
      <c r="M111" s="3109"/>
      <c r="N111" s="3110"/>
      <c r="O111" s="259" t="s">
        <v>1842</v>
      </c>
      <c r="P111" s="259"/>
      <c r="Q111" s="3053"/>
      <c r="R111" s="3109"/>
      <c r="S111" s="3110"/>
      <c r="Z111" s="1608">
        <v>111</v>
      </c>
    </row>
    <row r="112" spans="2:26" s="144" customFormat="1" ht="11.25" customHeight="1">
      <c r="D112" s="260"/>
      <c r="E112" s="246" t="s">
        <v>956</v>
      </c>
      <c r="F112" s="247"/>
      <c r="H112" s="3070"/>
      <c r="I112" s="3176"/>
      <c r="J112" s="3176"/>
      <c r="K112" s="3177"/>
      <c r="L112" s="3176"/>
      <c r="M112" s="3176"/>
      <c r="N112" s="3178"/>
      <c r="O112" s="259" t="s">
        <v>1621</v>
      </c>
      <c r="P112" s="261"/>
      <c r="Q112" s="3179"/>
      <c r="R112" s="3180"/>
      <c r="S112" s="3181"/>
      <c r="Z112" s="1608">
        <v>112</v>
      </c>
    </row>
    <row r="113" spans="1:26" s="144" customFormat="1" ht="11.25" customHeight="1">
      <c r="D113" s="260"/>
      <c r="E113" s="246" t="s">
        <v>574</v>
      </c>
      <c r="H113" s="3070"/>
      <c r="I113" s="3177"/>
      <c r="J113" s="3106"/>
      <c r="K113" s="262" t="s">
        <v>2452</v>
      </c>
      <c r="L113" s="3070"/>
      <c r="M113" s="3176"/>
      <c r="N113" s="3106"/>
      <c r="O113" s="259" t="s">
        <v>1598</v>
      </c>
      <c r="P113" s="261"/>
      <c r="Q113" s="3064"/>
      <c r="R113" s="3065"/>
      <c r="S113" s="3066"/>
      <c r="Z113" s="1608">
        <v>113</v>
      </c>
    </row>
    <row r="114" spans="1:26" s="144" customFormat="1" ht="11.25" customHeight="1">
      <c r="D114" s="260"/>
      <c r="E114" s="246" t="s">
        <v>1666</v>
      </c>
      <c r="H114" s="976"/>
      <c r="I114" s="261"/>
      <c r="J114" s="261"/>
      <c r="K114" s="661" t="s">
        <v>2056</v>
      </c>
      <c r="L114" s="3182"/>
      <c r="M114" s="3183"/>
      <c r="N114" s="261"/>
      <c r="O114" s="259" t="s">
        <v>1833</v>
      </c>
      <c r="P114" s="261"/>
      <c r="Q114" s="3064"/>
      <c r="R114" s="3065"/>
      <c r="S114" s="3066"/>
      <c r="Z114" s="1608">
        <v>114</v>
      </c>
    </row>
    <row r="115" spans="1:26" s="144" customFormat="1" ht="11.25" customHeight="1">
      <c r="D115" s="260"/>
      <c r="E115" s="246" t="s">
        <v>3373</v>
      </c>
      <c r="H115" s="3174"/>
      <c r="I115" s="3175"/>
      <c r="J115" s="255"/>
      <c r="K115" s="262" t="s">
        <v>1837</v>
      </c>
      <c r="L115" s="3056"/>
      <c r="M115" s="3057"/>
      <c r="N115" s="3058"/>
      <c r="O115" s="3058"/>
      <c r="P115" s="3058"/>
      <c r="Q115" s="3057"/>
      <c r="R115" s="3057"/>
      <c r="S115" s="3108"/>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4115</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4362</v>
      </c>
      <c r="H120" s="3053"/>
      <c r="I120" s="3054"/>
      <c r="J120" s="3055"/>
      <c r="K120" s="262" t="s">
        <v>1665</v>
      </c>
      <c r="L120" s="3053"/>
      <c r="M120" s="3109"/>
      <c r="N120" s="3110"/>
      <c r="O120" s="259" t="s">
        <v>3057</v>
      </c>
      <c r="P120" s="261"/>
      <c r="Q120" s="3111"/>
      <c r="R120" s="3112"/>
      <c r="S120" s="3113"/>
      <c r="Z120" s="1608">
        <v>120</v>
      </c>
    </row>
    <row r="121" spans="1:26" s="144" customFormat="1" ht="11.25" customHeight="1">
      <c r="C121" s="243"/>
      <c r="D121" s="260"/>
      <c r="E121" s="246" t="s">
        <v>4116</v>
      </c>
      <c r="F121" s="247"/>
      <c r="H121" s="3097"/>
      <c r="I121" s="3098"/>
      <c r="J121" s="3099"/>
      <c r="K121" s="3100"/>
      <c r="L121" s="3098"/>
      <c r="M121" s="3098"/>
      <c r="N121" s="3101"/>
      <c r="O121" s="259" t="s">
        <v>574</v>
      </c>
      <c r="P121" s="261"/>
      <c r="Q121" s="3102"/>
      <c r="R121" s="3103"/>
      <c r="S121" s="3104"/>
      <c r="Z121" s="1608">
        <v>121</v>
      </c>
    </row>
    <row r="122" spans="1:26" s="144" customFormat="1" ht="11.25" customHeight="1">
      <c r="C122" s="243"/>
      <c r="D122" s="260"/>
      <c r="E122" s="246" t="s">
        <v>1666</v>
      </c>
      <c r="H122" s="1190"/>
      <c r="I122" s="661" t="s">
        <v>2056</v>
      </c>
      <c r="J122" s="3105"/>
      <c r="K122" s="3106"/>
      <c r="L122" s="262" t="s">
        <v>1837</v>
      </c>
      <c r="M122" s="3107"/>
      <c r="N122" s="3058"/>
      <c r="O122" s="3058"/>
      <c r="P122" s="3058"/>
      <c r="Q122" s="3057"/>
      <c r="R122" s="3057"/>
      <c r="S122" s="3108"/>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4363</v>
      </c>
      <c r="H124" s="3053"/>
      <c r="I124" s="3054"/>
      <c r="J124" s="3055"/>
      <c r="K124" s="262" t="s">
        <v>1665</v>
      </c>
      <c r="L124" s="3053"/>
      <c r="M124" s="3109"/>
      <c r="N124" s="3110"/>
      <c r="O124" s="259" t="s">
        <v>3057</v>
      </c>
      <c r="P124" s="261"/>
      <c r="Q124" s="3111"/>
      <c r="R124" s="3112"/>
      <c r="S124" s="3113"/>
      <c r="Z124" s="1608">
        <v>124</v>
      </c>
    </row>
    <row r="125" spans="1:26" s="144" customFormat="1" ht="11.25" hidden="1" customHeight="1">
      <c r="C125" s="243"/>
      <c r="D125" s="260"/>
      <c r="E125" s="246" t="s">
        <v>4116</v>
      </c>
      <c r="F125" s="247"/>
      <c r="H125" s="3097"/>
      <c r="I125" s="3098"/>
      <c r="J125" s="3099"/>
      <c r="K125" s="3100"/>
      <c r="L125" s="3098"/>
      <c r="M125" s="3098"/>
      <c r="N125" s="3101"/>
      <c r="O125" s="259" t="s">
        <v>574</v>
      </c>
      <c r="P125" s="261"/>
      <c r="Q125" s="3102"/>
      <c r="R125" s="3103"/>
      <c r="S125" s="3104"/>
      <c r="Z125" s="1608">
        <v>125</v>
      </c>
    </row>
    <row r="126" spans="1:26" s="144" customFormat="1" ht="11.25" hidden="1" customHeight="1">
      <c r="C126" s="243"/>
      <c r="D126" s="260"/>
      <c r="E126" s="246" t="s">
        <v>1666</v>
      </c>
      <c r="H126" s="1190"/>
      <c r="I126" s="661" t="s">
        <v>2056</v>
      </c>
      <c r="J126" s="3105"/>
      <c r="K126" s="3106"/>
      <c r="L126" s="262" t="s">
        <v>1837</v>
      </c>
      <c r="M126" s="3107"/>
      <c r="N126" s="3058"/>
      <c r="O126" s="3058"/>
      <c r="P126" s="3058"/>
      <c r="Q126" s="3057"/>
      <c r="R126" s="3057"/>
      <c r="S126" s="3108"/>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4196</v>
      </c>
      <c r="H128" s="3053"/>
      <c r="I128" s="3054"/>
      <c r="J128" s="3055"/>
      <c r="K128" s="262" t="s">
        <v>1665</v>
      </c>
      <c r="L128" s="3053"/>
      <c r="M128" s="3109"/>
      <c r="N128" s="3110"/>
      <c r="O128" s="259" t="s">
        <v>3057</v>
      </c>
      <c r="P128" s="261"/>
      <c r="Q128" s="3111"/>
      <c r="R128" s="3112"/>
      <c r="S128" s="3113"/>
      <c r="Z128" s="1608">
        <v>128</v>
      </c>
    </row>
    <row r="129" spans="3:26" s="144" customFormat="1" ht="11.25" hidden="1" customHeight="1">
      <c r="C129" s="243"/>
      <c r="D129" s="260"/>
      <c r="E129" s="246" t="s">
        <v>4116</v>
      </c>
      <c r="F129" s="247"/>
      <c r="H129" s="3097"/>
      <c r="I129" s="3098"/>
      <c r="J129" s="3099"/>
      <c r="K129" s="3100"/>
      <c r="L129" s="3098"/>
      <c r="M129" s="3098"/>
      <c r="N129" s="3101"/>
      <c r="O129" s="259" t="s">
        <v>574</v>
      </c>
      <c r="P129" s="261"/>
      <c r="Q129" s="3102"/>
      <c r="R129" s="3103"/>
      <c r="S129" s="3104"/>
      <c r="Z129" s="1608">
        <v>129</v>
      </c>
    </row>
    <row r="130" spans="3:26" s="144" customFormat="1" ht="11.25" hidden="1" customHeight="1">
      <c r="C130" s="243"/>
      <c r="D130" s="260"/>
      <c r="E130" s="246" t="s">
        <v>1666</v>
      </c>
      <c r="H130" s="1190"/>
      <c r="I130" s="661" t="s">
        <v>2056</v>
      </c>
      <c r="J130" s="3105"/>
      <c r="K130" s="3106"/>
      <c r="L130" s="262" t="s">
        <v>1837</v>
      </c>
      <c r="M130" s="3107"/>
      <c r="N130" s="3058"/>
      <c r="O130" s="3058"/>
      <c r="P130" s="3058"/>
      <c r="Q130" s="3057"/>
      <c r="R130" s="3057"/>
      <c r="S130" s="3108"/>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4364</v>
      </c>
      <c r="H132" s="3053"/>
      <c r="I132" s="3054"/>
      <c r="J132" s="3055"/>
      <c r="K132" s="262" t="s">
        <v>1665</v>
      </c>
      <c r="L132" s="3053"/>
      <c r="M132" s="3109"/>
      <c r="N132" s="3110"/>
      <c r="O132" s="259" t="s">
        <v>3057</v>
      </c>
      <c r="P132" s="261"/>
      <c r="Q132" s="3111"/>
      <c r="R132" s="3112"/>
      <c r="S132" s="3113"/>
      <c r="Z132" s="1608">
        <v>132</v>
      </c>
    </row>
    <row r="133" spans="3:26" s="144" customFormat="1" ht="11.25" hidden="1" customHeight="1">
      <c r="C133" s="243"/>
      <c r="D133" s="260"/>
      <c r="E133" s="246" t="s">
        <v>4116</v>
      </c>
      <c r="F133" s="247"/>
      <c r="H133" s="3097"/>
      <c r="I133" s="3098"/>
      <c r="J133" s="3099"/>
      <c r="K133" s="3100"/>
      <c r="L133" s="3098"/>
      <c r="M133" s="3098"/>
      <c r="N133" s="3101"/>
      <c r="O133" s="259" t="s">
        <v>574</v>
      </c>
      <c r="P133" s="261"/>
      <c r="Q133" s="3102"/>
      <c r="R133" s="3103"/>
      <c r="S133" s="3104"/>
      <c r="Z133" s="1608">
        <v>133</v>
      </c>
    </row>
    <row r="134" spans="3:26" s="144" customFormat="1" ht="11.25" hidden="1" customHeight="1">
      <c r="C134" s="243"/>
      <c r="D134" s="260"/>
      <c r="E134" s="246" t="s">
        <v>1666</v>
      </c>
      <c r="H134" s="1190"/>
      <c r="I134" s="661" t="s">
        <v>2056</v>
      </c>
      <c r="J134" s="3105"/>
      <c r="K134" s="3106"/>
      <c r="L134" s="262" t="s">
        <v>1837</v>
      </c>
      <c r="M134" s="3107"/>
      <c r="N134" s="3058"/>
      <c r="O134" s="3058"/>
      <c r="P134" s="3058"/>
      <c r="Q134" s="3057"/>
      <c r="R134" s="3057"/>
      <c r="S134" s="3108"/>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4365</v>
      </c>
      <c r="H136" s="3053"/>
      <c r="I136" s="3054"/>
      <c r="J136" s="3055"/>
      <c r="K136" s="262" t="s">
        <v>1665</v>
      </c>
      <c r="L136" s="3053"/>
      <c r="M136" s="3109"/>
      <c r="N136" s="3110"/>
      <c r="O136" s="259" t="s">
        <v>3057</v>
      </c>
      <c r="P136" s="261"/>
      <c r="Q136" s="3111"/>
      <c r="R136" s="3112"/>
      <c r="S136" s="3113"/>
      <c r="Z136" s="1608">
        <v>136</v>
      </c>
    </row>
    <row r="137" spans="3:26" s="144" customFormat="1" ht="11.25" hidden="1" customHeight="1">
      <c r="C137" s="243"/>
      <c r="D137" s="260"/>
      <c r="E137" s="246" t="s">
        <v>4116</v>
      </c>
      <c r="F137" s="247"/>
      <c r="H137" s="3097"/>
      <c r="I137" s="3098"/>
      <c r="J137" s="3099"/>
      <c r="K137" s="3100"/>
      <c r="L137" s="3098"/>
      <c r="M137" s="3098"/>
      <c r="N137" s="3101"/>
      <c r="O137" s="259" t="s">
        <v>574</v>
      </c>
      <c r="P137" s="261"/>
      <c r="Q137" s="3102"/>
      <c r="R137" s="3103"/>
      <c r="S137" s="3104"/>
      <c r="Z137" s="1608">
        <v>137</v>
      </c>
    </row>
    <row r="138" spans="3:26" s="144" customFormat="1" ht="11.25" hidden="1" customHeight="1">
      <c r="C138" s="243"/>
      <c r="D138" s="260"/>
      <c r="E138" s="246" t="s">
        <v>1666</v>
      </c>
      <c r="H138" s="1190"/>
      <c r="I138" s="661" t="s">
        <v>2056</v>
      </c>
      <c r="J138" s="3105"/>
      <c r="K138" s="3106"/>
      <c r="L138" s="262" t="s">
        <v>1837</v>
      </c>
      <c r="M138" s="3107"/>
      <c r="N138" s="3058"/>
      <c r="O138" s="3058"/>
      <c r="P138" s="3058"/>
      <c r="Q138" s="3057"/>
      <c r="R138" s="3057"/>
      <c r="S138" s="3108"/>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4366</v>
      </c>
      <c r="H140" s="3053"/>
      <c r="I140" s="3054"/>
      <c r="J140" s="3055"/>
      <c r="K140" s="262" t="s">
        <v>1665</v>
      </c>
      <c r="L140" s="3053"/>
      <c r="M140" s="3109"/>
      <c r="N140" s="3110"/>
      <c r="O140" s="259" t="s">
        <v>3057</v>
      </c>
      <c r="P140" s="261"/>
      <c r="Q140" s="3111"/>
      <c r="R140" s="3112"/>
      <c r="S140" s="3113"/>
      <c r="Z140" s="1608">
        <v>140</v>
      </c>
    </row>
    <row r="141" spans="3:26" s="144" customFormat="1" ht="11.25" hidden="1" customHeight="1">
      <c r="C141" s="243"/>
      <c r="D141" s="260"/>
      <c r="E141" s="246" t="s">
        <v>4116</v>
      </c>
      <c r="F141" s="247"/>
      <c r="H141" s="3097"/>
      <c r="I141" s="3098"/>
      <c r="J141" s="3099"/>
      <c r="K141" s="3100"/>
      <c r="L141" s="3098"/>
      <c r="M141" s="3098"/>
      <c r="N141" s="3101"/>
      <c r="O141" s="259" t="s">
        <v>574</v>
      </c>
      <c r="P141" s="261"/>
      <c r="Q141" s="3102"/>
      <c r="R141" s="3103"/>
      <c r="S141" s="3104"/>
      <c r="Z141" s="1608">
        <v>141</v>
      </c>
    </row>
    <row r="142" spans="3:26" s="144" customFormat="1" ht="11.25" hidden="1" customHeight="1">
      <c r="C142" s="243"/>
      <c r="D142" s="260"/>
      <c r="E142" s="246" t="s">
        <v>1666</v>
      </c>
      <c r="H142" s="1190"/>
      <c r="I142" s="661" t="s">
        <v>2056</v>
      </c>
      <c r="J142" s="3105"/>
      <c r="K142" s="3106"/>
      <c r="L142" s="262" t="s">
        <v>1837</v>
      </c>
      <c r="M142" s="3107"/>
      <c r="N142" s="3058"/>
      <c r="O142" s="3058"/>
      <c r="P142" s="3058"/>
      <c r="Q142" s="3057"/>
      <c r="R142" s="3057"/>
      <c r="S142" s="3108"/>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4360</v>
      </c>
      <c r="H144" s="3053"/>
      <c r="I144" s="3054"/>
      <c r="J144" s="3055"/>
      <c r="K144" s="262" t="s">
        <v>1665</v>
      </c>
      <c r="L144" s="3053"/>
      <c r="M144" s="3109"/>
      <c r="N144" s="3110"/>
      <c r="O144" s="259" t="s">
        <v>3057</v>
      </c>
      <c r="P144" s="261"/>
      <c r="Q144" s="3111"/>
      <c r="R144" s="3112"/>
      <c r="S144" s="3113"/>
      <c r="Z144" s="1608">
        <v>144</v>
      </c>
    </row>
    <row r="145" spans="1:26" s="144" customFormat="1" ht="11.25" customHeight="1">
      <c r="C145" s="243"/>
      <c r="D145" s="260"/>
      <c r="E145" s="246" t="s">
        <v>4116</v>
      </c>
      <c r="F145" s="247"/>
      <c r="H145" s="3097"/>
      <c r="I145" s="3098"/>
      <c r="J145" s="3099"/>
      <c r="K145" s="3100"/>
      <c r="L145" s="3098"/>
      <c r="M145" s="3098"/>
      <c r="N145" s="3101"/>
      <c r="O145" s="259" t="s">
        <v>574</v>
      </c>
      <c r="P145" s="261"/>
      <c r="Q145" s="3102"/>
      <c r="R145" s="3103"/>
      <c r="S145" s="3104"/>
      <c r="Z145" s="1608">
        <v>145</v>
      </c>
    </row>
    <row r="146" spans="1:26" s="144" customFormat="1" ht="11.25" customHeight="1">
      <c r="C146" s="243"/>
      <c r="D146" s="260"/>
      <c r="E146" s="246" t="s">
        <v>1666</v>
      </c>
      <c r="H146" s="1190"/>
      <c r="I146" s="661" t="s">
        <v>2056</v>
      </c>
      <c r="J146" s="3105"/>
      <c r="K146" s="3106"/>
      <c r="L146" s="262" t="s">
        <v>1837</v>
      </c>
      <c r="M146" s="3107"/>
      <c r="N146" s="3058"/>
      <c r="O146" s="3058"/>
      <c r="P146" s="3058"/>
      <c r="Q146" s="3057"/>
      <c r="R146" s="3057"/>
      <c r="S146" s="3108"/>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4361</v>
      </c>
      <c r="H148" s="3053"/>
      <c r="I148" s="3054"/>
      <c r="J148" s="3055"/>
      <c r="K148" s="262" t="s">
        <v>1665</v>
      </c>
      <c r="L148" s="3053"/>
      <c r="M148" s="3109"/>
      <c r="N148" s="3110"/>
      <c r="O148" s="259" t="s">
        <v>3057</v>
      </c>
      <c r="P148" s="261"/>
      <c r="Q148" s="3111"/>
      <c r="R148" s="3112"/>
      <c r="S148" s="3113"/>
      <c r="Z148" s="1608">
        <v>148</v>
      </c>
    </row>
    <row r="149" spans="1:26" s="144" customFormat="1" ht="11.25" customHeight="1">
      <c r="D149" s="260"/>
      <c r="E149" s="246" t="s">
        <v>4116</v>
      </c>
      <c r="F149" s="247"/>
      <c r="H149" s="3097"/>
      <c r="I149" s="3098"/>
      <c r="J149" s="3099"/>
      <c r="K149" s="3100"/>
      <c r="L149" s="3098"/>
      <c r="M149" s="3098"/>
      <c r="N149" s="3101"/>
      <c r="O149" s="259" t="s">
        <v>574</v>
      </c>
      <c r="P149" s="261"/>
      <c r="Q149" s="3102"/>
      <c r="R149" s="3103"/>
      <c r="S149" s="3104"/>
      <c r="Z149" s="1608">
        <v>149</v>
      </c>
    </row>
    <row r="150" spans="1:26" s="144" customFormat="1" ht="11.25" customHeight="1">
      <c r="D150" s="260"/>
      <c r="E150" s="246" t="s">
        <v>1666</v>
      </c>
      <c r="H150" s="1190"/>
      <c r="I150" s="661" t="s">
        <v>2056</v>
      </c>
      <c r="J150" s="3105"/>
      <c r="K150" s="3106"/>
      <c r="L150" s="262" t="s">
        <v>1837</v>
      </c>
      <c r="M150" s="3107"/>
      <c r="N150" s="3058"/>
      <c r="O150" s="3058"/>
      <c r="P150" s="3058"/>
      <c r="Q150" s="3057"/>
      <c r="R150" s="3057"/>
      <c r="S150" s="3108"/>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3757</v>
      </c>
      <c r="H152" s="478"/>
      <c r="I152" s="478"/>
      <c r="J152" s="478"/>
      <c r="K152" s="478"/>
      <c r="L152" s="478"/>
      <c r="M152" s="478"/>
      <c r="N152" s="478"/>
      <c r="O152" s="478"/>
      <c r="P152" s="478"/>
      <c r="Q152" s="478"/>
      <c r="R152" s="478"/>
      <c r="S152" s="478"/>
      <c r="Z152" s="1608">
        <v>152</v>
      </c>
    </row>
    <row r="153" spans="1:26" ht="13.5" thickBot="1">
      <c r="A153" s="3114" t="s">
        <v>3213</v>
      </c>
      <c r="B153" s="3114"/>
      <c r="C153" s="3114"/>
      <c r="D153" s="3114"/>
      <c r="E153" s="3114"/>
      <c r="H153" s="1192" t="s">
        <v>2302</v>
      </c>
      <c r="I153" s="3091" t="s">
        <v>4407</v>
      </c>
      <c r="J153" s="3092"/>
      <c r="K153" s="3092"/>
      <c r="L153" s="3092"/>
      <c r="M153" s="3092"/>
      <c r="N153" s="3092"/>
      <c r="O153" s="3092"/>
      <c r="P153" s="3092"/>
      <c r="Q153" s="3092"/>
      <c r="R153" s="3092"/>
      <c r="S153" s="3093"/>
      <c r="Z153" s="1608">
        <v>153</v>
      </c>
    </row>
    <row r="154" spans="1:26" s="144" customFormat="1" ht="15" customHeight="1" thickBot="1">
      <c r="B154" s="474" t="s">
        <v>1839</v>
      </c>
      <c r="C154" s="256" t="s">
        <v>2514</v>
      </c>
      <c r="E154" s="256"/>
      <c r="H154" s="1151" t="s">
        <v>3715</v>
      </c>
      <c r="I154" s="3198"/>
      <c r="J154" s="3119"/>
      <c r="K154" s="3119"/>
      <c r="L154" s="3119"/>
      <c r="M154" s="3119"/>
      <c r="N154" s="3119"/>
      <c r="O154" s="3119"/>
      <c r="P154" s="3119"/>
      <c r="Q154" s="3119"/>
      <c r="R154" s="3119"/>
      <c r="S154" s="3121"/>
      <c r="U154" s="3028" t="s">
        <v>1878</v>
      </c>
      <c r="V154" s="3028"/>
      <c r="Z154" s="1608">
        <v>154</v>
      </c>
    </row>
    <row r="155" spans="1:26" s="144" customFormat="1" ht="15" customHeight="1" thickBot="1">
      <c r="B155" s="474" t="s">
        <v>1841</v>
      </c>
      <c r="C155" s="256" t="s">
        <v>4114</v>
      </c>
      <c r="E155" s="256"/>
      <c r="H155" s="1151" t="s">
        <v>3715</v>
      </c>
      <c r="I155" s="3197"/>
      <c r="J155" s="3126"/>
      <c r="K155" s="3126"/>
      <c r="L155" s="3126"/>
      <c r="M155" s="3126"/>
      <c r="N155" s="3126"/>
      <c r="O155" s="3126"/>
      <c r="P155" s="3126"/>
      <c r="Q155" s="3126"/>
      <c r="R155" s="3126"/>
      <c r="S155" s="3128"/>
      <c r="U155" s="3028"/>
      <c r="V155" s="3028"/>
      <c r="Z155" s="1608">
        <v>155</v>
      </c>
    </row>
    <row r="156" spans="1:26" s="144" customFormat="1" ht="15" customHeight="1" thickBot="1">
      <c r="B156" s="474" t="s">
        <v>2326</v>
      </c>
      <c r="C156" s="256" t="s">
        <v>2550</v>
      </c>
      <c r="E156" s="256"/>
      <c r="H156" s="1151" t="s">
        <v>3715</v>
      </c>
      <c r="I156" s="3197"/>
      <c r="J156" s="3126"/>
      <c r="K156" s="3126"/>
      <c r="L156" s="3126"/>
      <c r="M156" s="3126"/>
      <c r="N156" s="3126"/>
      <c r="O156" s="3126"/>
      <c r="P156" s="3126"/>
      <c r="Q156" s="3126"/>
      <c r="R156" s="3126"/>
      <c r="S156" s="3128"/>
      <c r="U156" s="3028"/>
      <c r="V156" s="3028"/>
      <c r="Z156" s="1608">
        <v>156</v>
      </c>
    </row>
    <row r="157" spans="1:26" s="144" customFormat="1" ht="15" customHeight="1" thickBot="1">
      <c r="B157" s="474" t="s">
        <v>1149</v>
      </c>
      <c r="C157" s="256" t="s">
        <v>2515</v>
      </c>
      <c r="E157" s="256"/>
      <c r="H157" s="1151" t="s">
        <v>3715</v>
      </c>
      <c r="I157" s="3197"/>
      <c r="J157" s="3126"/>
      <c r="K157" s="3126"/>
      <c r="L157" s="3126"/>
      <c r="M157" s="3126"/>
      <c r="N157" s="3126"/>
      <c r="O157" s="3126"/>
      <c r="P157" s="3126"/>
      <c r="Q157" s="3126"/>
      <c r="R157" s="3126"/>
      <c r="S157" s="3128"/>
      <c r="U157" s="3028"/>
      <c r="V157" s="3028"/>
      <c r="Z157" s="1608">
        <v>157</v>
      </c>
    </row>
    <row r="158" spans="1:26" s="144" customFormat="1" ht="15" customHeight="1" thickBot="1">
      <c r="B158" s="474" t="s">
        <v>1150</v>
      </c>
      <c r="C158" s="256" t="s">
        <v>2991</v>
      </c>
      <c r="E158" s="256"/>
      <c r="H158" s="1151" t="s">
        <v>3715</v>
      </c>
      <c r="I158" s="3197"/>
      <c r="J158" s="3126"/>
      <c r="K158" s="3126"/>
      <c r="L158" s="3126"/>
      <c r="M158" s="3126"/>
      <c r="N158" s="3126"/>
      <c r="O158" s="3126"/>
      <c r="P158" s="3126"/>
      <c r="Q158" s="3126"/>
      <c r="R158" s="3126"/>
      <c r="S158" s="3128"/>
      <c r="U158" s="3028"/>
      <c r="V158" s="3028"/>
      <c r="Z158" s="1608">
        <v>158</v>
      </c>
    </row>
    <row r="159" spans="1:26" s="144" customFormat="1" ht="15" customHeight="1" thickBot="1">
      <c r="B159" s="474" t="s">
        <v>1737</v>
      </c>
      <c r="C159" s="256" t="s">
        <v>2992</v>
      </c>
      <c r="E159" s="256"/>
      <c r="H159" s="1151" t="s">
        <v>3715</v>
      </c>
      <c r="I159" s="3197"/>
      <c r="J159" s="3126"/>
      <c r="K159" s="3126"/>
      <c r="L159" s="3126"/>
      <c r="M159" s="3126"/>
      <c r="N159" s="3126"/>
      <c r="O159" s="3126"/>
      <c r="P159" s="3126"/>
      <c r="Q159" s="3126"/>
      <c r="R159" s="3126"/>
      <c r="S159" s="3128"/>
      <c r="U159" s="3028"/>
      <c r="V159" s="3028"/>
      <c r="Z159" s="1608">
        <v>159</v>
      </c>
    </row>
    <row r="160" spans="1:26" s="144" customFormat="1" ht="15" customHeight="1" thickBot="1">
      <c r="B160" s="474" t="s">
        <v>472</v>
      </c>
      <c r="C160" s="256" t="s">
        <v>2516</v>
      </c>
      <c r="E160" s="256"/>
      <c r="H160" s="1151" t="s">
        <v>3715</v>
      </c>
      <c r="I160" s="3197"/>
      <c r="J160" s="3126"/>
      <c r="K160" s="3126"/>
      <c r="L160" s="3126"/>
      <c r="M160" s="3126"/>
      <c r="N160" s="3126"/>
      <c r="O160" s="3126"/>
      <c r="P160" s="3126"/>
      <c r="Q160" s="3126"/>
      <c r="R160" s="3126"/>
      <c r="S160" s="3128"/>
      <c r="Z160" s="1608">
        <v>160</v>
      </c>
    </row>
    <row r="161" spans="1:26" s="144" customFormat="1" ht="15" customHeight="1" thickBot="1">
      <c r="B161" s="474" t="s">
        <v>473</v>
      </c>
      <c r="C161" s="256" t="s">
        <v>3766</v>
      </c>
      <c r="E161" s="256"/>
      <c r="H161" s="1151" t="s">
        <v>3715</v>
      </c>
      <c r="I161" s="3197"/>
      <c r="J161" s="3126"/>
      <c r="K161" s="3126"/>
      <c r="L161" s="3126"/>
      <c r="M161" s="3126"/>
      <c r="N161" s="3126"/>
      <c r="O161" s="3126"/>
      <c r="P161" s="3126"/>
      <c r="Q161" s="3126"/>
      <c r="R161" s="3126"/>
      <c r="S161" s="3128"/>
      <c r="Z161" s="1608">
        <v>161</v>
      </c>
    </row>
    <row r="162" spans="1:26" s="144" customFormat="1" ht="15" customHeight="1" thickBot="1">
      <c r="B162" s="474" t="s">
        <v>3765</v>
      </c>
      <c r="C162" s="3094" t="s">
        <v>4367</v>
      </c>
      <c r="D162" s="3095"/>
      <c r="E162" s="3095"/>
      <c r="F162" s="3095"/>
      <c r="G162" s="3096"/>
      <c r="H162" s="1151" t="s">
        <v>3715</v>
      </c>
      <c r="I162" s="3196"/>
      <c r="J162" s="3165"/>
      <c r="K162" s="3165"/>
      <c r="L162" s="3165"/>
      <c r="M162" s="3165"/>
      <c r="N162" s="3165"/>
      <c r="O162" s="3165"/>
      <c r="P162" s="3165"/>
      <c r="Q162" s="3165"/>
      <c r="R162" s="3165"/>
      <c r="S162" s="3167"/>
      <c r="Z162" s="1608">
        <v>162</v>
      </c>
    </row>
    <row r="163" spans="1:26" s="144" customFormat="1" ht="13.4" customHeight="1">
      <c r="A163" s="243" t="s">
        <v>1661</v>
      </c>
      <c r="B163" s="243" t="s">
        <v>2519</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4" customHeight="1">
      <c r="B165" s="243" t="s">
        <v>697</v>
      </c>
      <c r="C165" s="243" t="s">
        <v>3758</v>
      </c>
      <c r="Z165" s="1608">
        <v>165</v>
      </c>
    </row>
    <row r="166" spans="1:26" s="144" customFormat="1" ht="12.75" customHeight="1">
      <c r="A166" s="3129" t="s">
        <v>593</v>
      </c>
      <c r="B166" s="3130"/>
      <c r="C166" s="3130"/>
      <c r="D166" s="3130"/>
      <c r="E166" s="3135" t="s">
        <v>2980</v>
      </c>
      <c r="F166" s="3136"/>
      <c r="G166" s="3136"/>
      <c r="H166" s="3136"/>
      <c r="I166" s="3137"/>
      <c r="J166" s="3141" t="s">
        <v>2981</v>
      </c>
      <c r="K166" s="3144" t="s">
        <v>2572</v>
      </c>
      <c r="L166" s="3144" t="s">
        <v>2573</v>
      </c>
      <c r="M166" s="3147" t="s">
        <v>4368</v>
      </c>
      <c r="N166" s="3148"/>
      <c r="O166" s="3148"/>
      <c r="P166" s="3148"/>
      <c r="Q166" s="3148"/>
      <c r="R166" s="3148"/>
      <c r="S166" s="3149"/>
      <c r="Z166" s="1608">
        <v>166</v>
      </c>
    </row>
    <row r="167" spans="1:26" s="144" customFormat="1" ht="12.75" customHeight="1">
      <c r="A167" s="3131"/>
      <c r="B167" s="3132"/>
      <c r="C167" s="3132"/>
      <c r="D167" s="3132"/>
      <c r="E167" s="3138"/>
      <c r="F167" s="3139"/>
      <c r="G167" s="3139"/>
      <c r="H167" s="3139"/>
      <c r="I167" s="3140"/>
      <c r="J167" s="3142"/>
      <c r="K167" s="3145"/>
      <c r="L167" s="3145"/>
      <c r="M167" s="3150"/>
      <c r="N167" s="3151"/>
      <c r="O167" s="3151"/>
      <c r="P167" s="3151"/>
      <c r="Q167" s="3151"/>
      <c r="R167" s="3151"/>
      <c r="S167" s="3152"/>
      <c r="Z167" s="1608">
        <v>167</v>
      </c>
    </row>
    <row r="168" spans="1:26" s="144" customFormat="1" ht="12.75" customHeight="1">
      <c r="A168" s="3131"/>
      <c r="B168" s="3132"/>
      <c r="C168" s="3132"/>
      <c r="D168" s="3132"/>
      <c r="E168" s="3138"/>
      <c r="F168" s="3139"/>
      <c r="G168" s="3139"/>
      <c r="H168" s="3139"/>
      <c r="I168" s="3140"/>
      <c r="J168" s="3142"/>
      <c r="K168" s="3145"/>
      <c r="L168" s="3145"/>
      <c r="M168" s="3150"/>
      <c r="N168" s="3151"/>
      <c r="O168" s="3151"/>
      <c r="P168" s="3151"/>
      <c r="Q168" s="3151"/>
      <c r="R168" s="3151"/>
      <c r="S168" s="3152"/>
      <c r="Z168" s="1608">
        <v>168</v>
      </c>
    </row>
    <row r="169" spans="1:26" s="144" customFormat="1" ht="12.75" customHeight="1">
      <c r="A169" s="3131"/>
      <c r="B169" s="3132"/>
      <c r="C169" s="3132"/>
      <c r="D169" s="3132"/>
      <c r="E169" s="3153" t="s">
        <v>3134</v>
      </c>
      <c r="F169" s="3154"/>
      <c r="G169" s="3154"/>
      <c r="H169" s="3155"/>
      <c r="I169" s="479"/>
      <c r="J169" s="3142"/>
      <c r="K169" s="3145"/>
      <c r="L169" s="3145"/>
      <c r="M169" s="3150"/>
      <c r="N169" s="3151"/>
      <c r="O169" s="3151"/>
      <c r="P169" s="3151"/>
      <c r="Q169" s="3151"/>
      <c r="R169" s="3151"/>
      <c r="S169" s="3152"/>
      <c r="Z169" s="1608">
        <v>169</v>
      </c>
    </row>
    <row r="170" spans="1:26" s="144" customFormat="1" ht="13.5" customHeight="1">
      <c r="A170" s="3133"/>
      <c r="B170" s="3134"/>
      <c r="C170" s="3134"/>
      <c r="D170" s="3134"/>
      <c r="E170" s="3156"/>
      <c r="F170" s="3157"/>
      <c r="G170" s="3157"/>
      <c r="H170" s="3158"/>
      <c r="I170" s="1152" t="s">
        <v>2302</v>
      </c>
      <c r="J170" s="3143"/>
      <c r="K170" s="3146"/>
      <c r="L170" s="3145"/>
      <c r="M170" s="1153" t="s">
        <v>2302</v>
      </c>
      <c r="N170" s="3159" t="s">
        <v>2571</v>
      </c>
      <c r="O170" s="3159"/>
      <c r="P170" s="3159"/>
      <c r="Q170" s="3159"/>
      <c r="R170" s="3159"/>
      <c r="S170" s="3160"/>
      <c r="Z170" s="1608">
        <v>170</v>
      </c>
    </row>
    <row r="171" spans="1:26" s="144" customFormat="1" ht="23.25" customHeight="1">
      <c r="A171" s="3115" t="s">
        <v>2975</v>
      </c>
      <c r="B171" s="3116"/>
      <c r="C171" s="3116"/>
      <c r="D171" s="3117"/>
      <c r="E171" s="3118"/>
      <c r="F171" s="3119"/>
      <c r="G171" s="3119"/>
      <c r="H171" s="3119"/>
      <c r="I171" s="632" t="s">
        <v>3715</v>
      </c>
      <c r="J171" s="475" t="s">
        <v>3715</v>
      </c>
      <c r="K171" s="475"/>
      <c r="L171" s="635"/>
      <c r="M171" s="480" t="s">
        <v>3715</v>
      </c>
      <c r="N171" s="3120"/>
      <c r="O171" s="3119"/>
      <c r="P171" s="3119"/>
      <c r="Q171" s="3119"/>
      <c r="R171" s="3119"/>
      <c r="S171" s="3121"/>
      <c r="Z171" s="1608">
        <v>171</v>
      </c>
    </row>
    <row r="172" spans="1:26" s="144" customFormat="1" ht="23.25" customHeight="1">
      <c r="A172" s="3122" t="s">
        <v>2976</v>
      </c>
      <c r="B172" s="3123"/>
      <c r="C172" s="3123"/>
      <c r="D172" s="3124"/>
      <c r="E172" s="3125"/>
      <c r="F172" s="3126"/>
      <c r="G172" s="3126"/>
      <c r="H172" s="3126"/>
      <c r="I172" s="633" t="s">
        <v>3715</v>
      </c>
      <c r="J172" s="476" t="s">
        <v>3715</v>
      </c>
      <c r="K172" s="476"/>
      <c r="L172" s="636"/>
      <c r="M172" s="481" t="s">
        <v>3715</v>
      </c>
      <c r="N172" s="3127"/>
      <c r="O172" s="3126"/>
      <c r="P172" s="3126"/>
      <c r="Q172" s="3126"/>
      <c r="R172" s="3126"/>
      <c r="S172" s="3128"/>
      <c r="U172" s="3028" t="s">
        <v>1878</v>
      </c>
      <c r="V172" s="3028"/>
      <c r="Z172" s="1608">
        <v>172</v>
      </c>
    </row>
    <row r="173" spans="1:26" s="144" customFormat="1" ht="23.25" customHeight="1">
      <c r="A173" s="3122" t="s">
        <v>2977</v>
      </c>
      <c r="B173" s="3123"/>
      <c r="C173" s="3123"/>
      <c r="D173" s="3124"/>
      <c r="E173" s="3125"/>
      <c r="F173" s="3126"/>
      <c r="G173" s="3126"/>
      <c r="H173" s="3126"/>
      <c r="I173" s="633" t="s">
        <v>3715</v>
      </c>
      <c r="J173" s="476" t="s">
        <v>3715</v>
      </c>
      <c r="K173" s="476"/>
      <c r="L173" s="636"/>
      <c r="M173" s="481" t="s">
        <v>3715</v>
      </c>
      <c r="N173" s="3127"/>
      <c r="O173" s="3126"/>
      <c r="P173" s="3126"/>
      <c r="Q173" s="3126"/>
      <c r="R173" s="3126"/>
      <c r="S173" s="3128"/>
      <c r="U173" s="3028"/>
      <c r="V173" s="3028"/>
      <c r="Z173" s="1608">
        <v>173</v>
      </c>
    </row>
    <row r="174" spans="1:26" s="144" customFormat="1" ht="23.25" customHeight="1">
      <c r="A174" s="3122" t="s">
        <v>2978</v>
      </c>
      <c r="B174" s="3123"/>
      <c r="C174" s="3123"/>
      <c r="D174" s="3124"/>
      <c r="E174" s="3125"/>
      <c r="F174" s="3126"/>
      <c r="G174" s="3126"/>
      <c r="H174" s="3126"/>
      <c r="I174" s="633" t="s">
        <v>3715</v>
      </c>
      <c r="J174" s="476" t="s">
        <v>3715</v>
      </c>
      <c r="K174" s="476"/>
      <c r="L174" s="636"/>
      <c r="M174" s="481" t="s">
        <v>3715</v>
      </c>
      <c r="N174" s="3127"/>
      <c r="O174" s="3126"/>
      <c r="P174" s="3126"/>
      <c r="Q174" s="3126"/>
      <c r="R174" s="3126"/>
      <c r="S174" s="3128"/>
      <c r="U174" s="3028"/>
      <c r="V174" s="3028"/>
      <c r="Z174" s="1608">
        <v>174</v>
      </c>
    </row>
    <row r="175" spans="1:26" s="144" customFormat="1" ht="23.25" customHeight="1">
      <c r="A175" s="3122" t="s">
        <v>2979</v>
      </c>
      <c r="B175" s="3123"/>
      <c r="C175" s="3123"/>
      <c r="D175" s="3124"/>
      <c r="E175" s="3125"/>
      <c r="F175" s="3126"/>
      <c r="G175" s="3126"/>
      <c r="H175" s="3126"/>
      <c r="I175" s="633" t="s">
        <v>3715</v>
      </c>
      <c r="J175" s="476" t="s">
        <v>3715</v>
      </c>
      <c r="K175" s="476"/>
      <c r="L175" s="636"/>
      <c r="M175" s="481" t="s">
        <v>3715</v>
      </c>
      <c r="N175" s="3127"/>
      <c r="O175" s="3126"/>
      <c r="P175" s="3126"/>
      <c r="Q175" s="3126"/>
      <c r="R175" s="3126"/>
      <c r="S175" s="3128"/>
      <c r="U175" s="3028"/>
      <c r="V175" s="3028"/>
      <c r="Z175" s="1608">
        <v>175</v>
      </c>
    </row>
    <row r="176" spans="1:26" s="144" customFormat="1" ht="23.25" customHeight="1">
      <c r="A176" s="3122" t="s">
        <v>2562</v>
      </c>
      <c r="B176" s="3123"/>
      <c r="C176" s="3123"/>
      <c r="D176" s="3124"/>
      <c r="E176" s="3125"/>
      <c r="F176" s="3126"/>
      <c r="G176" s="3126"/>
      <c r="H176" s="3126"/>
      <c r="I176" s="633" t="s">
        <v>3715</v>
      </c>
      <c r="J176" s="476" t="s">
        <v>3715</v>
      </c>
      <c r="K176" s="476"/>
      <c r="L176" s="636"/>
      <c r="M176" s="481" t="s">
        <v>3715</v>
      </c>
      <c r="N176" s="3127"/>
      <c r="O176" s="3126"/>
      <c r="P176" s="3126"/>
      <c r="Q176" s="3126"/>
      <c r="R176" s="3126"/>
      <c r="S176" s="3128"/>
      <c r="U176" s="3028"/>
      <c r="V176" s="3028"/>
      <c r="Z176" s="1608">
        <v>176</v>
      </c>
    </row>
    <row r="177" spans="1:26" s="144" customFormat="1" ht="23.25" customHeight="1">
      <c r="A177" s="3122" t="s">
        <v>606</v>
      </c>
      <c r="B177" s="3123"/>
      <c r="C177" s="3123"/>
      <c r="D177" s="3124"/>
      <c r="E177" s="3125"/>
      <c r="F177" s="3126"/>
      <c r="G177" s="3126"/>
      <c r="H177" s="3126"/>
      <c r="I177" s="633" t="s">
        <v>3715</v>
      </c>
      <c r="J177" s="476" t="s">
        <v>3715</v>
      </c>
      <c r="K177" s="476"/>
      <c r="L177" s="636"/>
      <c r="M177" s="481" t="s">
        <v>3715</v>
      </c>
      <c r="N177" s="3127"/>
      <c r="O177" s="3126"/>
      <c r="P177" s="3126"/>
      <c r="Q177" s="3126"/>
      <c r="R177" s="3126"/>
      <c r="S177" s="3128"/>
      <c r="U177" s="3028"/>
      <c r="V177" s="3028"/>
      <c r="Z177" s="1608">
        <v>177</v>
      </c>
    </row>
    <row r="178" spans="1:26" s="144" customFormat="1" ht="23.25" customHeight="1">
      <c r="A178" s="3122" t="s">
        <v>2563</v>
      </c>
      <c r="B178" s="3123"/>
      <c r="C178" s="3123"/>
      <c r="D178" s="3124"/>
      <c r="E178" s="3125"/>
      <c r="F178" s="3126"/>
      <c r="G178" s="3126"/>
      <c r="H178" s="3126"/>
      <c r="I178" s="633" t="s">
        <v>3715</v>
      </c>
      <c r="J178" s="476" t="s">
        <v>3715</v>
      </c>
      <c r="K178" s="476"/>
      <c r="L178" s="636"/>
      <c r="M178" s="481" t="s">
        <v>3715</v>
      </c>
      <c r="N178" s="3127"/>
      <c r="O178" s="3126"/>
      <c r="P178" s="3126"/>
      <c r="Q178" s="3126"/>
      <c r="R178" s="3126"/>
      <c r="S178" s="3128"/>
      <c r="Z178" s="1608">
        <v>178</v>
      </c>
    </row>
    <row r="179" spans="1:26" s="144" customFormat="1" ht="23.25" customHeight="1">
      <c r="A179" s="3122" t="s">
        <v>2564</v>
      </c>
      <c r="B179" s="3123"/>
      <c r="C179" s="3123"/>
      <c r="D179" s="3124"/>
      <c r="E179" s="3125"/>
      <c r="F179" s="3126"/>
      <c r="G179" s="3126"/>
      <c r="H179" s="3126"/>
      <c r="I179" s="633" t="s">
        <v>3715</v>
      </c>
      <c r="J179" s="476" t="s">
        <v>3715</v>
      </c>
      <c r="K179" s="476"/>
      <c r="L179" s="636"/>
      <c r="M179" s="481" t="s">
        <v>3715</v>
      </c>
      <c r="N179" s="3127"/>
      <c r="O179" s="3126"/>
      <c r="P179" s="3126"/>
      <c r="Q179" s="3126"/>
      <c r="R179" s="3126"/>
      <c r="S179" s="3128"/>
      <c r="Z179" s="1608">
        <v>179</v>
      </c>
    </row>
    <row r="180" spans="1:26" s="144" customFormat="1" ht="23.25" customHeight="1">
      <c r="A180" s="3122" t="s">
        <v>2566</v>
      </c>
      <c r="B180" s="3123"/>
      <c r="C180" s="3123"/>
      <c r="D180" s="3124"/>
      <c r="E180" s="3125"/>
      <c r="F180" s="3126"/>
      <c r="G180" s="3126"/>
      <c r="H180" s="3126"/>
      <c r="I180" s="633" t="s">
        <v>3715</v>
      </c>
      <c r="J180" s="476" t="s">
        <v>3715</v>
      </c>
      <c r="K180" s="476"/>
      <c r="L180" s="636"/>
      <c r="M180" s="481" t="s">
        <v>3715</v>
      </c>
      <c r="N180" s="3127"/>
      <c r="O180" s="3126"/>
      <c r="P180" s="3126"/>
      <c r="Q180" s="3126"/>
      <c r="R180" s="3126"/>
      <c r="S180" s="3128"/>
      <c r="Z180" s="1608">
        <v>180</v>
      </c>
    </row>
    <row r="181" spans="1:26" s="144" customFormat="1" ht="23.25" customHeight="1">
      <c r="A181" s="3122" t="s">
        <v>2565</v>
      </c>
      <c r="B181" s="3123"/>
      <c r="C181" s="3123"/>
      <c r="D181" s="3124"/>
      <c r="E181" s="3125"/>
      <c r="F181" s="3126"/>
      <c r="G181" s="3126"/>
      <c r="H181" s="3126"/>
      <c r="I181" s="633" t="s">
        <v>3715</v>
      </c>
      <c r="J181" s="476" t="s">
        <v>3715</v>
      </c>
      <c r="K181" s="476"/>
      <c r="L181" s="636"/>
      <c r="M181" s="481" t="s">
        <v>3715</v>
      </c>
      <c r="N181" s="3127"/>
      <c r="O181" s="3126"/>
      <c r="P181" s="3126"/>
      <c r="Q181" s="3126"/>
      <c r="R181" s="3126"/>
      <c r="S181" s="3128"/>
      <c r="Z181" s="1608">
        <v>181</v>
      </c>
    </row>
    <row r="182" spans="1:26" s="144" customFormat="1" ht="23.25" customHeight="1">
      <c r="A182" s="3122" t="s">
        <v>1429</v>
      </c>
      <c r="B182" s="3123"/>
      <c r="C182" s="3123"/>
      <c r="D182" s="3124"/>
      <c r="E182" s="3125"/>
      <c r="F182" s="3126"/>
      <c r="G182" s="3126"/>
      <c r="H182" s="3126"/>
      <c r="I182" s="633" t="s">
        <v>3715</v>
      </c>
      <c r="J182" s="476" t="s">
        <v>3715</v>
      </c>
      <c r="K182" s="476"/>
      <c r="L182" s="636"/>
      <c r="M182" s="481" t="s">
        <v>3715</v>
      </c>
      <c r="N182" s="3127"/>
      <c r="O182" s="3126"/>
      <c r="P182" s="3126"/>
      <c r="Q182" s="3126"/>
      <c r="R182" s="3126"/>
      <c r="S182" s="3128"/>
      <c r="Z182" s="1608">
        <v>182</v>
      </c>
    </row>
    <row r="183" spans="1:26" s="144" customFormat="1" ht="23.25" customHeight="1">
      <c r="A183" s="3161" t="s">
        <v>2567</v>
      </c>
      <c r="B183" s="3162"/>
      <c r="C183" s="3162"/>
      <c r="D183" s="3163"/>
      <c r="E183" s="3164"/>
      <c r="F183" s="3165"/>
      <c r="G183" s="3165"/>
      <c r="H183" s="3165"/>
      <c r="I183" s="634" t="s">
        <v>3715</v>
      </c>
      <c r="J183" s="477" t="s">
        <v>3715</v>
      </c>
      <c r="K183" s="477"/>
      <c r="L183" s="637"/>
      <c r="M183" s="482" t="s">
        <v>3715</v>
      </c>
      <c r="N183" s="3166"/>
      <c r="O183" s="3165"/>
      <c r="P183" s="3165"/>
      <c r="Q183" s="3165"/>
      <c r="R183" s="3165"/>
      <c r="S183" s="3167"/>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68"/>
      <c r="B186" s="3169"/>
      <c r="C186" s="3169"/>
      <c r="D186" s="3169"/>
      <c r="E186" s="3169"/>
      <c r="F186" s="3169"/>
      <c r="G186" s="3169"/>
      <c r="H186" s="3169"/>
      <c r="I186" s="3169"/>
      <c r="J186" s="3169"/>
      <c r="K186" s="3169"/>
      <c r="L186" s="3169"/>
      <c r="M186" s="3170"/>
      <c r="N186" s="3171"/>
      <c r="O186" s="3172"/>
      <c r="P186" s="3172"/>
      <c r="Q186" s="3172"/>
      <c r="R186" s="3172"/>
      <c r="S186" s="3173"/>
      <c r="T186" s="3028" t="s">
        <v>2445</v>
      </c>
      <c r="U186" s="3028"/>
      <c r="V186" s="3028"/>
      <c r="W186" s="3028"/>
      <c r="X186" s="3028"/>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28"/>
      <c r="U187" s="3028"/>
      <c r="V187" s="3028"/>
      <c r="W187" s="3028"/>
      <c r="X187" s="3028"/>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13" t="s">
        <v>673</v>
      </c>
      <c r="B2" s="4914"/>
      <c r="C2" s="4914"/>
      <c r="D2" s="4914"/>
      <c r="E2" s="4914"/>
      <c r="F2" s="4914"/>
      <c r="G2" s="4914"/>
      <c r="H2" s="4914"/>
      <c r="I2" s="4914"/>
      <c r="J2" s="4914"/>
      <c r="K2" s="4914"/>
      <c r="L2" s="4914"/>
      <c r="M2" s="4914"/>
      <c r="N2" s="4914"/>
      <c r="O2" s="4914"/>
      <c r="P2" s="4914"/>
      <c r="Q2" s="4914"/>
      <c r="R2" s="4915"/>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4749</v>
      </c>
      <c r="B7" s="225"/>
      <c r="C7" s="147"/>
      <c r="D7" s="147"/>
      <c r="E7" s="144"/>
      <c r="F7" s="147" t="s">
        <v>4750</v>
      </c>
      <c r="G7" s="147"/>
      <c r="H7" s="144"/>
      <c r="I7" s="144"/>
      <c r="J7" s="147" t="s">
        <v>4751</v>
      </c>
      <c r="K7" s="147"/>
      <c r="L7" s="147" t="s">
        <v>4752</v>
      </c>
      <c r="M7" s="147"/>
      <c r="N7" s="147"/>
      <c r="O7" s="147"/>
      <c r="P7" s="144"/>
      <c r="Q7" s="235">
        <v>0</v>
      </c>
      <c r="R7" s="203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4748</v>
      </c>
      <c r="B9" s="147"/>
      <c r="C9" s="147"/>
      <c r="D9" s="144"/>
      <c r="E9" s="144"/>
      <c r="F9" s="147" t="s">
        <v>4750</v>
      </c>
      <c r="G9" s="147"/>
      <c r="H9" s="144"/>
      <c r="I9" s="144"/>
      <c r="J9" s="147" t="s">
        <v>4753</v>
      </c>
      <c r="K9" s="147"/>
      <c r="L9" s="147" t="s">
        <v>4761</v>
      </c>
      <c r="M9" s="147"/>
      <c r="N9" s="147"/>
      <c r="O9" s="147"/>
      <c r="P9" s="144"/>
      <c r="Q9" s="235">
        <v>0</v>
      </c>
      <c r="R9" s="2039">
        <v>2</v>
      </c>
      <c r="S9" s="144"/>
      <c r="U9" s="144"/>
      <c r="V9" s="699"/>
      <c r="W9" s="699"/>
      <c r="X9" s="148"/>
      <c r="AA9" s="68"/>
      <c r="AB9" s="68"/>
    </row>
    <row r="10" spans="1:28" s="145" customFormat="1" ht="11.65" customHeight="1">
      <c r="A10" s="229"/>
      <c r="B10" s="147"/>
      <c r="C10" s="147"/>
      <c r="D10" s="144"/>
      <c r="E10" s="144"/>
      <c r="F10" s="147"/>
      <c r="G10" s="147"/>
      <c r="H10" s="144"/>
      <c r="I10" s="144"/>
      <c r="J10" s="147" t="s">
        <v>4754</v>
      </c>
      <c r="K10" s="147"/>
      <c r="L10" s="147" t="s">
        <v>4761</v>
      </c>
      <c r="M10" s="147"/>
      <c r="N10" s="147"/>
      <c r="O10" s="147"/>
      <c r="P10" s="144"/>
      <c r="Q10" s="235">
        <v>0</v>
      </c>
      <c r="R10" s="2039">
        <v>1</v>
      </c>
      <c r="S10" s="144"/>
      <c r="U10" s="144"/>
      <c r="V10" s="699"/>
      <c r="W10" s="699"/>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53" t="s">
        <v>4760</v>
      </c>
      <c r="R12" s="2053" t="s">
        <v>4759</v>
      </c>
      <c r="S12" s="147"/>
      <c r="U12" s="144"/>
      <c r="V12" s="699"/>
      <c r="W12" s="699"/>
      <c r="X12" s="148"/>
      <c r="AA12" s="68"/>
      <c r="AB12" s="68"/>
    </row>
    <row r="13" spans="1:28" s="145" customFormat="1" ht="11.65" customHeight="1">
      <c r="A13" s="229"/>
      <c r="B13" s="147"/>
      <c r="C13" s="147"/>
      <c r="D13" s="144"/>
      <c r="E13" s="144"/>
      <c r="F13" s="147" t="s">
        <v>477</v>
      </c>
      <c r="G13" s="147"/>
      <c r="H13" s="144"/>
      <c r="I13" s="144"/>
      <c r="J13" s="147" t="s">
        <v>4140</v>
      </c>
      <c r="K13" s="147"/>
      <c r="L13" s="147" t="s">
        <v>4747</v>
      </c>
      <c r="M13" s="147"/>
      <c r="N13" s="147" t="s">
        <v>4755</v>
      </c>
      <c r="O13" s="147"/>
      <c r="P13" s="144"/>
      <c r="Q13" s="2039">
        <v>1300000</v>
      </c>
      <c r="R13" s="2039">
        <v>1350000</v>
      </c>
      <c r="S13" s="144"/>
      <c r="U13" s="144"/>
      <c r="V13" s="699"/>
      <c r="W13" s="699"/>
      <c r="X13" s="148"/>
      <c r="AA13" s="68"/>
      <c r="AB13" s="68"/>
    </row>
    <row r="14" spans="1:28" s="145" customFormat="1" ht="11.65" customHeight="1">
      <c r="A14" s="229"/>
      <c r="B14" s="147"/>
      <c r="C14" s="147"/>
      <c r="D14" s="144"/>
      <c r="E14" s="144"/>
      <c r="F14" s="147"/>
      <c r="G14" s="147"/>
      <c r="H14" s="144"/>
      <c r="I14" s="144"/>
      <c r="J14" s="147"/>
      <c r="K14" s="147"/>
      <c r="L14" s="147"/>
      <c r="M14" s="147"/>
      <c r="N14" s="147" t="s">
        <v>4756</v>
      </c>
      <c r="O14" s="147"/>
      <c r="P14" s="144"/>
      <c r="Q14" s="2029">
        <v>1170000</v>
      </c>
      <c r="R14" s="2029">
        <v>1215000</v>
      </c>
      <c r="S14" s="144"/>
      <c r="U14" s="144"/>
      <c r="V14" s="699"/>
      <c r="W14" s="699"/>
      <c r="X14" s="148"/>
      <c r="AA14" s="68"/>
      <c r="AB14" s="68"/>
    </row>
    <row r="15" spans="1:28" s="145" customFormat="1" ht="11.65" customHeight="1">
      <c r="A15" s="229"/>
      <c r="B15" s="147"/>
      <c r="C15" s="147"/>
      <c r="D15" s="144"/>
      <c r="E15" s="144"/>
      <c r="F15" s="147"/>
      <c r="G15" s="147"/>
      <c r="H15" s="144"/>
      <c r="I15" s="144"/>
      <c r="J15" s="147"/>
      <c r="K15" s="147"/>
      <c r="L15" s="147" t="s">
        <v>4757</v>
      </c>
      <c r="M15" s="147"/>
      <c r="N15" s="147"/>
      <c r="O15" s="147"/>
      <c r="P15" s="144"/>
      <c r="Q15" s="2029">
        <v>1225000</v>
      </c>
      <c r="R15" s="2029">
        <v>1270000</v>
      </c>
      <c r="S15" s="144"/>
      <c r="U15" s="144"/>
      <c r="V15" s="699"/>
      <c r="W15" s="699"/>
      <c r="X15" s="148"/>
      <c r="AA15" s="68"/>
      <c r="AB15" s="68"/>
    </row>
    <row r="16" spans="1:28" s="145" customFormat="1" ht="11.65" customHeight="1">
      <c r="A16" s="229"/>
      <c r="B16" s="147"/>
      <c r="C16" s="147"/>
      <c r="D16" s="144"/>
      <c r="E16" s="144"/>
      <c r="F16" s="147"/>
      <c r="G16" s="147"/>
      <c r="H16" s="144"/>
      <c r="I16" s="144"/>
      <c r="J16" s="147"/>
      <c r="K16" s="147"/>
      <c r="L16" s="147" t="s">
        <v>4758</v>
      </c>
      <c r="M16" s="147"/>
      <c r="N16" s="147"/>
      <c r="O16" s="147"/>
      <c r="P16" s="147"/>
      <c r="Q16" s="2029">
        <v>1105000</v>
      </c>
      <c r="R16" s="2029">
        <v>1145000</v>
      </c>
      <c r="S16" s="147"/>
      <c r="U16" s="144"/>
      <c r="V16" s="699"/>
      <c r="W16" s="699"/>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699"/>
      <c r="W17" s="699"/>
      <c r="X17" s="148"/>
      <c r="AA17" s="68"/>
      <c r="AB17" s="68"/>
    </row>
    <row r="18" spans="1:28" s="145" customFormat="1" ht="11.65" customHeight="1">
      <c r="A18" s="229"/>
      <c r="B18" s="147"/>
      <c r="C18" s="147"/>
      <c r="D18" s="144"/>
      <c r="E18" s="144"/>
      <c r="F18" s="147"/>
      <c r="G18" s="147"/>
      <c r="H18" s="144"/>
      <c r="I18" s="144"/>
      <c r="J18" s="147" t="s">
        <v>4762</v>
      </c>
      <c r="K18" s="147"/>
      <c r="L18" s="147" t="s">
        <v>4764</v>
      </c>
      <c r="M18" s="147"/>
      <c r="N18" s="147"/>
      <c r="O18" s="147"/>
      <c r="P18" s="147"/>
      <c r="Q18" s="2029" t="s">
        <v>4763</v>
      </c>
      <c r="R18" s="2029">
        <v>40000000</v>
      </c>
      <c r="S18" s="144"/>
      <c r="U18" s="144"/>
      <c r="V18" s="699"/>
      <c r="W18" s="699"/>
      <c r="X18" s="148"/>
      <c r="AA18" s="68"/>
      <c r="AB18" s="68"/>
    </row>
    <row r="19" spans="1:28" s="145" customFormat="1" ht="11.65" customHeight="1">
      <c r="A19" s="229"/>
      <c r="B19" s="147"/>
      <c r="C19" s="147"/>
      <c r="D19" s="144"/>
      <c r="E19" s="144"/>
      <c r="F19" s="147"/>
      <c r="G19" s="147"/>
      <c r="H19" s="144"/>
      <c r="I19" s="144"/>
      <c r="J19" s="147"/>
      <c r="K19" s="147"/>
      <c r="L19" s="902" t="s">
        <v>4769</v>
      </c>
      <c r="M19" s="147"/>
      <c r="N19" s="147"/>
      <c r="O19" s="147"/>
      <c r="P19" s="147"/>
      <c r="Q19" s="147"/>
      <c r="R19" s="147"/>
      <c r="S19" s="144"/>
      <c r="U19" s="144"/>
      <c r="V19" s="699"/>
      <c r="W19" s="699"/>
      <c r="X19" s="148"/>
      <c r="AA19" s="68"/>
      <c r="AB19" s="68"/>
    </row>
    <row r="20" spans="1:28" s="145" customFormat="1" ht="11.65" customHeight="1">
      <c r="A20" s="147"/>
      <c r="B20" s="147"/>
      <c r="C20" s="147"/>
      <c r="D20" s="144"/>
      <c r="E20" s="144"/>
      <c r="L20" s="236" t="s">
        <v>4770</v>
      </c>
      <c r="O20" s="147"/>
      <c r="Q20" s="819" t="s">
        <v>905</v>
      </c>
      <c r="R20" s="2040">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5"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916" t="s">
        <v>4508</v>
      </c>
      <c r="R24" s="4917"/>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3058</v>
      </c>
      <c r="K25" s="234"/>
      <c r="M25" s="234"/>
      <c r="N25" s="234"/>
      <c r="O25" s="147"/>
      <c r="Q25" s="4918">
        <v>0.1</v>
      </c>
      <c r="R25" s="4919"/>
      <c r="S25" s="241"/>
      <c r="T25" s="144"/>
      <c r="U25" s="144"/>
      <c r="V25" s="321"/>
      <c r="W25" s="321"/>
      <c r="X25" s="321"/>
      <c r="AA25" s="68"/>
      <c r="AB25" s="68"/>
    </row>
    <row r="26" spans="1:28" s="145" customFormat="1" ht="12.75" hidden="1" customHeight="1">
      <c r="A26" s="147"/>
      <c r="B26" s="147"/>
      <c r="C26" s="147"/>
      <c r="J26" s="1755" t="s">
        <v>2458</v>
      </c>
      <c r="K26" s="236"/>
      <c r="L26" s="236"/>
      <c r="N26" s="234"/>
      <c r="O26" s="147"/>
      <c r="Q26" s="4920" t="s">
        <v>3781</v>
      </c>
      <c r="R26" s="4920"/>
      <c r="S26" s="144"/>
      <c r="T26" s="144"/>
      <c r="U26" s="144"/>
      <c r="AA26" s="68"/>
      <c r="AB26" s="68"/>
    </row>
    <row r="27" spans="1:28" s="145" customFormat="1" ht="12.75" hidden="1" customHeight="1">
      <c r="A27" s="147"/>
      <c r="B27" s="147"/>
      <c r="C27" s="147"/>
      <c r="K27" s="236" t="s">
        <v>3782</v>
      </c>
      <c r="L27" s="236"/>
      <c r="N27" s="234"/>
      <c r="O27" s="147"/>
      <c r="P27" s="144"/>
      <c r="Q27" s="4921">
        <v>0.2</v>
      </c>
      <c r="R27" s="4922"/>
      <c r="S27" s="144"/>
      <c r="T27" s="144"/>
      <c r="U27" s="144"/>
      <c r="AA27" s="68"/>
      <c r="AB27" s="68"/>
    </row>
    <row r="28" spans="1:28" s="145" customFormat="1" ht="12.75" hidden="1" customHeight="1">
      <c r="A28" s="147"/>
      <c r="B28" s="147"/>
      <c r="C28" s="147"/>
      <c r="K28" s="236" t="s">
        <v>3783</v>
      </c>
      <c r="L28" s="236"/>
      <c r="N28" s="234"/>
      <c r="O28" s="147"/>
      <c r="P28" s="144"/>
      <c r="Q28" s="4911">
        <v>0.15</v>
      </c>
      <c r="R28" s="4912"/>
      <c r="S28" s="144"/>
      <c r="T28" s="144"/>
      <c r="U28" s="144"/>
      <c r="AA28" s="68"/>
      <c r="AB28" s="68"/>
    </row>
    <row r="29" spans="1:28" s="145" customFormat="1" ht="12.75" hidden="1" customHeight="1">
      <c r="A29" s="147"/>
      <c r="B29" s="147"/>
      <c r="C29" s="147"/>
      <c r="K29" s="236" t="s">
        <v>3784</v>
      </c>
      <c r="L29" s="236"/>
      <c r="N29" s="234"/>
      <c r="O29" s="147"/>
      <c r="P29" s="144"/>
      <c r="Q29" s="4911">
        <v>0.15</v>
      </c>
      <c r="R29" s="4912"/>
      <c r="S29" s="144"/>
      <c r="T29" s="144"/>
      <c r="U29" s="144"/>
      <c r="AA29" s="68"/>
      <c r="AB29" s="68"/>
    </row>
    <row r="30" spans="1:28" s="145" customFormat="1" ht="12.75" hidden="1" customHeight="1">
      <c r="A30" s="147"/>
      <c r="B30" s="147"/>
      <c r="C30" s="147"/>
      <c r="K30" s="236" t="s">
        <v>3785</v>
      </c>
      <c r="L30" s="236"/>
      <c r="N30" s="234"/>
      <c r="O30" s="147"/>
      <c r="P30" s="144"/>
      <c r="Q30" s="4911">
        <v>0.1</v>
      </c>
      <c r="R30" s="4912"/>
      <c r="S30" s="144"/>
      <c r="T30" s="144"/>
      <c r="U30" s="144"/>
      <c r="AA30" s="68"/>
      <c r="AB30" s="68"/>
    </row>
    <row r="31" spans="1:28" s="145" customFormat="1" ht="12.75" hidden="1" customHeight="1">
      <c r="A31" s="147"/>
      <c r="B31" s="147"/>
      <c r="C31" s="147"/>
      <c r="K31" s="236" t="s">
        <v>3786</v>
      </c>
      <c r="L31" s="236"/>
      <c r="N31" s="234"/>
      <c r="O31" s="147"/>
      <c r="P31" s="144"/>
      <c r="Q31" s="4925">
        <v>0.1</v>
      </c>
      <c r="R31" s="4926"/>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3098</v>
      </c>
      <c r="H36" s="144"/>
      <c r="I36" s="144"/>
      <c r="J36" s="147" t="s">
        <v>1430</v>
      </c>
      <c r="K36" s="147"/>
      <c r="L36" s="147"/>
      <c r="M36" s="147"/>
      <c r="N36" s="147"/>
      <c r="O36" s="147"/>
      <c r="P36" s="144"/>
      <c r="Q36" s="2045">
        <v>5000</v>
      </c>
      <c r="R36" s="2043" t="s">
        <v>1607</v>
      </c>
      <c r="S36" s="236"/>
      <c r="AA36" s="68"/>
      <c r="AB36" s="68"/>
    </row>
    <row r="37" spans="1:28" s="145" customFormat="1" ht="11.65" customHeight="1">
      <c r="A37" s="144"/>
      <c r="B37" s="147"/>
      <c r="C37" s="147"/>
      <c r="D37" s="144"/>
      <c r="E37" s="144"/>
      <c r="F37" s="147"/>
      <c r="G37" s="147" t="s">
        <v>3097</v>
      </c>
      <c r="H37" s="144"/>
      <c r="I37" s="144"/>
      <c r="J37" s="147" t="s">
        <v>1430</v>
      </c>
      <c r="K37" s="147"/>
      <c r="L37" s="147"/>
      <c r="M37" s="147"/>
      <c r="N37" s="147"/>
      <c r="O37" s="147"/>
      <c r="P37" s="144"/>
      <c r="Q37" s="2046">
        <v>4500</v>
      </c>
      <c r="R37" s="204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45">
        <v>3750</v>
      </c>
      <c r="R38" s="204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47">
        <v>3250</v>
      </c>
      <c r="R39" s="2048" t="s">
        <v>1607</v>
      </c>
      <c r="S39" s="236"/>
      <c r="AA39" s="68"/>
      <c r="AB39" s="68"/>
    </row>
    <row r="40" spans="1:28" s="145" customFormat="1" ht="11.65" customHeight="1">
      <c r="A40" s="147"/>
      <c r="B40" s="147"/>
      <c r="C40" s="147"/>
      <c r="D40" s="144"/>
      <c r="E40" s="144"/>
      <c r="G40" s="147" t="s">
        <v>3230</v>
      </c>
      <c r="H40" s="144"/>
      <c r="I40" s="144"/>
      <c r="J40" s="147" t="s">
        <v>1430</v>
      </c>
      <c r="K40" s="147"/>
      <c r="L40" s="147"/>
      <c r="M40" s="147"/>
      <c r="N40" s="147"/>
      <c r="O40" s="147"/>
      <c r="P40" s="144"/>
      <c r="Q40" s="2046" t="s">
        <v>2844</v>
      </c>
      <c r="R40" s="204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45">
        <v>400</v>
      </c>
      <c r="R41" s="204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47">
        <v>300</v>
      </c>
      <c r="R42" s="2048" t="s">
        <v>1607</v>
      </c>
      <c r="S42" s="236"/>
      <c r="T42" s="236"/>
      <c r="U42" s="236"/>
      <c r="AA42" s="68"/>
      <c r="AB42" s="68"/>
    </row>
    <row r="43" spans="1:28" s="145" customFormat="1" ht="11.65" customHeight="1">
      <c r="A43" s="147"/>
      <c r="B43" s="147"/>
      <c r="C43" s="147"/>
      <c r="D43" s="147"/>
      <c r="E43" s="144"/>
      <c r="F43" s="147" t="s">
        <v>2971</v>
      </c>
      <c r="G43" s="147"/>
      <c r="H43" s="144"/>
      <c r="I43" s="144"/>
      <c r="J43" s="147" t="s">
        <v>1430</v>
      </c>
      <c r="K43" s="147"/>
      <c r="L43" s="147"/>
      <c r="M43" s="147"/>
      <c r="N43" s="147"/>
      <c r="O43" s="147"/>
      <c r="P43" s="144"/>
      <c r="Q43" s="2047">
        <v>470</v>
      </c>
      <c r="R43" s="204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46">
        <v>420</v>
      </c>
      <c r="R44" s="2044"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3205</v>
      </c>
      <c r="K47" s="147"/>
      <c r="L47" s="147"/>
      <c r="M47" s="147"/>
      <c r="N47" s="147"/>
      <c r="O47" s="147"/>
      <c r="P47" s="144"/>
      <c r="Q47" s="2039">
        <v>35000</v>
      </c>
      <c r="R47" s="235" t="s">
        <v>476</v>
      </c>
      <c r="S47" s="236"/>
      <c r="T47" s="236"/>
      <c r="U47" s="236"/>
      <c r="AA47" s="68"/>
      <c r="AB47" s="68"/>
    </row>
    <row r="48" spans="1:28" s="145" customFormat="1" ht="11.65" customHeight="1">
      <c r="A48" s="147"/>
      <c r="B48" s="147"/>
      <c r="C48" s="147"/>
      <c r="D48" s="144"/>
      <c r="E48" s="144"/>
      <c r="F48" s="147" t="s">
        <v>4000</v>
      </c>
      <c r="G48" s="147"/>
      <c r="H48" s="144"/>
      <c r="I48" s="144"/>
      <c r="J48" s="147" t="s">
        <v>4001</v>
      </c>
      <c r="K48" s="147"/>
      <c r="L48" s="147"/>
      <c r="M48" s="147"/>
      <c r="N48" s="147"/>
      <c r="O48" s="147"/>
      <c r="P48" s="144"/>
      <c r="Q48" s="819" t="s">
        <v>1607</v>
      </c>
      <c r="R48" s="203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3231</v>
      </c>
      <c r="K49" s="147"/>
      <c r="L49" s="147"/>
      <c r="M49" s="147"/>
      <c r="N49" s="147"/>
      <c r="O49" s="147"/>
      <c r="P49" s="144"/>
      <c r="Q49" s="2034" t="s">
        <v>1607</v>
      </c>
      <c r="R49" s="2035">
        <v>0.05</v>
      </c>
      <c r="S49" s="236"/>
      <c r="T49" s="236"/>
      <c r="U49" s="236"/>
      <c r="AA49" s="68"/>
      <c r="AB49" s="68"/>
    </row>
    <row r="50" spans="1:28" s="145" customFormat="1" ht="11.65" customHeight="1">
      <c r="A50" s="147"/>
      <c r="B50" s="147"/>
      <c r="C50" s="147"/>
      <c r="D50" s="144"/>
      <c r="E50" s="144"/>
      <c r="F50" s="147" t="s">
        <v>264</v>
      </c>
      <c r="G50" s="147"/>
      <c r="H50" s="144"/>
      <c r="I50" s="144"/>
      <c r="J50" s="147" t="s">
        <v>3231</v>
      </c>
      <c r="K50" s="147"/>
      <c r="L50" s="147"/>
      <c r="M50" s="147"/>
      <c r="N50" s="147"/>
      <c r="O50" s="147"/>
      <c r="P50" s="144"/>
      <c r="Q50" s="2032" t="s">
        <v>1607</v>
      </c>
      <c r="R50" s="2036">
        <v>0.1</v>
      </c>
      <c r="S50" s="236"/>
      <c r="T50" s="236"/>
      <c r="U50" s="236"/>
      <c r="AA50" s="68"/>
      <c r="AB50" s="68"/>
    </row>
    <row r="51" spans="1:28" s="145" customFormat="1" ht="11.65" customHeight="1">
      <c r="A51" s="147"/>
      <c r="B51" s="147"/>
      <c r="C51" s="147"/>
      <c r="D51" s="144"/>
      <c r="E51" s="144"/>
      <c r="F51" s="147" t="s">
        <v>4765</v>
      </c>
      <c r="G51" s="147"/>
      <c r="H51" s="144"/>
      <c r="I51" s="144"/>
      <c r="J51" s="147" t="s">
        <v>3231</v>
      </c>
      <c r="K51" s="147"/>
      <c r="L51" s="147"/>
      <c r="M51" s="147"/>
      <c r="N51" s="147"/>
      <c r="O51" s="147"/>
      <c r="P51" s="144"/>
      <c r="Q51" s="2033">
        <v>0.03</v>
      </c>
      <c r="R51" s="2033"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3232</v>
      </c>
      <c r="K52" s="147"/>
      <c r="L52" s="147"/>
      <c r="M52" s="147"/>
      <c r="N52" s="147"/>
      <c r="O52" s="147"/>
      <c r="P52" s="144"/>
      <c r="Q52" s="235" t="s">
        <v>1607</v>
      </c>
      <c r="R52" s="204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3232</v>
      </c>
      <c r="K53" s="147"/>
      <c r="L53" s="147"/>
      <c r="M53" s="147"/>
      <c r="N53" s="147"/>
      <c r="O53" s="147"/>
      <c r="P53" s="144"/>
      <c r="Q53" s="235" t="s">
        <v>1607</v>
      </c>
      <c r="R53" s="2040">
        <v>0.02</v>
      </c>
      <c r="S53" s="236"/>
      <c r="T53" s="236"/>
      <c r="U53" s="236"/>
      <c r="AA53" s="68"/>
      <c r="AB53" s="68"/>
    </row>
    <row r="54" spans="1:28" s="145" customFormat="1" ht="11.65" customHeight="1">
      <c r="A54" s="147"/>
      <c r="B54" s="147" t="s">
        <v>2503</v>
      </c>
      <c r="C54" s="147"/>
      <c r="D54" s="144"/>
      <c r="E54" s="144"/>
      <c r="F54" s="147" t="s">
        <v>1607</v>
      </c>
      <c r="G54" s="147"/>
      <c r="H54" s="144"/>
      <c r="I54" s="144"/>
      <c r="J54" s="147" t="s">
        <v>3232</v>
      </c>
      <c r="K54" s="147"/>
      <c r="L54" s="147"/>
      <c r="M54" s="147"/>
      <c r="N54" s="147"/>
      <c r="O54" s="147"/>
      <c r="P54" s="144"/>
      <c r="Q54" s="235" t="s">
        <v>1607</v>
      </c>
      <c r="R54" s="204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65"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4845</v>
      </c>
      <c r="D57" s="147"/>
      <c r="E57" s="144"/>
      <c r="F57" s="236" t="s">
        <v>4849</v>
      </c>
      <c r="G57" s="147"/>
      <c r="H57" s="144"/>
      <c r="I57" s="144"/>
      <c r="K57" s="147"/>
      <c r="L57" s="147"/>
      <c r="M57" s="147"/>
      <c r="N57" s="147"/>
      <c r="O57" s="147"/>
      <c r="P57" s="144"/>
      <c r="Q57" s="4927">
        <v>2000</v>
      </c>
      <c r="R57" s="4928"/>
      <c r="S57" s="236"/>
      <c r="T57" s="236"/>
      <c r="U57" s="236"/>
      <c r="AA57" s="68"/>
      <c r="AB57" s="68"/>
    </row>
    <row r="58" spans="1:28" s="145" customFormat="1" ht="11.65" customHeight="1">
      <c r="A58" s="147"/>
      <c r="B58" s="147"/>
      <c r="C58" s="236" t="s">
        <v>4846</v>
      </c>
      <c r="D58" s="147"/>
      <c r="E58" s="144"/>
      <c r="F58" s="147" t="s">
        <v>4847</v>
      </c>
      <c r="G58" s="147"/>
      <c r="H58" s="144"/>
      <c r="I58" s="144"/>
      <c r="J58" s="147" t="s">
        <v>4850</v>
      </c>
      <c r="K58" s="147"/>
      <c r="L58" s="147"/>
      <c r="M58" s="147" t="s">
        <v>1125</v>
      </c>
      <c r="N58" s="147"/>
      <c r="O58" s="147"/>
      <c r="P58" s="144"/>
      <c r="Q58" s="4929">
        <v>10000</v>
      </c>
      <c r="R58" s="4930"/>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923">
        <v>8000</v>
      </c>
      <c r="R59" s="4924"/>
      <c r="S59" s="236"/>
      <c r="T59" s="236"/>
      <c r="U59" s="236"/>
      <c r="AA59" s="68"/>
      <c r="AB59" s="68"/>
    </row>
    <row r="60" spans="1:28" s="145" customFormat="1" ht="11.65" customHeight="1">
      <c r="A60" s="147"/>
      <c r="B60" s="147"/>
      <c r="C60" s="147"/>
      <c r="D60" s="147"/>
      <c r="E60" s="144"/>
      <c r="G60" s="147"/>
      <c r="H60" s="144"/>
      <c r="I60" s="144"/>
      <c r="J60" s="236" t="s">
        <v>4848</v>
      </c>
      <c r="K60" s="147"/>
      <c r="L60" s="147"/>
      <c r="M60" s="147" t="s">
        <v>1125</v>
      </c>
      <c r="N60" s="147"/>
      <c r="O60" s="147"/>
      <c r="P60" s="144"/>
      <c r="Q60" s="4923">
        <v>10000</v>
      </c>
      <c r="R60" s="4924"/>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931">
        <v>8000</v>
      </c>
      <c r="R61" s="4932"/>
      <c r="S61" s="236"/>
      <c r="T61" s="236"/>
      <c r="U61" s="236"/>
      <c r="AA61" s="68"/>
      <c r="AB61" s="68"/>
    </row>
    <row r="62" spans="1:28" s="145" customFormat="1" ht="11.65" customHeight="1">
      <c r="A62" s="147"/>
      <c r="B62" s="147"/>
      <c r="C62" s="147" t="s">
        <v>4851</v>
      </c>
      <c r="D62" s="147"/>
      <c r="E62" s="144"/>
      <c r="F62" s="147" t="s">
        <v>3235</v>
      </c>
      <c r="G62" s="147"/>
      <c r="H62" s="144"/>
      <c r="I62" s="144"/>
      <c r="K62" s="147"/>
      <c r="L62" s="147"/>
      <c r="M62" s="147"/>
      <c r="N62" s="147"/>
      <c r="O62" s="147"/>
      <c r="P62" s="144"/>
      <c r="Q62" s="4929">
        <v>2500</v>
      </c>
      <c r="R62" s="4930"/>
      <c r="S62" s="236"/>
      <c r="T62" s="236"/>
      <c r="U62" s="236"/>
      <c r="AA62" s="68"/>
      <c r="AB62" s="68"/>
    </row>
    <row r="63" spans="1:28" s="145" customFormat="1" ht="11.65" customHeight="1">
      <c r="A63" s="147"/>
      <c r="B63" s="147"/>
      <c r="C63" s="147"/>
      <c r="D63" s="147"/>
      <c r="E63" s="144"/>
      <c r="F63" s="147" t="s">
        <v>3234</v>
      </c>
      <c r="G63" s="147"/>
      <c r="H63" s="144"/>
      <c r="I63" s="144"/>
      <c r="K63" s="147"/>
      <c r="L63" s="147"/>
      <c r="M63" s="147"/>
      <c r="N63" s="147"/>
      <c r="O63" s="147"/>
      <c r="P63" s="144"/>
      <c r="Q63" s="4923">
        <v>2500</v>
      </c>
      <c r="R63" s="4924"/>
      <c r="S63" s="236"/>
      <c r="T63" s="236"/>
      <c r="U63" s="236"/>
      <c r="AA63" s="68"/>
      <c r="AB63" s="68"/>
    </row>
    <row r="64" spans="1:28" s="145" customFormat="1" ht="11.65" customHeight="1">
      <c r="A64" s="147"/>
      <c r="B64" s="147"/>
      <c r="C64" s="147"/>
      <c r="D64" s="147"/>
      <c r="E64" s="144"/>
      <c r="F64" s="236" t="s">
        <v>4852</v>
      </c>
      <c r="G64" s="147"/>
      <c r="H64" s="144"/>
      <c r="I64" s="144"/>
      <c r="Q64" s="4923">
        <v>1500</v>
      </c>
      <c r="R64" s="4924"/>
      <c r="S64" s="236"/>
      <c r="T64" s="236"/>
      <c r="U64" s="236"/>
      <c r="AA64" s="68"/>
      <c r="AB64" s="68"/>
    </row>
    <row r="65" spans="1:28" s="145" customFormat="1" ht="11.65" customHeight="1">
      <c r="A65" s="144"/>
      <c r="B65" s="236"/>
      <c r="C65" s="147"/>
      <c r="D65" s="147"/>
      <c r="E65" s="144"/>
      <c r="F65" s="147" t="s">
        <v>4853</v>
      </c>
      <c r="G65" s="147"/>
      <c r="H65" s="144"/>
      <c r="I65" s="144"/>
      <c r="J65" s="147" t="s">
        <v>4854</v>
      </c>
      <c r="K65" s="147"/>
      <c r="L65" s="147"/>
      <c r="M65" s="147"/>
      <c r="N65" s="147"/>
      <c r="O65" s="147"/>
      <c r="P65" s="144"/>
      <c r="Q65" s="4923">
        <v>15000</v>
      </c>
      <c r="R65" s="4924"/>
      <c r="S65" s="236"/>
      <c r="T65" s="236"/>
      <c r="U65" s="236"/>
      <c r="AA65" s="68"/>
      <c r="AB65" s="68"/>
    </row>
    <row r="66" spans="1:28" s="145" customFormat="1" ht="11.65" customHeight="1">
      <c r="A66" s="147"/>
      <c r="B66" s="147"/>
      <c r="C66" s="147"/>
      <c r="D66" s="147"/>
      <c r="E66" s="144"/>
      <c r="F66" s="147" t="s">
        <v>3236</v>
      </c>
      <c r="G66" s="147"/>
      <c r="H66" s="144"/>
      <c r="I66" s="144"/>
      <c r="K66" s="147"/>
      <c r="L66" s="147"/>
      <c r="M66" s="147"/>
      <c r="N66" s="147"/>
      <c r="O66" s="147"/>
      <c r="P66" s="144"/>
      <c r="Q66" s="4935">
        <v>1500</v>
      </c>
      <c r="R66" s="4936"/>
      <c r="S66" s="236"/>
      <c r="T66" s="236"/>
      <c r="U66" s="236"/>
      <c r="AA66" s="68"/>
      <c r="AB66" s="68"/>
    </row>
    <row r="67" spans="1:28" s="145" customFormat="1" ht="11.65" customHeight="1">
      <c r="A67" s="144"/>
      <c r="B67" s="236"/>
      <c r="C67" s="147"/>
      <c r="D67" s="147"/>
      <c r="E67" s="144"/>
      <c r="F67" s="147" t="s">
        <v>4855</v>
      </c>
      <c r="G67" s="147"/>
      <c r="H67" s="144"/>
      <c r="I67" s="144"/>
      <c r="J67" s="147"/>
      <c r="K67" s="147"/>
      <c r="L67" s="147"/>
      <c r="M67" s="147"/>
      <c r="N67" s="147"/>
      <c r="O67" s="147"/>
      <c r="P67" s="144"/>
      <c r="Q67" s="4937" t="s">
        <v>4857</v>
      </c>
      <c r="R67" s="4938"/>
      <c r="S67" s="236"/>
      <c r="T67" s="236"/>
      <c r="U67" s="236"/>
      <c r="AA67" s="68"/>
      <c r="AB67" s="68"/>
    </row>
    <row r="68" spans="1:28" s="145" customFormat="1" ht="11.65" customHeight="1">
      <c r="A68" s="144"/>
      <c r="B68" s="236"/>
      <c r="C68" s="147"/>
      <c r="D68" s="147"/>
      <c r="E68" s="144"/>
      <c r="F68" s="147" t="s">
        <v>4856</v>
      </c>
      <c r="G68" s="147"/>
      <c r="H68" s="144"/>
      <c r="I68" s="144"/>
      <c r="J68" s="147"/>
      <c r="K68" s="147"/>
      <c r="L68" s="147"/>
      <c r="M68" s="147"/>
      <c r="N68" s="147"/>
      <c r="O68" s="147"/>
      <c r="P68" s="144"/>
      <c r="Q68" s="4939" t="s">
        <v>4857</v>
      </c>
      <c r="R68" s="4940"/>
      <c r="S68" s="236"/>
      <c r="T68" s="236"/>
      <c r="U68" s="236"/>
      <c r="AA68" s="68"/>
      <c r="AB68" s="68"/>
    </row>
    <row r="69" spans="1:28" s="145" customFormat="1" ht="11.65" customHeight="1">
      <c r="A69" s="147"/>
      <c r="B69" s="147"/>
      <c r="D69" s="147"/>
      <c r="E69" s="144"/>
      <c r="F69" s="147" t="s">
        <v>3233</v>
      </c>
      <c r="G69" s="147"/>
      <c r="H69" s="144"/>
      <c r="I69" s="144"/>
      <c r="J69" s="147"/>
      <c r="K69" s="147"/>
      <c r="L69" s="147"/>
      <c r="M69" s="147"/>
      <c r="N69" s="147"/>
      <c r="O69" s="147"/>
      <c r="P69" s="144"/>
      <c r="Q69" s="4941">
        <v>1500</v>
      </c>
      <c r="R69" s="4942"/>
      <c r="S69" s="236"/>
      <c r="T69" s="236"/>
      <c r="U69" s="236"/>
      <c r="AA69" s="68"/>
      <c r="AB69" s="68"/>
    </row>
    <row r="70" spans="1:28" s="145" customFormat="1" ht="11.65" customHeight="1">
      <c r="A70" s="147"/>
      <c r="C70" s="147" t="s">
        <v>4858</v>
      </c>
      <c r="D70" s="144"/>
      <c r="E70" s="144"/>
      <c r="F70" s="147" t="s">
        <v>4638</v>
      </c>
      <c r="H70" s="147"/>
      <c r="I70" s="144"/>
      <c r="J70" s="147" t="s">
        <v>888</v>
      </c>
      <c r="K70" s="147"/>
      <c r="L70" s="147"/>
      <c r="M70" s="147"/>
      <c r="N70" s="147"/>
      <c r="O70" s="147"/>
      <c r="P70" s="144"/>
      <c r="Q70" s="4943">
        <v>0.08</v>
      </c>
      <c r="R70" s="4943"/>
      <c r="S70" s="236"/>
      <c r="T70" s="236"/>
      <c r="U70" s="236"/>
      <c r="AA70" s="68"/>
      <c r="AB70" s="68"/>
    </row>
    <row r="71" spans="1:28" s="145" customFormat="1" ht="11.65" customHeight="1">
      <c r="A71" s="147"/>
      <c r="C71" s="147"/>
      <c r="D71" s="144"/>
      <c r="E71" s="144"/>
      <c r="F71" s="147" t="s">
        <v>3999</v>
      </c>
      <c r="H71" s="147"/>
      <c r="I71" s="144"/>
      <c r="J71" s="147" t="s">
        <v>888</v>
      </c>
      <c r="K71" s="147"/>
      <c r="L71" s="147"/>
      <c r="M71" s="147"/>
      <c r="N71" s="147"/>
      <c r="O71" s="147"/>
      <c r="P71" s="144"/>
      <c r="Q71" s="4944">
        <v>0.08</v>
      </c>
      <c r="R71" s="4944"/>
      <c r="S71" s="236"/>
      <c r="T71" s="236"/>
      <c r="U71" s="236"/>
      <c r="AA71" s="68"/>
      <c r="AB71" s="68"/>
    </row>
    <row r="72" spans="1:28" s="145" customFormat="1" ht="11.65" customHeight="1">
      <c r="A72" s="147"/>
      <c r="C72" s="147"/>
      <c r="D72" s="144"/>
      <c r="E72" s="144"/>
      <c r="F72" s="147" t="s">
        <v>4859</v>
      </c>
      <c r="H72" s="147"/>
      <c r="I72" s="144"/>
      <c r="J72" s="147"/>
      <c r="K72" s="147"/>
      <c r="L72" s="147"/>
      <c r="M72" s="147"/>
      <c r="N72" s="147"/>
      <c r="O72" s="147"/>
      <c r="P72" s="144"/>
      <c r="Q72" s="4923">
        <v>2500</v>
      </c>
      <c r="R72" s="4924"/>
      <c r="S72" s="236"/>
      <c r="T72" s="236"/>
      <c r="U72" s="236"/>
      <c r="AA72" s="68"/>
      <c r="AB72" s="68"/>
    </row>
    <row r="73" spans="1:28" s="145" customFormat="1" ht="11.65" customHeight="1">
      <c r="A73" s="147"/>
      <c r="B73" s="147"/>
      <c r="C73" s="147"/>
      <c r="D73" s="144"/>
      <c r="E73" s="144"/>
      <c r="F73" s="147" t="s">
        <v>4639</v>
      </c>
      <c r="I73" s="144"/>
      <c r="J73" s="147" t="s">
        <v>1635</v>
      </c>
      <c r="K73" s="147"/>
      <c r="L73" s="147"/>
      <c r="M73" s="147"/>
      <c r="N73" s="147"/>
      <c r="O73" s="147"/>
      <c r="P73" s="144"/>
      <c r="Q73" s="4923">
        <v>8000</v>
      </c>
      <c r="R73" s="4924"/>
      <c r="S73" s="236"/>
      <c r="T73" s="236"/>
      <c r="U73" s="236"/>
      <c r="AA73" s="68"/>
      <c r="AB73" s="68"/>
    </row>
    <row r="74" spans="1:28" s="145" customFormat="1" ht="11.65" customHeight="1">
      <c r="A74" s="147"/>
      <c r="C74" s="147" t="s">
        <v>4640</v>
      </c>
      <c r="D74" s="144"/>
      <c r="E74" s="144"/>
      <c r="F74" s="147" t="s">
        <v>889</v>
      </c>
      <c r="H74" s="147" t="s">
        <v>1502</v>
      </c>
      <c r="I74" s="144"/>
      <c r="J74" s="147" t="s">
        <v>1430</v>
      </c>
      <c r="K74" s="147"/>
      <c r="L74" s="147"/>
      <c r="M74" s="147"/>
      <c r="N74" s="147"/>
      <c r="O74" s="147"/>
      <c r="P74" s="144"/>
      <c r="Q74" s="4923">
        <v>800</v>
      </c>
      <c r="R74" s="4924"/>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923">
        <v>1000</v>
      </c>
      <c r="R75" s="4924"/>
      <c r="S75" s="236"/>
      <c r="T75" s="236"/>
      <c r="U75" s="236"/>
      <c r="AA75" s="68"/>
      <c r="AB75" s="68"/>
    </row>
    <row r="76" spans="1:28" s="145" customFormat="1" ht="11.65" customHeight="1">
      <c r="A76" s="147"/>
      <c r="B76" s="147"/>
      <c r="C76" s="147"/>
      <c r="D76" s="144"/>
      <c r="E76" s="144"/>
      <c r="H76" s="147" t="s">
        <v>2440</v>
      </c>
      <c r="I76" s="144"/>
      <c r="J76" s="147" t="s">
        <v>1430</v>
      </c>
      <c r="K76" s="147" t="s">
        <v>3214</v>
      </c>
      <c r="L76" s="147"/>
      <c r="M76" s="147"/>
      <c r="N76" s="147"/>
      <c r="O76" s="147"/>
      <c r="P76" s="144"/>
      <c r="Q76" s="4933">
        <v>800</v>
      </c>
      <c r="R76" s="4934"/>
      <c r="S76" s="236"/>
      <c r="T76" s="236"/>
      <c r="U76" s="236"/>
      <c r="AA76" s="68"/>
      <c r="AB76" s="68"/>
    </row>
    <row r="77" spans="1:28" s="145" customFormat="1" ht="11.65" customHeight="1">
      <c r="A77" s="147"/>
      <c r="B77" s="147"/>
      <c r="C77" s="147"/>
      <c r="D77" s="144"/>
      <c r="E77" s="144"/>
      <c r="H77" s="147" t="s">
        <v>2506</v>
      </c>
      <c r="I77" s="144"/>
      <c r="J77" s="147" t="s">
        <v>2439</v>
      </c>
      <c r="K77" s="147"/>
      <c r="L77" s="147"/>
      <c r="M77" s="147"/>
      <c r="N77" s="147"/>
      <c r="O77" s="147"/>
      <c r="P77" s="144"/>
      <c r="Q77" s="4933">
        <v>1500</v>
      </c>
      <c r="R77" s="4934"/>
      <c r="S77" s="236"/>
      <c r="T77" s="236"/>
      <c r="U77" s="236"/>
      <c r="AA77" s="68"/>
      <c r="AB77" s="68"/>
    </row>
    <row r="78" spans="1:28" s="145" customFormat="1" ht="11.65" customHeight="1">
      <c r="A78" s="147"/>
      <c r="B78" s="147"/>
      <c r="C78" s="147"/>
      <c r="D78" s="147"/>
      <c r="E78" s="144"/>
      <c r="F78" s="147" t="s">
        <v>4860</v>
      </c>
      <c r="H78" s="144"/>
      <c r="I78" s="144"/>
      <c r="J78" s="147" t="s">
        <v>3653</v>
      </c>
      <c r="K78" s="147"/>
      <c r="L78" s="147"/>
      <c r="M78" s="147"/>
      <c r="N78" s="147"/>
      <c r="O78" s="147"/>
      <c r="P78" s="144"/>
      <c r="Q78" s="4931">
        <v>1500</v>
      </c>
      <c r="R78" s="4932"/>
      <c r="S78" s="236"/>
      <c r="T78" s="236"/>
      <c r="U78" s="236"/>
      <c r="AA78" s="68"/>
      <c r="AB78" s="68"/>
    </row>
    <row r="79" spans="1:28" s="145" customFormat="1" ht="11.65" customHeight="1">
      <c r="A79" s="147"/>
      <c r="B79" s="147"/>
      <c r="C79" s="147"/>
      <c r="D79" s="144"/>
      <c r="E79" s="144"/>
      <c r="F79" s="147" t="s">
        <v>3325</v>
      </c>
      <c r="I79" s="144"/>
      <c r="J79" s="147" t="s">
        <v>3655</v>
      </c>
      <c r="K79" s="147"/>
      <c r="L79" s="147"/>
      <c r="M79" s="147"/>
      <c r="N79" s="147"/>
      <c r="O79" s="147"/>
      <c r="P79" s="144"/>
      <c r="Q79" s="4947">
        <v>1500</v>
      </c>
      <c r="R79" s="4948"/>
      <c r="S79" s="236"/>
      <c r="T79" s="236"/>
      <c r="U79" s="236"/>
      <c r="AA79" s="68"/>
      <c r="AB79" s="68"/>
    </row>
    <row r="80" spans="1:28" s="145" customFormat="1" ht="11.65" customHeight="1">
      <c r="A80" s="147"/>
      <c r="B80" s="147"/>
      <c r="C80" s="147"/>
      <c r="D80" s="144"/>
      <c r="E80" s="144"/>
      <c r="F80" s="147" t="s">
        <v>2973</v>
      </c>
      <c r="I80" s="144"/>
      <c r="J80" s="147" t="s">
        <v>2974</v>
      </c>
      <c r="K80" s="147"/>
      <c r="L80" s="147" t="s">
        <v>2505</v>
      </c>
      <c r="M80" s="147"/>
      <c r="N80" s="147"/>
      <c r="O80" s="147"/>
      <c r="P80" s="144"/>
      <c r="Q80" s="4949">
        <v>75</v>
      </c>
      <c r="R80" s="4950"/>
      <c r="S80" s="236"/>
      <c r="T80" s="236"/>
      <c r="U80" s="236"/>
      <c r="AA80" s="68"/>
      <c r="AB80" s="68"/>
    </row>
    <row r="81" spans="1:28" ht="11.25" customHeight="1">
      <c r="B81" s="147" t="s">
        <v>1721</v>
      </c>
      <c r="F81" s="1222" t="s">
        <v>3787</v>
      </c>
      <c r="G81" s="236"/>
      <c r="H81" s="236"/>
      <c r="J81" s="147" t="s">
        <v>3793</v>
      </c>
      <c r="K81" s="147" t="s">
        <v>3794</v>
      </c>
      <c r="L81" s="44"/>
      <c r="M81" s="44"/>
      <c r="N81" s="44"/>
      <c r="O81" s="1226" t="s">
        <v>3788</v>
      </c>
      <c r="AA81"/>
      <c r="AB81"/>
    </row>
    <row r="82" spans="1:28" ht="11.25" customHeight="1">
      <c r="F82" s="115"/>
      <c r="H82" s="1223">
        <v>0.09</v>
      </c>
      <c r="J82" s="391">
        <v>1</v>
      </c>
      <c r="K82" s="391">
        <v>50</v>
      </c>
      <c r="Q82" s="4951">
        <v>27500</v>
      </c>
      <c r="R82" s="4951"/>
      <c r="AA82"/>
      <c r="AB82"/>
    </row>
    <row r="83" spans="1:28" ht="11.25" customHeight="1">
      <c r="F83" s="115"/>
      <c r="H83" s="683"/>
      <c r="J83" s="391">
        <v>51</v>
      </c>
      <c r="K83" s="391">
        <v>70</v>
      </c>
      <c r="Q83" s="4952">
        <v>22000</v>
      </c>
      <c r="R83" s="4952"/>
      <c r="AA83"/>
      <c r="AB83"/>
    </row>
    <row r="84" spans="1:28" ht="11.25" customHeight="1">
      <c r="F84" s="115"/>
      <c r="H84" s="1425"/>
      <c r="I84" s="165"/>
      <c r="J84" s="1426">
        <v>71</v>
      </c>
      <c r="K84" s="1427"/>
      <c r="L84" s="165"/>
      <c r="M84" s="165"/>
      <c r="N84" s="165"/>
      <c r="O84" s="165"/>
      <c r="P84" s="1428"/>
      <c r="Q84" s="4953">
        <v>16500</v>
      </c>
      <c r="R84" s="4953"/>
      <c r="AA84"/>
      <c r="AB84"/>
    </row>
    <row r="85" spans="1:28" ht="11.25" customHeight="1">
      <c r="H85" s="1429">
        <v>0.04</v>
      </c>
      <c r="I85" s="1430"/>
      <c r="J85" s="1431">
        <v>1</v>
      </c>
      <c r="K85" s="1431">
        <v>50</v>
      </c>
      <c r="L85" s="1430"/>
      <c r="M85" s="1430"/>
      <c r="N85" s="1430"/>
      <c r="O85" s="1430"/>
      <c r="P85" s="1432"/>
      <c r="Q85" s="4951">
        <v>27500</v>
      </c>
      <c r="R85" s="4951"/>
      <c r="AA85"/>
      <c r="AB85"/>
    </row>
    <row r="86" spans="1:28" ht="11.25" customHeight="1">
      <c r="H86" s="1224"/>
      <c r="J86" s="391">
        <v>51</v>
      </c>
      <c r="K86" s="391">
        <v>70</v>
      </c>
      <c r="Q86" s="4952">
        <v>22000</v>
      </c>
      <c r="R86" s="4952"/>
      <c r="AA86"/>
      <c r="AB86"/>
    </row>
    <row r="87" spans="1:28" ht="11.25" customHeight="1">
      <c r="H87" s="1224"/>
      <c r="J87" s="391">
        <v>71</v>
      </c>
      <c r="K87" s="1224"/>
      <c r="Q87" s="4953">
        <v>16500</v>
      </c>
      <c r="R87" s="4953"/>
      <c r="AA87"/>
      <c r="AB87"/>
    </row>
    <row r="88" spans="1:28" ht="11.25" customHeight="1">
      <c r="F88" s="236" t="s">
        <v>3789</v>
      </c>
      <c r="H88" s="369"/>
      <c r="I88" s="44"/>
      <c r="AA88"/>
      <c r="AB88"/>
    </row>
    <row r="89" spans="1:28" ht="11.25" customHeight="1">
      <c r="H89" s="1225">
        <v>0.09</v>
      </c>
      <c r="I89" s="236"/>
      <c r="Q89" s="4951">
        <v>2285000</v>
      </c>
      <c r="R89" s="4951"/>
      <c r="AA89"/>
      <c r="AB89"/>
    </row>
    <row r="90" spans="1:28" ht="11.25" customHeight="1">
      <c r="H90" s="1225">
        <v>0.04</v>
      </c>
      <c r="I90" s="236"/>
      <c r="Q90" s="4953">
        <v>4000000</v>
      </c>
      <c r="R90" s="4953"/>
      <c r="AA90"/>
      <c r="AB90"/>
    </row>
    <row r="91" spans="1:28">
      <c r="AA91"/>
      <c r="AB91"/>
    </row>
    <row r="92" spans="1:28" s="145" customFormat="1" ht="13">
      <c r="A92" s="147"/>
      <c r="B92" s="147"/>
      <c r="C92" s="147"/>
      <c r="D92" s="144"/>
      <c r="E92" s="144"/>
      <c r="F92" s="147"/>
      <c r="G92" s="147"/>
      <c r="H92" s="147"/>
      <c r="I92" s="144"/>
      <c r="J92" s="147" t="s">
        <v>2957</v>
      </c>
      <c r="K92" s="147"/>
      <c r="L92" s="147"/>
      <c r="M92" s="147"/>
      <c r="N92" s="147"/>
      <c r="O92" s="147"/>
      <c r="P92" s="144"/>
      <c r="Q92" s="4945">
        <v>3500000</v>
      </c>
      <c r="R92" s="4946"/>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954">
        <v>0.15</v>
      </c>
      <c r="R93" s="4955"/>
      <c r="S93" s="236"/>
      <c r="T93" s="236"/>
      <c r="U93" s="236"/>
      <c r="AA93" s="68"/>
      <c r="AB93" s="68"/>
    </row>
    <row r="94" spans="1:28" s="145" customFormat="1" ht="13" hidden="1">
      <c r="A94" s="147"/>
      <c r="B94" s="314"/>
      <c r="C94" s="147"/>
      <c r="D94" s="144"/>
      <c r="E94" s="144"/>
      <c r="F94" s="147"/>
      <c r="G94" s="147"/>
      <c r="H94" s="147" t="s">
        <v>3079</v>
      </c>
      <c r="I94" s="147" t="s">
        <v>907</v>
      </c>
      <c r="J94" s="147" t="s">
        <v>909</v>
      </c>
      <c r="K94" s="147"/>
      <c r="L94" s="147"/>
      <c r="M94" s="147"/>
      <c r="N94" s="147"/>
      <c r="O94" s="147"/>
      <c r="P94" s="144"/>
      <c r="Q94" s="4954">
        <v>0.15</v>
      </c>
      <c r="R94" s="4955"/>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954">
        <v>0.15</v>
      </c>
      <c r="R95" s="4955"/>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954">
        <v>0.15</v>
      </c>
      <c r="R96" s="4955"/>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954">
        <v>0.15</v>
      </c>
      <c r="R97" s="4955"/>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954">
        <v>0.15</v>
      </c>
      <c r="R98" s="4955"/>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954" t="s">
        <v>2184</v>
      </c>
      <c r="R99" s="4955"/>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37">
        <v>0</v>
      </c>
      <c r="R100" s="2037">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43">
        <v>6</v>
      </c>
      <c r="R102" s="2043"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2048">
        <v>6</v>
      </c>
      <c r="R103" s="2048" t="s">
        <v>1607</v>
      </c>
      <c r="S103" s="236"/>
      <c r="T103" s="236"/>
      <c r="U103" s="236"/>
      <c r="AA103" s="68"/>
      <c r="AB103" s="68"/>
    </row>
    <row r="104" spans="1:28" s="145" customFormat="1" ht="11.25" customHeight="1">
      <c r="A104" s="147"/>
      <c r="B104" s="147" t="s">
        <v>5096</v>
      </c>
      <c r="C104" s="147"/>
      <c r="D104" s="147"/>
      <c r="E104" s="147"/>
      <c r="F104" s="147"/>
      <c r="G104" s="147"/>
      <c r="H104" s="144"/>
      <c r="I104" s="144"/>
      <c r="J104" s="147" t="s">
        <v>5100</v>
      </c>
      <c r="K104" s="147"/>
      <c r="L104" s="147"/>
      <c r="M104" s="147"/>
      <c r="N104" s="147"/>
      <c r="O104" s="147"/>
      <c r="P104" s="144"/>
      <c r="Q104" s="2048">
        <v>12</v>
      </c>
      <c r="R104" s="2048">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2044">
        <v>3</v>
      </c>
      <c r="R105" s="2044" t="s">
        <v>1607</v>
      </c>
      <c r="S105" s="236"/>
      <c r="T105" s="236"/>
      <c r="U105" s="236"/>
      <c r="AA105" s="68"/>
      <c r="AB105" s="68"/>
    </row>
    <row r="106" spans="1:28" s="145" customFormat="1" ht="11.65" customHeight="1">
      <c r="A106" s="147"/>
      <c r="B106" s="147" t="s">
        <v>3000</v>
      </c>
      <c r="C106" s="147"/>
      <c r="D106" s="144"/>
      <c r="E106" s="147"/>
      <c r="F106" s="147"/>
      <c r="G106" s="147"/>
      <c r="H106" s="144"/>
      <c r="I106" s="144"/>
      <c r="J106" s="147" t="s">
        <v>1635</v>
      </c>
      <c r="K106" s="147"/>
      <c r="L106" s="147"/>
      <c r="M106" s="147"/>
      <c r="N106" s="147"/>
      <c r="O106" s="147"/>
      <c r="P106" s="144"/>
      <c r="Q106" s="4949">
        <v>3000</v>
      </c>
      <c r="R106" s="4950"/>
      <c r="S106" s="236"/>
      <c r="T106" s="236"/>
      <c r="U106" s="236"/>
      <c r="AA106" s="68"/>
      <c r="AB106" s="68"/>
    </row>
    <row r="107" spans="1:28" s="145" customFormat="1" ht="11.65" customHeight="1">
      <c r="A107" s="147"/>
      <c r="B107" s="147"/>
      <c r="C107" s="147"/>
      <c r="D107" s="144"/>
      <c r="E107" s="144"/>
      <c r="O107" s="147"/>
      <c r="T107" s="230"/>
      <c r="U107" s="144"/>
      <c r="V107" s="321"/>
      <c r="W107" s="321"/>
      <c r="X107" s="321"/>
      <c r="AA107" s="68"/>
      <c r="AB107" s="68"/>
    </row>
    <row r="108" spans="1:28" s="145" customFormat="1" ht="11.65" customHeight="1">
      <c r="A108" s="225" t="s">
        <v>1603</v>
      </c>
      <c r="B108" s="225"/>
      <c r="C108" s="225"/>
      <c r="D108" s="144"/>
      <c r="E108" s="144"/>
      <c r="F108" s="225" t="s">
        <v>1604</v>
      </c>
      <c r="G108" s="225"/>
      <c r="H108" s="144"/>
      <c r="I108" s="144"/>
      <c r="J108" s="225" t="s">
        <v>1605</v>
      </c>
      <c r="K108" s="225"/>
      <c r="L108" s="225"/>
      <c r="M108" s="225"/>
      <c r="N108" s="225"/>
      <c r="O108" s="225"/>
      <c r="P108" s="144"/>
      <c r="Q108" s="148" t="s">
        <v>2696</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65"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5"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65" customHeight="1">
      <c r="A114" s="147"/>
      <c r="B114" s="147" t="s">
        <v>951</v>
      </c>
      <c r="C114" s="147"/>
      <c r="D114" s="144"/>
      <c r="E114" s="144"/>
      <c r="F114" s="144"/>
      <c r="G114" s="147"/>
      <c r="H114" s="144"/>
      <c r="I114" s="144"/>
      <c r="J114" s="147" t="s">
        <v>4637</v>
      </c>
      <c r="K114" s="147"/>
      <c r="L114" s="147"/>
      <c r="M114" s="147"/>
      <c r="N114" s="147"/>
      <c r="O114" s="147"/>
      <c r="P114" s="144"/>
      <c r="Q114" s="4956">
        <v>0.02</v>
      </c>
      <c r="R114" s="4956"/>
      <c r="S114" s="236"/>
      <c r="T114" s="236"/>
      <c r="U114" s="236"/>
      <c r="AA114" s="68"/>
      <c r="AB114" s="68"/>
    </row>
    <row r="115" spans="1:28" s="236" customFormat="1" ht="11.65" customHeight="1">
      <c r="A115" s="147"/>
      <c r="B115" s="147" t="s">
        <v>1637</v>
      </c>
      <c r="C115" s="147"/>
      <c r="D115" s="147"/>
      <c r="E115" s="147"/>
      <c r="F115" s="147"/>
      <c r="G115" s="147"/>
      <c r="H115" s="147"/>
      <c r="J115" s="147" t="s">
        <v>1638</v>
      </c>
      <c r="K115" s="147"/>
      <c r="L115" s="147"/>
      <c r="M115" s="147"/>
      <c r="N115" s="147"/>
      <c r="O115" s="147"/>
      <c r="Q115" s="4943">
        <v>0.02</v>
      </c>
      <c r="R115" s="4943"/>
      <c r="AA115" s="68"/>
      <c r="AB115" s="68"/>
    </row>
    <row r="116" spans="1:28" s="236" customFormat="1" ht="11.65" customHeight="1">
      <c r="A116" s="147"/>
      <c r="B116" s="147" t="s">
        <v>4768</v>
      </c>
      <c r="C116" s="147"/>
      <c r="D116" s="147"/>
      <c r="E116" s="147"/>
      <c r="F116" s="147" t="s">
        <v>4766</v>
      </c>
      <c r="G116" s="147"/>
      <c r="H116" s="147"/>
      <c r="J116" s="147" t="s">
        <v>1638</v>
      </c>
      <c r="K116" s="147"/>
      <c r="L116" s="147"/>
      <c r="M116" s="147"/>
      <c r="N116" s="147"/>
      <c r="O116" s="147"/>
      <c r="Q116" s="2041">
        <v>7.0000000000000007E-2</v>
      </c>
      <c r="R116" s="2042" t="s">
        <v>2844</v>
      </c>
      <c r="AA116" s="68"/>
      <c r="AB116" s="68"/>
    </row>
    <row r="117" spans="1:28" s="236" customFormat="1" ht="11.65" customHeight="1">
      <c r="A117" s="147"/>
      <c r="B117" s="147"/>
      <c r="C117" s="147"/>
      <c r="D117" s="147"/>
      <c r="E117" s="147"/>
      <c r="F117" s="147" t="s">
        <v>4767</v>
      </c>
      <c r="G117" s="147"/>
      <c r="H117" s="147"/>
      <c r="J117" s="147" t="s">
        <v>1638</v>
      </c>
      <c r="K117" s="147"/>
      <c r="L117" s="147"/>
      <c r="M117" s="147"/>
      <c r="N117" s="147"/>
      <c r="O117" s="147"/>
      <c r="Q117" s="2041">
        <v>7.0000000000000007E-2</v>
      </c>
      <c r="R117" s="2042" t="s">
        <v>2844</v>
      </c>
      <c r="AA117" s="68"/>
      <c r="AB117" s="68"/>
    </row>
    <row r="118" spans="1:28" s="145" customFormat="1" ht="11.65" customHeight="1">
      <c r="A118" s="147"/>
      <c r="B118" s="147" t="s">
        <v>128</v>
      </c>
      <c r="C118" s="147"/>
      <c r="D118" s="144"/>
      <c r="E118" s="144"/>
      <c r="F118" s="144"/>
      <c r="G118" s="147"/>
      <c r="H118" s="144"/>
      <c r="I118" s="144"/>
      <c r="J118" s="147" t="s">
        <v>1638</v>
      </c>
      <c r="K118" s="147"/>
      <c r="L118" s="147"/>
      <c r="M118" s="147"/>
      <c r="N118" s="147"/>
      <c r="O118" s="147"/>
      <c r="P118" s="144"/>
      <c r="Q118" s="4944">
        <v>0.03</v>
      </c>
      <c r="R118" s="4944"/>
      <c r="S118" s="236"/>
      <c r="T118" s="236"/>
      <c r="U118" s="236"/>
      <c r="AA118" s="68"/>
      <c r="AB118" s="68"/>
    </row>
    <row r="119" spans="1:28" s="145" customFormat="1" ht="11.65" customHeight="1">
      <c r="A119" s="147"/>
      <c r="B119" s="147" t="s">
        <v>129</v>
      </c>
      <c r="C119" s="147"/>
      <c r="D119" s="144"/>
      <c r="E119" s="144"/>
      <c r="F119" s="144"/>
      <c r="G119" s="147"/>
      <c r="H119" s="144"/>
      <c r="I119" s="144"/>
      <c r="J119" s="147" t="s">
        <v>1638</v>
      </c>
      <c r="K119" s="147"/>
      <c r="L119" s="147"/>
      <c r="M119" s="147"/>
      <c r="N119" s="147"/>
      <c r="O119" s="147"/>
      <c r="P119" s="144"/>
      <c r="Q119" s="4944">
        <v>0.03</v>
      </c>
      <c r="R119" s="4944"/>
      <c r="S119" s="236"/>
      <c r="T119" s="236"/>
      <c r="U119" s="236"/>
      <c r="AA119" s="68"/>
      <c r="AB119" s="68"/>
    </row>
    <row r="120" spans="1:28" s="145" customFormat="1" ht="11.65" customHeight="1">
      <c r="A120" s="147"/>
      <c r="B120" s="147" t="s">
        <v>130</v>
      </c>
      <c r="C120" s="147"/>
      <c r="D120" s="144"/>
      <c r="E120" s="144"/>
      <c r="F120" s="144"/>
      <c r="G120" s="147"/>
      <c r="H120" s="144"/>
      <c r="I120" s="144"/>
      <c r="J120" s="147" t="s">
        <v>1638</v>
      </c>
      <c r="K120" s="147"/>
      <c r="L120" s="147"/>
      <c r="M120" s="147"/>
      <c r="N120" s="147"/>
      <c r="O120" s="147"/>
      <c r="P120" s="144"/>
      <c r="Q120" s="4962">
        <v>0</v>
      </c>
      <c r="R120" s="4962"/>
      <c r="S120" s="236"/>
      <c r="T120" s="236"/>
      <c r="U120" s="236"/>
      <c r="AA120" s="68"/>
      <c r="AB120" s="68"/>
    </row>
    <row r="121" spans="1:28" s="145" customFormat="1" ht="11.5" customHeight="1">
      <c r="A121" s="144"/>
      <c r="B121" s="147" t="s">
        <v>4771</v>
      </c>
      <c r="C121" s="147"/>
      <c r="D121" s="147"/>
      <c r="E121" s="144"/>
      <c r="F121" s="147" t="s">
        <v>4772</v>
      </c>
      <c r="G121" s="147"/>
      <c r="H121" s="144"/>
      <c r="I121" s="144"/>
      <c r="J121" s="147" t="s">
        <v>2114</v>
      </c>
      <c r="K121" s="147"/>
      <c r="L121" s="147"/>
      <c r="M121" s="147"/>
      <c r="N121" s="147"/>
      <c r="O121" s="147"/>
      <c r="P121" s="144"/>
      <c r="Q121" s="2049">
        <v>1.2</v>
      </c>
      <c r="R121" s="2050"/>
      <c r="S121" s="236"/>
      <c r="T121" s="236"/>
      <c r="U121" s="236"/>
      <c r="AA121" s="68"/>
      <c r="AB121" s="68"/>
    </row>
    <row r="122" spans="1:28" s="145" customFormat="1" ht="11.5" customHeight="1">
      <c r="A122" s="144"/>
      <c r="B122" s="147"/>
      <c r="C122" s="147"/>
      <c r="D122" s="147"/>
      <c r="E122" s="144"/>
      <c r="F122" s="147"/>
      <c r="G122" s="147"/>
      <c r="H122" s="144"/>
      <c r="I122" s="144"/>
      <c r="J122" s="147" t="s">
        <v>264</v>
      </c>
      <c r="K122" s="147"/>
      <c r="L122" s="147"/>
      <c r="M122" s="147"/>
      <c r="N122" s="147"/>
      <c r="O122" s="147"/>
      <c r="P122" s="144"/>
      <c r="Q122" s="2051">
        <v>1.25</v>
      </c>
      <c r="R122" s="2052"/>
      <c r="S122" s="236"/>
      <c r="T122" s="236"/>
      <c r="U122" s="236"/>
      <c r="AA122" s="68"/>
      <c r="AB122" s="68"/>
    </row>
    <row r="123" spans="1:28" s="145" customFormat="1" ht="11.5" customHeight="1">
      <c r="A123" s="144"/>
      <c r="B123" s="147" t="s">
        <v>4773</v>
      </c>
      <c r="C123" s="147"/>
      <c r="D123" s="147"/>
      <c r="E123" s="144"/>
      <c r="F123" s="147"/>
      <c r="G123" s="147"/>
      <c r="H123" s="144"/>
      <c r="I123" s="144"/>
      <c r="J123" s="147" t="s">
        <v>2114</v>
      </c>
      <c r="K123" s="147"/>
      <c r="L123" s="147"/>
      <c r="M123" s="147"/>
      <c r="N123" s="147"/>
      <c r="O123" s="147"/>
      <c r="P123" s="144"/>
      <c r="Q123" s="2049">
        <v>1.1000000000000001</v>
      </c>
      <c r="R123" s="2050"/>
      <c r="S123" s="236"/>
      <c r="T123" s="236"/>
      <c r="U123" s="236"/>
      <c r="AA123" s="68"/>
      <c r="AB123" s="68"/>
    </row>
    <row r="124" spans="1:28" s="145" customFormat="1" ht="11.5" customHeight="1">
      <c r="A124" s="144"/>
      <c r="B124" s="147"/>
      <c r="C124" s="147"/>
      <c r="D124" s="147"/>
      <c r="E124" s="144"/>
      <c r="F124" s="147"/>
      <c r="G124" s="147"/>
      <c r="H124" s="144"/>
      <c r="I124" s="144"/>
      <c r="J124" s="147" t="s">
        <v>264</v>
      </c>
      <c r="K124" s="147"/>
      <c r="L124" s="147"/>
      <c r="M124" s="147"/>
      <c r="N124" s="147"/>
      <c r="O124" s="147"/>
      <c r="P124" s="144"/>
      <c r="Q124" s="2051">
        <v>1.1499999999999999</v>
      </c>
      <c r="R124" s="2052"/>
      <c r="S124" s="236"/>
      <c r="T124" s="236"/>
      <c r="U124" s="236"/>
      <c r="AA124" s="68"/>
      <c r="AB124" s="68"/>
    </row>
    <row r="125" spans="1:28" s="145" customFormat="1" ht="4.4000000000000004"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65" customHeight="1">
      <c r="A126" s="229" t="s">
        <v>2436</v>
      </c>
      <c r="B126" s="147"/>
      <c r="C126" s="147"/>
      <c r="D126" s="147" t="s">
        <v>4742</v>
      </c>
      <c r="G126" s="147" t="s">
        <v>3223</v>
      </c>
      <c r="I126" s="144"/>
      <c r="J126" s="241" t="s">
        <v>4811</v>
      </c>
      <c r="K126" s="147"/>
      <c r="L126" s="147"/>
      <c r="M126" s="147"/>
      <c r="N126" s="147"/>
      <c r="P126" s="144"/>
      <c r="Q126" s="4957"/>
      <c r="R126" s="4957"/>
      <c r="S126" s="4957"/>
      <c r="T126" s="4957"/>
      <c r="U126" s="144"/>
      <c r="V126" s="699"/>
      <c r="W126" s="699"/>
      <c r="X126" s="148"/>
      <c r="AA126" s="68"/>
      <c r="AB126" s="68"/>
    </row>
    <row r="127" spans="1:28" s="145" customFormat="1" ht="11.65" customHeight="1">
      <c r="A127" s="229"/>
      <c r="B127" s="147"/>
      <c r="C127" s="147"/>
      <c r="D127" s="144"/>
      <c r="F127" s="147"/>
      <c r="G127" s="147" t="s">
        <v>3652</v>
      </c>
      <c r="I127" s="144"/>
      <c r="J127" s="241" t="s">
        <v>4812</v>
      </c>
      <c r="K127" s="147"/>
      <c r="L127" s="147"/>
      <c r="M127" s="147"/>
      <c r="P127" s="144"/>
      <c r="Q127" s="4957"/>
      <c r="R127" s="4957"/>
      <c r="S127" s="4957"/>
      <c r="T127" s="4957"/>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65" customHeight="1">
      <c r="A129" s="229"/>
      <c r="B129" s="147"/>
      <c r="C129" s="147"/>
      <c r="D129" s="147" t="s">
        <v>4741</v>
      </c>
      <c r="F129" s="147" t="s">
        <v>477</v>
      </c>
      <c r="G129" s="147" t="s">
        <v>2387</v>
      </c>
      <c r="I129" s="144"/>
      <c r="J129" s="147" t="s">
        <v>2438</v>
      </c>
      <c r="K129" s="147"/>
      <c r="L129" s="147"/>
      <c r="M129" s="147"/>
      <c r="N129" s="147"/>
      <c r="O129" s="147"/>
      <c r="P129" s="144"/>
      <c r="Q129" s="4958">
        <v>0.15</v>
      </c>
      <c r="R129" s="4958"/>
      <c r="S129" s="144"/>
      <c r="T129" s="144"/>
      <c r="U129" s="144"/>
      <c r="V129" s="699"/>
      <c r="W129" s="699"/>
      <c r="X129" s="148"/>
      <c r="AA129" s="68"/>
      <c r="AB129" s="68"/>
    </row>
    <row r="130" spans="1:28" s="145" customFormat="1" ht="11.65" customHeight="1">
      <c r="A130" s="147"/>
      <c r="B130" s="147"/>
      <c r="C130" s="147"/>
      <c r="D130" s="144"/>
      <c r="E130" s="144"/>
      <c r="F130" s="147"/>
      <c r="G130" s="147" t="s">
        <v>4398</v>
      </c>
      <c r="H130" s="147" t="s">
        <v>4736</v>
      </c>
      <c r="J130" s="147" t="s">
        <v>4405</v>
      </c>
      <c r="K130" s="147"/>
      <c r="L130" s="147"/>
      <c r="M130" s="147"/>
      <c r="O130" s="231" t="s">
        <v>4813</v>
      </c>
      <c r="P130" s="144"/>
      <c r="Q130" s="4959">
        <v>1105000</v>
      </c>
      <c r="R130" s="4959"/>
      <c r="S130" s="230"/>
      <c r="T130" s="230"/>
      <c r="U130" s="144"/>
      <c r="V130" s="321"/>
      <c r="W130" s="321"/>
      <c r="X130" s="321"/>
      <c r="AA130" s="68"/>
      <c r="AB130" s="68"/>
    </row>
    <row r="131" spans="1:28" s="145" customFormat="1" ht="11.65" customHeight="1">
      <c r="A131" s="147"/>
      <c r="B131" s="147"/>
      <c r="C131" s="147"/>
      <c r="D131" s="144"/>
      <c r="E131" s="144"/>
      <c r="F131" s="147"/>
      <c r="G131" s="147"/>
      <c r="H131" s="147" t="s">
        <v>3997</v>
      </c>
      <c r="J131" s="147" t="s">
        <v>4405</v>
      </c>
      <c r="K131" s="147"/>
      <c r="L131" s="147"/>
      <c r="M131" s="147"/>
      <c r="O131" s="231" t="s">
        <v>4814</v>
      </c>
      <c r="P131" s="144"/>
      <c r="Q131" s="4963">
        <v>1225000</v>
      </c>
      <c r="R131" s="4963"/>
      <c r="S131" s="230"/>
      <c r="T131" s="230"/>
      <c r="U131" s="144"/>
      <c r="V131" s="321"/>
      <c r="W131" s="321"/>
      <c r="X131" s="321"/>
      <c r="AA131" s="68"/>
      <c r="AB131" s="68"/>
    </row>
    <row r="132" spans="1:28" s="145" customFormat="1" ht="11.65" customHeight="1">
      <c r="A132" s="147"/>
      <c r="B132" s="147"/>
      <c r="C132" s="147"/>
      <c r="D132" s="144"/>
      <c r="E132" s="144"/>
      <c r="F132" s="147"/>
      <c r="G132" s="147"/>
      <c r="H132" s="147" t="s">
        <v>4400</v>
      </c>
      <c r="I132" s="144"/>
      <c r="J132" s="147" t="s">
        <v>4405</v>
      </c>
      <c r="K132" s="147"/>
      <c r="O132" s="231" t="s">
        <v>4815</v>
      </c>
      <c r="Q132" s="4963">
        <v>1105000</v>
      </c>
      <c r="R132" s="4963"/>
      <c r="S132" s="230"/>
      <c r="T132" s="230"/>
      <c r="U132" s="144"/>
      <c r="V132" s="321"/>
      <c r="W132" s="321"/>
      <c r="X132" s="321"/>
      <c r="AA132" s="68"/>
      <c r="AB132" s="68"/>
    </row>
    <row r="133" spans="1:28" s="145" customFormat="1" ht="11.65" customHeight="1">
      <c r="A133" s="147"/>
      <c r="B133" s="147"/>
      <c r="C133" s="147"/>
      <c r="D133" s="144"/>
      <c r="E133" s="144"/>
      <c r="F133" s="147"/>
      <c r="G133" s="147"/>
      <c r="H133" s="147" t="s">
        <v>4399</v>
      </c>
      <c r="I133" s="144"/>
      <c r="J133" s="147" t="s">
        <v>4405</v>
      </c>
      <c r="K133" s="147"/>
      <c r="O133" s="231" t="s">
        <v>4814</v>
      </c>
      <c r="Q133" s="4964">
        <v>1105000</v>
      </c>
      <c r="R133" s="4965"/>
      <c r="S133" s="230"/>
      <c r="T133" s="230"/>
      <c r="U133" s="144"/>
      <c r="V133" s="321"/>
      <c r="W133" s="321"/>
      <c r="X133" s="321"/>
      <c r="AA133" s="68"/>
      <c r="AB133" s="68"/>
    </row>
    <row r="134" spans="1:28" s="145" customFormat="1" ht="11.65" customHeight="1">
      <c r="A134" s="147"/>
      <c r="B134" s="147"/>
      <c r="C134" s="147"/>
      <c r="D134" s="144"/>
      <c r="E134" s="144"/>
      <c r="F134" s="147"/>
      <c r="G134" s="147" t="s">
        <v>4747</v>
      </c>
      <c r="H134" s="225" t="s">
        <v>2504</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943">
        <v>0.35</v>
      </c>
      <c r="K135" s="4943"/>
      <c r="L135" s="147"/>
      <c r="M135" s="147"/>
      <c r="N135" s="147"/>
      <c r="O135" s="147"/>
      <c r="P135" s="147"/>
      <c r="Q135" s="147"/>
      <c r="R135" s="147"/>
    </row>
    <row r="136" spans="1:28" ht="11.25" customHeight="1">
      <c r="G136" s="147"/>
      <c r="H136" s="147" t="s">
        <v>3998</v>
      </c>
      <c r="I136" s="144"/>
      <c r="J136" s="4944">
        <v>0.35</v>
      </c>
      <c r="K136" s="4944"/>
      <c r="L136" s="147"/>
      <c r="M136" s="147"/>
      <c r="N136" s="147"/>
      <c r="O136" s="147"/>
      <c r="P136" s="147"/>
      <c r="Q136" s="147"/>
      <c r="R136" s="147"/>
    </row>
    <row r="137" spans="1:28" ht="11.25" customHeight="1">
      <c r="A137" s="229"/>
      <c r="G137" s="147"/>
      <c r="H137" s="147" t="s">
        <v>2939</v>
      </c>
      <c r="I137" s="144"/>
      <c r="J137" s="4976">
        <v>0.3</v>
      </c>
      <c r="K137" s="4976"/>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4743</v>
      </c>
      <c r="E139" s="144"/>
      <c r="G139" s="147" t="s">
        <v>4737</v>
      </c>
      <c r="I139" s="144"/>
      <c r="J139" s="147" t="s">
        <v>4738</v>
      </c>
      <c r="Q139" s="2038"/>
      <c r="R139" s="2038"/>
      <c r="S139" s="144"/>
      <c r="T139" s="144"/>
      <c r="U139" s="144"/>
      <c r="V139" s="699"/>
      <c r="W139" s="699"/>
      <c r="X139" s="148"/>
      <c r="AA139" s="68"/>
      <c r="AB139" s="68"/>
    </row>
    <row r="140" spans="1:28" s="145" customFormat="1" ht="11.25" customHeight="1">
      <c r="A140" s="229"/>
      <c r="B140" s="147"/>
      <c r="C140" s="147"/>
      <c r="D140" s="144"/>
      <c r="E140" s="144"/>
      <c r="G140" s="147" t="s">
        <v>4740</v>
      </c>
      <c r="I140" s="144"/>
      <c r="J140" s="147" t="s">
        <v>4739</v>
      </c>
      <c r="P140" s="644" t="s">
        <v>4816</v>
      </c>
      <c r="Q140" s="4966">
        <v>30000000</v>
      </c>
      <c r="R140" s="4966"/>
      <c r="S140" s="144"/>
      <c r="T140" s="144"/>
      <c r="U140" s="144"/>
      <c r="V140" s="699"/>
      <c r="W140" s="699"/>
      <c r="X140" s="148"/>
      <c r="AA140" s="68"/>
      <c r="AB140" s="68"/>
    </row>
    <row r="141" spans="1:28" s="145" customFormat="1" ht="11.25" customHeight="1">
      <c r="A141" s="229"/>
      <c r="B141" s="147"/>
      <c r="C141" s="147"/>
      <c r="D141" s="144"/>
      <c r="E141" s="144"/>
      <c r="G141" s="147" t="s">
        <v>4744</v>
      </c>
      <c r="I141" s="144"/>
      <c r="J141" s="147" t="s">
        <v>4745</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4746</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65" customHeight="1">
      <c r="A144" s="147"/>
      <c r="B144" s="147"/>
      <c r="C144" s="147"/>
      <c r="D144" s="144"/>
      <c r="E144" s="144"/>
      <c r="G144" s="147" t="s">
        <v>4404</v>
      </c>
      <c r="H144" s="147"/>
      <c r="I144" s="144"/>
      <c r="J144" s="147" t="s">
        <v>4406</v>
      </c>
      <c r="K144" s="147"/>
      <c r="L144" s="147"/>
      <c r="M144" s="147"/>
      <c r="N144" s="147"/>
      <c r="O144" s="147"/>
      <c r="P144" s="144"/>
      <c r="Q144" s="4967"/>
      <c r="R144" s="4968"/>
      <c r="S144" s="230"/>
      <c r="T144" s="230"/>
      <c r="U144" s="144"/>
      <c r="V144" s="321"/>
      <c r="W144" s="321"/>
      <c r="X144" s="321"/>
      <c r="AA144" s="68"/>
      <c r="AB144" s="68"/>
    </row>
    <row r="145" spans="1:28" s="145" customFormat="1" ht="11.65" customHeight="1">
      <c r="A145" s="147"/>
      <c r="B145" s="147"/>
      <c r="C145" s="147"/>
      <c r="D145" s="144"/>
      <c r="E145" s="144"/>
      <c r="F145" s="147" t="s">
        <v>2212</v>
      </c>
      <c r="G145" s="147" t="s">
        <v>2437</v>
      </c>
      <c r="I145" s="144"/>
      <c r="J145" s="147" t="s">
        <v>3229</v>
      </c>
      <c r="K145" s="147"/>
      <c r="L145" s="147"/>
      <c r="M145" s="147"/>
      <c r="N145" s="147"/>
      <c r="O145" s="147"/>
      <c r="P145" s="144"/>
      <c r="Q145" s="4969">
        <v>4000000</v>
      </c>
      <c r="R145" s="4969"/>
      <c r="S145" s="230"/>
      <c r="T145" s="230"/>
      <c r="U145" s="144"/>
      <c r="V145" s="321"/>
      <c r="W145" s="321"/>
      <c r="X145" s="321"/>
      <c r="AA145" s="68"/>
      <c r="AB145" s="68"/>
    </row>
    <row r="146" spans="1:28" s="145" customFormat="1" ht="11.65" customHeight="1">
      <c r="A146" s="147"/>
      <c r="B146" s="147"/>
      <c r="C146" s="147"/>
      <c r="D146" s="144"/>
      <c r="E146" s="144"/>
      <c r="F146" s="147"/>
      <c r="G146" s="147" t="s">
        <v>4403</v>
      </c>
      <c r="H146" s="144"/>
      <c r="I146" s="144"/>
      <c r="J146" s="147" t="s">
        <v>4405</v>
      </c>
      <c r="K146" s="147"/>
      <c r="O146" s="147" t="s">
        <v>4401</v>
      </c>
      <c r="Q146" s="4964">
        <v>1035000</v>
      </c>
      <c r="R146" s="4965"/>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3112</v>
      </c>
      <c r="B148" s="147"/>
      <c r="C148" s="147"/>
      <c r="D148" s="144"/>
      <c r="E148" s="144"/>
      <c r="F148" s="147" t="s">
        <v>3115</v>
      </c>
      <c r="G148" s="147"/>
      <c r="H148" s="144"/>
      <c r="I148" s="144"/>
      <c r="J148" s="147" t="s">
        <v>3116</v>
      </c>
      <c r="K148" s="147"/>
      <c r="L148" s="147"/>
      <c r="M148" s="147"/>
      <c r="N148" s="147"/>
      <c r="O148" s="147"/>
      <c r="P148" s="144"/>
      <c r="Q148" s="4970">
        <v>0.05</v>
      </c>
      <c r="R148" s="4970"/>
      <c r="S148" s="144"/>
      <c r="T148" s="144"/>
      <c r="U148" s="144"/>
      <c r="V148" s="699"/>
      <c r="W148" s="699"/>
      <c r="X148" s="148"/>
      <c r="AA148" s="68"/>
      <c r="AB148" s="68"/>
    </row>
    <row r="149" spans="1:28" s="145" customFormat="1" ht="12.75" customHeight="1">
      <c r="A149" s="229"/>
      <c r="B149" s="147"/>
      <c r="C149" s="147"/>
      <c r="D149" s="144"/>
      <c r="E149" s="144"/>
      <c r="F149" s="147"/>
      <c r="G149" s="147" t="s">
        <v>3113</v>
      </c>
      <c r="H149" s="144"/>
      <c r="I149" s="144"/>
      <c r="J149" s="147" t="s">
        <v>3117</v>
      </c>
      <c r="K149" s="147"/>
      <c r="L149" s="147"/>
      <c r="M149" s="147"/>
      <c r="N149" s="147"/>
      <c r="O149" s="147"/>
      <c r="P149" s="144"/>
      <c r="Q149" s="4960">
        <v>0.4</v>
      </c>
      <c r="R149" s="4960"/>
      <c r="S149" s="144"/>
      <c r="T149" s="144"/>
      <c r="U149" s="144"/>
      <c r="V149" s="699"/>
      <c r="W149" s="699"/>
      <c r="X149" s="148"/>
      <c r="AA149" s="68"/>
      <c r="AB149" s="68"/>
    </row>
    <row r="150" spans="1:28" s="145" customFormat="1" ht="12.75" customHeight="1">
      <c r="A150" s="229"/>
      <c r="B150" s="147"/>
      <c r="C150" s="147"/>
      <c r="E150" s="144"/>
      <c r="F150" s="147" t="s">
        <v>3114</v>
      </c>
      <c r="G150" s="147"/>
      <c r="H150" s="144"/>
      <c r="I150" s="144"/>
      <c r="J150" s="147" t="s">
        <v>3116</v>
      </c>
      <c r="K150" s="147"/>
      <c r="L150" s="147"/>
      <c r="M150" s="147"/>
      <c r="N150" s="147"/>
      <c r="O150" s="147"/>
      <c r="P150" s="144"/>
      <c r="Q150" s="4961">
        <v>0.02</v>
      </c>
      <c r="R150" s="4961"/>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971" t="s">
        <v>4635</v>
      </c>
      <c r="B152" s="4971"/>
      <c r="C152" s="2475">
        <v>2024</v>
      </c>
      <c r="D152" s="4972" t="s">
        <v>4634</v>
      </c>
      <c r="E152" s="2476" t="s">
        <v>5088</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4" customHeight="1">
      <c r="A153" s="4971"/>
      <c r="B153" s="4971"/>
      <c r="D153" s="4973"/>
      <c r="E153" s="2477" t="s">
        <v>5089</v>
      </c>
      <c r="F153" s="239"/>
      <c r="G153" s="239"/>
      <c r="H153" s="239"/>
      <c r="I153" s="239"/>
    </row>
    <row r="154" spans="1:28">
      <c r="A154" s="4971"/>
      <c r="B154" s="4971"/>
      <c r="C154" s="147"/>
      <c r="D154" s="4973"/>
      <c r="H154" s="4974" t="s">
        <v>4633</v>
      </c>
      <c r="J154" s="142" t="s">
        <v>747</v>
      </c>
      <c r="K154" s="142"/>
      <c r="L154" s="223"/>
    </row>
    <row r="155" spans="1:28">
      <c r="A155" s="4971"/>
      <c r="B155" s="4971"/>
      <c r="C155" s="699" t="s">
        <v>750</v>
      </c>
      <c r="D155" s="1232" t="s">
        <v>2924</v>
      </c>
      <c r="F155" s="699" t="s">
        <v>4631</v>
      </c>
      <c r="H155" s="4975"/>
      <c r="J155" s="312" t="s">
        <v>750</v>
      </c>
      <c r="K155" s="312" t="s">
        <v>748</v>
      </c>
      <c r="L155" s="313" t="s">
        <v>749</v>
      </c>
    </row>
    <row r="156" spans="1:28" ht="10.5" customHeight="1">
      <c r="C156" s="321">
        <v>0</v>
      </c>
      <c r="D156" s="648">
        <v>75620</v>
      </c>
      <c r="E156" s="1234" t="s">
        <v>4632</v>
      </c>
      <c r="F156" s="1888">
        <v>2.4</v>
      </c>
      <c r="G156" s="874" t="s">
        <v>1210</v>
      </c>
      <c r="H156" s="1889">
        <f>D156*F156</f>
        <v>181488</v>
      </c>
      <c r="J156" s="321">
        <v>0</v>
      </c>
      <c r="K156" s="321">
        <v>0.7</v>
      </c>
      <c r="L156" s="321">
        <v>1</v>
      </c>
    </row>
    <row r="157" spans="1:28" ht="10.5" customHeight="1">
      <c r="C157" s="321">
        <v>1</v>
      </c>
      <c r="D157" s="648">
        <v>86687</v>
      </c>
      <c r="E157" s="1234" t="s">
        <v>4632</v>
      </c>
      <c r="F157" s="1888">
        <v>2.4</v>
      </c>
      <c r="G157" s="874" t="s">
        <v>1210</v>
      </c>
      <c r="H157" s="1889">
        <f t="shared" ref="H157:H160" si="0">D157*F157</f>
        <v>208048.8</v>
      </c>
      <c r="J157" s="321">
        <v>1</v>
      </c>
      <c r="K157" s="321">
        <v>0.75</v>
      </c>
      <c r="L157" s="321">
        <v>1.5</v>
      </c>
    </row>
    <row r="158" spans="1:28" ht="10.5" customHeight="1">
      <c r="C158" s="321">
        <v>2</v>
      </c>
      <c r="D158" s="648">
        <v>105414</v>
      </c>
      <c r="E158" s="1234" t="s">
        <v>4632</v>
      </c>
      <c r="F158" s="1888">
        <v>2.4</v>
      </c>
      <c r="G158" s="874" t="s">
        <v>1210</v>
      </c>
      <c r="H158" s="1889">
        <f t="shared" si="0"/>
        <v>252993.59999999998</v>
      </c>
      <c r="J158" s="321">
        <v>2</v>
      </c>
      <c r="K158" s="321">
        <v>0.9</v>
      </c>
      <c r="L158" s="321">
        <v>3</v>
      </c>
    </row>
    <row r="159" spans="1:28" ht="10.5" customHeight="1">
      <c r="C159" s="321">
        <v>3</v>
      </c>
      <c r="D159" s="648">
        <v>136372</v>
      </c>
      <c r="E159" s="1234" t="s">
        <v>4632</v>
      </c>
      <c r="F159" s="1888">
        <v>2.4</v>
      </c>
      <c r="G159" s="874" t="s">
        <v>1210</v>
      </c>
      <c r="H159" s="1889">
        <f t="shared" si="0"/>
        <v>327292.79999999999</v>
      </c>
      <c r="J159" s="321">
        <v>3</v>
      </c>
      <c r="K159" s="321">
        <v>1.04</v>
      </c>
      <c r="L159" s="321">
        <v>4.5</v>
      </c>
    </row>
    <row r="160" spans="1:28" ht="10.5" customHeight="1">
      <c r="C160" s="321" t="s">
        <v>2925</v>
      </c>
      <c r="D160" s="648">
        <v>149693</v>
      </c>
      <c r="E160" s="1234" t="s">
        <v>4632</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21" t="s">
        <v>3314</v>
      </c>
      <c r="E163" s="236"/>
      <c r="F163" s="236"/>
    </row>
    <row r="164" spans="2:37" ht="10.5" customHeight="1">
      <c r="C164" s="3421"/>
      <c r="E164" s="236"/>
      <c r="F164" s="236"/>
    </row>
    <row r="165" spans="2:37" ht="10.5" customHeight="1">
      <c r="C165" s="3421"/>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2484</v>
      </c>
      <c r="N166" s="433" t="s">
        <v>3219</v>
      </c>
      <c r="O166" s="433" t="s">
        <v>3378</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3379</v>
      </c>
      <c r="P167" s="241" t="s">
        <v>1423</v>
      </c>
      <c r="Q167" s="241"/>
      <c r="R167" s="147"/>
      <c r="S167" s="236"/>
      <c r="T167" s="391" t="s">
        <v>2483</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3380</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3381</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4608</v>
      </c>
      <c r="J170" s="773" t="s">
        <v>2394</v>
      </c>
      <c r="K170" s="771" t="s">
        <v>4609</v>
      </c>
      <c r="L170" s="772" t="s">
        <v>398</v>
      </c>
      <c r="M170" s="1850" t="s">
        <v>1121</v>
      </c>
      <c r="N170" s="772" t="s">
        <v>1652</v>
      </c>
      <c r="O170" s="977" t="s">
        <v>3382</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3383</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3384</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4610</v>
      </c>
      <c r="L173" s="772" t="s">
        <v>398</v>
      </c>
      <c r="M173" s="1850" t="s">
        <v>1121</v>
      </c>
      <c r="N173" s="772" t="s">
        <v>1130</v>
      </c>
      <c r="O173" s="977" t="s">
        <v>3385</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4610</v>
      </c>
      <c r="L174" s="772" t="s">
        <v>398</v>
      </c>
      <c r="M174" s="1850" t="s">
        <v>1121</v>
      </c>
      <c r="N174" s="772" t="s">
        <v>1130</v>
      </c>
      <c r="O174" s="977" t="s">
        <v>3386</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3387</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3388</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4611</v>
      </c>
      <c r="L177" s="772" t="s">
        <v>398</v>
      </c>
      <c r="M177" s="1850" t="s">
        <v>1121</v>
      </c>
      <c r="N177" s="772" t="s">
        <v>1240</v>
      </c>
      <c r="O177" s="977" t="s">
        <v>3389</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3390</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3391</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3392</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3393</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3394</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4612</v>
      </c>
      <c r="L183" s="772" t="s">
        <v>398</v>
      </c>
      <c r="M183" s="1850" t="s">
        <v>2386</v>
      </c>
      <c r="N183" s="772" t="s">
        <v>1250</v>
      </c>
      <c r="O183" s="977" t="s">
        <v>3395</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3396</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3397</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3398</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3399</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4610</v>
      </c>
      <c r="L188" s="772" t="s">
        <v>398</v>
      </c>
      <c r="M188" s="1850" t="s">
        <v>1121</v>
      </c>
      <c r="N188" s="772" t="s">
        <v>1130</v>
      </c>
      <c r="O188" s="977" t="s">
        <v>3400</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3401</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3402</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3403</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4613</v>
      </c>
      <c r="L192" s="772" t="s">
        <v>398</v>
      </c>
      <c r="M192" s="1850" t="s">
        <v>2386</v>
      </c>
      <c r="N192" s="772" t="s">
        <v>154</v>
      </c>
      <c r="O192" s="977" t="s">
        <v>3404</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3405</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4610</v>
      </c>
      <c r="L194" s="772" t="s">
        <v>398</v>
      </c>
      <c r="M194" s="1850" t="s">
        <v>1121</v>
      </c>
      <c r="N194" s="772" t="s">
        <v>1130</v>
      </c>
      <c r="O194" s="977" t="s">
        <v>3406</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3407</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3408</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4610</v>
      </c>
      <c r="L197" s="772" t="s">
        <v>398</v>
      </c>
      <c r="M197" s="1850" t="s">
        <v>1121</v>
      </c>
      <c r="N197" s="772" t="s">
        <v>1130</v>
      </c>
      <c r="O197" s="977" t="s">
        <v>3409</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3410</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4610</v>
      </c>
      <c r="L199" s="772" t="s">
        <v>398</v>
      </c>
      <c r="M199" s="1850" t="s">
        <v>1121</v>
      </c>
      <c r="N199" s="772" t="s">
        <v>1130</v>
      </c>
      <c r="O199" s="977" t="s">
        <v>3411</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3412</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3413</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4612</v>
      </c>
      <c r="L202" s="772" t="s">
        <v>398</v>
      </c>
      <c r="M202" s="1850" t="s">
        <v>2386</v>
      </c>
      <c r="N202" s="772" t="s">
        <v>1250</v>
      </c>
      <c r="O202" s="977" t="s">
        <v>3414</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3415</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4610</v>
      </c>
      <c r="L204" s="772" t="s">
        <v>398</v>
      </c>
      <c r="M204" s="1850" t="s">
        <v>1121</v>
      </c>
      <c r="N204" s="772" t="s">
        <v>1130</v>
      </c>
      <c r="O204" s="977" t="s">
        <v>3416</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4611</v>
      </c>
      <c r="L205" s="772" t="s">
        <v>398</v>
      </c>
      <c r="M205" s="1850" t="s">
        <v>2386</v>
      </c>
      <c r="N205" s="772" t="s">
        <v>1240</v>
      </c>
      <c r="O205" s="977" t="s">
        <v>3417</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3418</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3419</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4610</v>
      </c>
      <c r="L208" s="772" t="s">
        <v>398</v>
      </c>
      <c r="M208" s="1850" t="s">
        <v>1121</v>
      </c>
      <c r="N208" s="772" t="s">
        <v>1130</v>
      </c>
      <c r="O208" s="977" t="s">
        <v>3420</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3421</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4610</v>
      </c>
      <c r="L210" s="772" t="s">
        <v>398</v>
      </c>
      <c r="M210" s="1850" t="s">
        <v>1121</v>
      </c>
      <c r="N210" s="772" t="s">
        <v>1130</v>
      </c>
      <c r="O210" s="977" t="s">
        <v>3422</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3423</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3424</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3425</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4610</v>
      </c>
      <c r="L214" s="772" t="s">
        <v>398</v>
      </c>
      <c r="M214" s="1850" t="s">
        <v>1121</v>
      </c>
      <c r="N214" s="772" t="s">
        <v>1130</v>
      </c>
      <c r="O214" s="977" t="s">
        <v>3426</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3427</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3428</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3429</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3430</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3431</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3432</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3433</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4610</v>
      </c>
      <c r="L222" s="772" t="s">
        <v>398</v>
      </c>
      <c r="M222" s="1850" t="s">
        <v>1121</v>
      </c>
      <c r="N222" s="772" t="s">
        <v>1130</v>
      </c>
      <c r="O222" s="977" t="s">
        <v>3434</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3435</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4610</v>
      </c>
      <c r="L224" s="772" t="s">
        <v>398</v>
      </c>
      <c r="M224" s="1850" t="s">
        <v>1121</v>
      </c>
      <c r="N224" s="772" t="s">
        <v>1130</v>
      </c>
      <c r="O224" s="977" t="s">
        <v>3436</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3437</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4610</v>
      </c>
      <c r="L226" s="772" t="s">
        <v>398</v>
      </c>
      <c r="M226" s="1850" t="s">
        <v>1121</v>
      </c>
      <c r="N226" s="772" t="s">
        <v>1130</v>
      </c>
      <c r="O226" s="977" t="s">
        <v>3438</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3439</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3440</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3441</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3442</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3443</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3444</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4610</v>
      </c>
      <c r="L233" s="772" t="s">
        <v>398</v>
      </c>
      <c r="M233" s="1850" t="s">
        <v>1121</v>
      </c>
      <c r="N233" s="772" t="s">
        <v>1130</v>
      </c>
      <c r="O233" s="977" t="s">
        <v>3445</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3446</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3447</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3448</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3449</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4613</v>
      </c>
      <c r="L238" s="772" t="s">
        <v>398</v>
      </c>
      <c r="M238" s="1850" t="s">
        <v>2386</v>
      </c>
      <c r="N238" s="772" t="s">
        <v>154</v>
      </c>
      <c r="O238" s="977" t="s">
        <v>3450</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3451</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4610</v>
      </c>
      <c r="L240" s="772" t="s">
        <v>398</v>
      </c>
      <c r="M240" s="1850" t="s">
        <v>1121</v>
      </c>
      <c r="N240" s="772" t="s">
        <v>1130</v>
      </c>
      <c r="O240" s="977" t="s">
        <v>3452</v>
      </c>
      <c r="P240" s="241" t="s">
        <v>2200</v>
      </c>
      <c r="Q240" s="241"/>
      <c r="R240" s="147"/>
      <c r="S240" s="236"/>
      <c r="T240" s="391" t="s">
        <v>2520</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4610</v>
      </c>
      <c r="L241" s="772" t="s">
        <v>398</v>
      </c>
      <c r="M241" s="1850" t="s">
        <v>1121</v>
      </c>
      <c r="N241" s="772" t="s">
        <v>1130</v>
      </c>
      <c r="O241" s="977" t="s">
        <v>3453</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4614</v>
      </c>
      <c r="L242" s="772" t="s">
        <v>398</v>
      </c>
      <c r="M242" s="1850" t="s">
        <v>1121</v>
      </c>
      <c r="N242" s="772" t="s">
        <v>1240</v>
      </c>
      <c r="O242" s="977" t="s">
        <v>3454</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3455</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3456</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4610</v>
      </c>
      <c r="L245" s="772" t="s">
        <v>398</v>
      </c>
      <c r="M245" s="1850" t="s">
        <v>1121</v>
      </c>
      <c r="N245" s="772" t="s">
        <v>1130</v>
      </c>
      <c r="O245" s="977" t="s">
        <v>3457</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3458</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3459</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3460</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3461</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4611</v>
      </c>
      <c r="L250" s="772" t="s">
        <v>398</v>
      </c>
      <c r="M250" s="1850" t="s">
        <v>2386</v>
      </c>
      <c r="N250" s="772" t="s">
        <v>1240</v>
      </c>
      <c r="O250" s="977" t="s">
        <v>3462</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3463</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3464</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3465</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3466</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4615</v>
      </c>
      <c r="L255" s="772" t="s">
        <v>398</v>
      </c>
      <c r="M255" s="1850" t="s">
        <v>1121</v>
      </c>
      <c r="N255" s="772" t="s">
        <v>1246</v>
      </c>
      <c r="O255" s="977" t="s">
        <v>3467</v>
      </c>
      <c r="P255" s="241" t="s">
        <v>1456</v>
      </c>
      <c r="Q255" s="241"/>
      <c r="R255" s="147"/>
      <c r="S255" s="236"/>
      <c r="T255" s="391" t="s">
        <v>2521</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3149</v>
      </c>
      <c r="L256" s="772" t="s">
        <v>398</v>
      </c>
      <c r="M256" s="1850" t="s">
        <v>2386</v>
      </c>
      <c r="N256" s="772" t="s">
        <v>1250</v>
      </c>
      <c r="O256" s="977" t="s">
        <v>3468</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3469</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3470</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3471</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3472</v>
      </c>
      <c r="P260" s="241" t="s">
        <v>1618</v>
      </c>
      <c r="Q260" s="241"/>
      <c r="R260" s="147"/>
      <c r="S260" s="236"/>
      <c r="T260" s="391" t="s">
        <v>2522</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3473</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4613</v>
      </c>
      <c r="L262" s="772" t="s">
        <v>398</v>
      </c>
      <c r="M262" s="1850" t="s">
        <v>2386</v>
      </c>
      <c r="N262" s="772" t="s">
        <v>154</v>
      </c>
      <c r="O262" s="977" t="s">
        <v>3474</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4612</v>
      </c>
      <c r="L263" s="772" t="s">
        <v>398</v>
      </c>
      <c r="M263" s="1850" t="s">
        <v>2386</v>
      </c>
      <c r="N263" s="772" t="s">
        <v>1250</v>
      </c>
      <c r="O263" s="977" t="s">
        <v>3475</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3476</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3477</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3478</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3479</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3480</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3481</v>
      </c>
      <c r="P269" s="241" t="s">
        <v>1907</v>
      </c>
      <c r="Q269" s="241"/>
      <c r="R269" s="147"/>
      <c r="S269" s="236"/>
      <c r="T269" s="236" t="s">
        <v>2523</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3148</v>
      </c>
      <c r="L270" s="772" t="s">
        <v>398</v>
      </c>
      <c r="M270" s="1850" t="s">
        <v>2386</v>
      </c>
      <c r="N270" s="772" t="s">
        <v>1130</v>
      </c>
      <c r="O270" s="977" t="s">
        <v>3482</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3483</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4613</v>
      </c>
      <c r="L272" s="772" t="s">
        <v>398</v>
      </c>
      <c r="M272" s="1850" t="s">
        <v>1121</v>
      </c>
      <c r="N272" s="772" t="s">
        <v>154</v>
      </c>
      <c r="O272" s="977" t="s">
        <v>3484</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4610</v>
      </c>
      <c r="L273" s="772" t="s">
        <v>398</v>
      </c>
      <c r="M273" s="1850" t="s">
        <v>1121</v>
      </c>
      <c r="N273" s="772" t="s">
        <v>1130</v>
      </c>
      <c r="O273" s="977" t="s">
        <v>3485</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3486</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3487</v>
      </c>
      <c r="P275" s="241" t="s">
        <v>2143</v>
      </c>
      <c r="Q275" s="241"/>
      <c r="R275" s="147"/>
      <c r="S275" s="236"/>
      <c r="T275" s="391" t="s">
        <v>3656</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4610</v>
      </c>
      <c r="L276" s="772" t="s">
        <v>398</v>
      </c>
      <c r="M276" s="1850" t="s">
        <v>1121</v>
      </c>
      <c r="N276" s="772" t="s">
        <v>1130</v>
      </c>
      <c r="O276" s="977" t="s">
        <v>3488</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4616</v>
      </c>
      <c r="L277" s="772" t="s">
        <v>398</v>
      </c>
      <c r="M277" s="1850" t="s">
        <v>2386</v>
      </c>
      <c r="N277" s="772" t="s">
        <v>1240</v>
      </c>
      <c r="O277" s="977" t="s">
        <v>3489</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4610</v>
      </c>
      <c r="L278" s="772" t="s">
        <v>398</v>
      </c>
      <c r="M278" s="1850" t="s">
        <v>1121</v>
      </c>
      <c r="N278" s="772" t="s">
        <v>1130</v>
      </c>
      <c r="O278" s="977" t="s">
        <v>3490</v>
      </c>
      <c r="P278" s="241" t="s">
        <v>1175</v>
      </c>
      <c r="Q278" s="241"/>
      <c r="R278" s="147"/>
      <c r="S278" s="236"/>
      <c r="T278" s="391" t="s">
        <v>2524</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3491</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4610</v>
      </c>
      <c r="L280" s="772" t="s">
        <v>398</v>
      </c>
      <c r="M280" s="1850" t="s">
        <v>1121</v>
      </c>
      <c r="N280" s="772" t="s">
        <v>1130</v>
      </c>
      <c r="O280" s="977" t="s">
        <v>3492</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3493</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3494</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3495</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3496</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3497</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3498</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4612</v>
      </c>
      <c r="L287" s="772" t="s">
        <v>398</v>
      </c>
      <c r="M287" s="1850" t="s">
        <v>1121</v>
      </c>
      <c r="N287" s="772" t="s">
        <v>1250</v>
      </c>
      <c r="O287" s="977" t="s">
        <v>3499</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4610</v>
      </c>
      <c r="L288" s="772" t="s">
        <v>398</v>
      </c>
      <c r="M288" s="1850" t="s">
        <v>1121</v>
      </c>
      <c r="N288" s="772" t="s">
        <v>1130</v>
      </c>
      <c r="O288" s="977" t="s">
        <v>3500</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3501</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3502</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3503</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3504</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4610</v>
      </c>
      <c r="L293" s="772" t="s">
        <v>398</v>
      </c>
      <c r="M293" s="1850" t="s">
        <v>1121</v>
      </c>
      <c r="N293" s="772" t="s">
        <v>1130</v>
      </c>
      <c r="O293" s="977" t="s">
        <v>3505</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3506</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4617</v>
      </c>
      <c r="L295" s="772" t="s">
        <v>397</v>
      </c>
      <c r="M295" s="1850" t="s">
        <v>2386</v>
      </c>
      <c r="N295" s="772" t="s">
        <v>154</v>
      </c>
      <c r="O295" s="977" t="s">
        <v>3507</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3508</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4618</v>
      </c>
      <c r="L297" s="772" t="s">
        <v>397</v>
      </c>
      <c r="M297" s="1850" t="s">
        <v>2386</v>
      </c>
      <c r="N297" s="772" t="s">
        <v>154</v>
      </c>
      <c r="O297" s="977" t="s">
        <v>3509</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3510</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3511</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3512</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3513</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3514</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3515</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3516</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3517</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3518</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3519</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3520</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3521</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4611</v>
      </c>
      <c r="L310" s="772" t="s">
        <v>398</v>
      </c>
      <c r="M310" s="1850" t="s">
        <v>2386</v>
      </c>
      <c r="N310" s="772" t="s">
        <v>1240</v>
      </c>
      <c r="O310" s="977" t="s">
        <v>3522</v>
      </c>
      <c r="P310" s="241" t="s">
        <v>695</v>
      </c>
      <c r="Q310" s="241"/>
      <c r="R310" s="147"/>
      <c r="S310" s="236"/>
      <c r="T310" s="391" t="s">
        <v>2525</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3523</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3524</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3525</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4610</v>
      </c>
      <c r="L314" s="772" t="s">
        <v>398</v>
      </c>
      <c r="M314" s="1850" t="s">
        <v>1121</v>
      </c>
      <c r="N314" s="772" t="s">
        <v>1130</v>
      </c>
      <c r="O314" s="977" t="s">
        <v>3526</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3527</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3528</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3529</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3530</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3531</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3532</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3533</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3534</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3535</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3536</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3537</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3538</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2526</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2527</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2528</v>
      </c>
      <c r="U351" s="391" t="s">
        <v>152</v>
      </c>
      <c r="W351" s="44"/>
      <c r="X351" s="44"/>
      <c r="AA351"/>
      <c r="AB351"/>
      <c r="AC351" s="379"/>
      <c r="AD351" s="68"/>
    </row>
    <row r="352" spans="16:30" ht="10.5" customHeight="1">
      <c r="P352" s="241" t="s">
        <v>1688</v>
      </c>
      <c r="Q352" s="241"/>
      <c r="R352" s="147"/>
      <c r="S352" s="236"/>
      <c r="T352" s="391" t="s">
        <v>2529</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3657</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3987</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2530</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2531</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3138</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2532</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2533</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2534</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2535</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2536</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2537</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3258</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2538</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2539</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2540</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2541</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2542</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2543</v>
      </c>
      <c r="U666" s="391" t="s">
        <v>313</v>
      </c>
      <c r="AA666"/>
      <c r="AB666"/>
      <c r="AC666" s="379"/>
      <c r="AD666" s="68"/>
    </row>
    <row r="667" spans="16:30" ht="10.5" customHeight="1">
      <c r="P667" s="241" t="s">
        <v>1745</v>
      </c>
      <c r="Q667" s="241"/>
      <c r="R667" s="147"/>
      <c r="S667" s="236"/>
      <c r="T667" s="391" t="s">
        <v>2544</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2545</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3658</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2546</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3659</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2547</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2548</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
      <c r="P771" s="145"/>
      <c r="Q771" s="145"/>
      <c r="R771" s="145"/>
      <c r="S771" s="145"/>
      <c r="T771" s="391" t="s">
        <v>285</v>
      </c>
      <c r="U771" s="236" t="s">
        <v>1249</v>
      </c>
      <c r="AA771"/>
      <c r="AB771"/>
      <c r="AC771" s="379"/>
      <c r="AD771" s="68"/>
    </row>
    <row r="772" spans="16:30" ht="13">
      <c r="P772" s="145"/>
      <c r="Q772" s="145"/>
      <c r="R772" s="145"/>
      <c r="S772" s="145"/>
      <c r="T772" s="236" t="s">
        <v>286</v>
      </c>
      <c r="U772" s="236" t="s">
        <v>1771</v>
      </c>
      <c r="AA772"/>
      <c r="AB772"/>
      <c r="AC772" s="68"/>
      <c r="AD772" s="68"/>
    </row>
    <row r="773" spans="16:30" ht="13">
      <c r="P773" s="145"/>
      <c r="Q773" s="145"/>
      <c r="R773" s="145"/>
      <c r="S773" s="145"/>
      <c r="T773" s="236" t="s">
        <v>287</v>
      </c>
      <c r="U773" s="236" t="s">
        <v>104</v>
      </c>
      <c r="AA773"/>
      <c r="AB773"/>
      <c r="AC773" s="68"/>
      <c r="AD773" s="68"/>
    </row>
    <row r="774" spans="16:30" ht="13">
      <c r="P774" s="145"/>
      <c r="Q774" s="145"/>
      <c r="R774" s="145"/>
      <c r="S774" s="145"/>
      <c r="T774" s="236" t="s">
        <v>288</v>
      </c>
      <c r="U774" s="236" t="s">
        <v>622</v>
      </c>
      <c r="AA774"/>
      <c r="AB774"/>
      <c r="AC774" s="68"/>
      <c r="AD774" s="68"/>
    </row>
    <row r="775" spans="16:30" ht="13">
      <c r="P775" s="145"/>
      <c r="Q775" s="145"/>
      <c r="R775" s="145"/>
      <c r="S775" s="145"/>
      <c r="T775" s="236" t="s">
        <v>108</v>
      </c>
      <c r="U775" s="236" t="s">
        <v>1234</v>
      </c>
      <c r="AA775"/>
      <c r="AB775"/>
      <c r="AC775" s="68"/>
      <c r="AD775" s="68"/>
    </row>
    <row r="776" spans="16:30" ht="13">
      <c r="P776" s="145"/>
      <c r="Q776" s="145"/>
      <c r="R776" s="145"/>
      <c r="S776" s="145"/>
      <c r="T776" s="236" t="s">
        <v>1436</v>
      </c>
      <c r="U776" s="236" t="s">
        <v>624</v>
      </c>
      <c r="AA776"/>
      <c r="AB776"/>
      <c r="AC776" s="68"/>
      <c r="AD776" s="68"/>
    </row>
    <row r="777" spans="16:30" ht="13">
      <c r="P777" s="145"/>
      <c r="Q777" s="145"/>
      <c r="R777" s="145"/>
      <c r="S777" s="145"/>
      <c r="T777" s="236" t="s">
        <v>1014</v>
      </c>
      <c r="U777" s="236" t="s">
        <v>152</v>
      </c>
      <c r="AA777"/>
      <c r="AB777"/>
      <c r="AC777" s="68"/>
      <c r="AD777" s="68"/>
    </row>
    <row r="778" spans="16:30" ht="13">
      <c r="P778" s="145"/>
      <c r="Q778" s="145"/>
      <c r="R778" s="145"/>
      <c r="S778" s="145"/>
      <c r="T778" s="236" t="s">
        <v>1437</v>
      </c>
      <c r="U778" s="236" t="s">
        <v>685</v>
      </c>
      <c r="AA778"/>
      <c r="AB778"/>
      <c r="AC778" s="68"/>
      <c r="AD778" s="68"/>
    </row>
    <row r="779" spans="16:30" ht="13">
      <c r="P779" s="145"/>
      <c r="Q779" s="145"/>
      <c r="R779" s="145"/>
      <c r="S779" s="145"/>
      <c r="T779" s="236" t="s">
        <v>1438</v>
      </c>
      <c r="U779" s="236" t="s">
        <v>1647</v>
      </c>
      <c r="AA779"/>
      <c r="AB779"/>
      <c r="AC779" s="68"/>
      <c r="AD779" s="68"/>
    </row>
    <row r="780" spans="16:30" ht="13">
      <c r="P780" s="145"/>
      <c r="Q780" s="145"/>
      <c r="R780" s="145"/>
      <c r="S780" s="145"/>
      <c r="T780" s="236" t="s">
        <v>1439</v>
      </c>
      <c r="U780" s="236" t="s">
        <v>1030</v>
      </c>
      <c r="AA780"/>
      <c r="AB780"/>
      <c r="AC780" s="68"/>
      <c r="AD780" s="68"/>
    </row>
    <row r="781" spans="16:30" ht="13">
      <c r="P781" s="145"/>
      <c r="Q781" s="145"/>
      <c r="R781" s="145"/>
      <c r="S781" s="145"/>
      <c r="T781" s="236" t="s">
        <v>1015</v>
      </c>
      <c r="U781" s="236" t="s">
        <v>152</v>
      </c>
      <c r="AA781"/>
      <c r="AB781"/>
      <c r="AC781" s="68"/>
      <c r="AD781" s="68"/>
    </row>
    <row r="782" spans="16:30" ht="13">
      <c r="P782" s="145"/>
      <c r="Q782" s="145"/>
      <c r="R782" s="145"/>
      <c r="S782" s="145"/>
      <c r="T782" s="236" t="s">
        <v>1440</v>
      </c>
      <c r="U782" s="236" t="s">
        <v>1233</v>
      </c>
      <c r="AA782"/>
      <c r="AB782"/>
      <c r="AC782" s="68"/>
      <c r="AD782" s="68"/>
    </row>
    <row r="783" spans="16:30" ht="13">
      <c r="P783" s="145"/>
      <c r="Q783" s="145"/>
      <c r="R783" s="145"/>
      <c r="S783" s="145"/>
      <c r="T783" s="236" t="s">
        <v>1441</v>
      </c>
      <c r="U783" s="236" t="s">
        <v>158</v>
      </c>
      <c r="AA783"/>
      <c r="AB783"/>
      <c r="AC783" s="68"/>
      <c r="AD783" s="68"/>
    </row>
    <row r="784" spans="16:30" ht="13">
      <c r="P784" s="145"/>
      <c r="Q784" s="145"/>
      <c r="R784" s="145"/>
      <c r="S784" s="145"/>
      <c r="T784" s="236" t="s">
        <v>1442</v>
      </c>
      <c r="U784" s="236" t="s">
        <v>1254</v>
      </c>
      <c r="AA784"/>
      <c r="AB784"/>
      <c r="AC784" s="68"/>
      <c r="AD784" s="68"/>
    </row>
    <row r="785" spans="16:30" ht="13">
      <c r="P785" s="145"/>
      <c r="Q785" s="145"/>
      <c r="R785" s="145"/>
      <c r="S785" s="145"/>
      <c r="T785" s="236" t="s">
        <v>1443</v>
      </c>
      <c r="U785" s="236" t="s">
        <v>1735</v>
      </c>
      <c r="AA785"/>
      <c r="AB785"/>
      <c r="AC785" s="68"/>
      <c r="AD785" s="68"/>
    </row>
    <row r="786" spans="16:30" ht="13">
      <c r="P786" s="145"/>
      <c r="Q786" s="145"/>
      <c r="R786" s="145"/>
      <c r="S786" s="145"/>
      <c r="T786" s="236" t="s">
        <v>1444</v>
      </c>
      <c r="U786" s="236" t="s">
        <v>2017</v>
      </c>
      <c r="AA786"/>
      <c r="AB786"/>
      <c r="AC786" s="68"/>
      <c r="AD786" s="68"/>
    </row>
    <row r="787" spans="16:30" ht="13">
      <c r="P787" s="145"/>
      <c r="Q787" s="145"/>
      <c r="R787" s="145"/>
      <c r="S787" s="145"/>
      <c r="T787" s="236" t="s">
        <v>1445</v>
      </c>
      <c r="U787" s="236" t="s">
        <v>157</v>
      </c>
      <c r="AA787"/>
      <c r="AB787"/>
      <c r="AC787" s="68"/>
      <c r="AD787" s="68"/>
    </row>
    <row r="788" spans="16:30" ht="13">
      <c r="P788" s="145"/>
      <c r="Q788" s="145"/>
      <c r="R788" s="145"/>
      <c r="S788" s="145"/>
      <c r="T788" s="236" t="s">
        <v>2190</v>
      </c>
      <c r="U788" s="236" t="s">
        <v>624</v>
      </c>
      <c r="AA788"/>
      <c r="AB788"/>
      <c r="AC788" s="68"/>
      <c r="AD788" s="68"/>
    </row>
    <row r="789" spans="16:30" ht="13">
      <c r="P789" s="145"/>
      <c r="Q789" s="145"/>
      <c r="R789" s="145"/>
      <c r="S789" s="145"/>
      <c r="T789" s="236" t="s">
        <v>2191</v>
      </c>
      <c r="U789" s="236" t="s">
        <v>610</v>
      </c>
      <c r="AA789"/>
      <c r="AB789"/>
      <c r="AC789" s="68"/>
      <c r="AD789" s="68"/>
    </row>
    <row r="790" spans="16:30" ht="13">
      <c r="P790" s="145"/>
      <c r="Q790" s="145"/>
      <c r="R790" s="145"/>
      <c r="S790" s="145"/>
      <c r="T790" s="236" t="s">
        <v>2192</v>
      </c>
      <c r="U790" s="236" t="s">
        <v>315</v>
      </c>
      <c r="AA790"/>
      <c r="AB790"/>
      <c r="AC790" s="68"/>
      <c r="AD790" s="68"/>
    </row>
    <row r="791" spans="16:30" ht="13">
      <c r="P791" s="145"/>
      <c r="Q791" s="145"/>
      <c r="R791" s="145"/>
      <c r="S791" s="145"/>
      <c r="T791" s="236" t="s">
        <v>776</v>
      </c>
      <c r="U791" s="236" t="s">
        <v>319</v>
      </c>
      <c r="AA791"/>
      <c r="AB791"/>
      <c r="AC791" s="68"/>
      <c r="AD791" s="68"/>
    </row>
    <row r="792" spans="16:30" ht="13">
      <c r="P792" s="145"/>
      <c r="Q792" s="145"/>
      <c r="R792" s="145"/>
      <c r="S792" s="145"/>
      <c r="T792" s="236" t="s">
        <v>777</v>
      </c>
      <c r="U792" s="236" t="s">
        <v>1855</v>
      </c>
      <c r="AA792"/>
      <c r="AB792"/>
      <c r="AC792" s="68"/>
      <c r="AD792" s="68"/>
    </row>
    <row r="793" spans="16:30" ht="13">
      <c r="P793" s="145"/>
      <c r="Q793" s="145"/>
      <c r="R793" s="145"/>
      <c r="S793" s="145"/>
      <c r="T793" s="236" t="s">
        <v>2549</v>
      </c>
      <c r="U793" s="236" t="s">
        <v>108</v>
      </c>
      <c r="AA793"/>
      <c r="AB793"/>
      <c r="AC793" s="68"/>
      <c r="AD793" s="68"/>
    </row>
    <row r="794" spans="16:30" ht="13">
      <c r="P794" s="145"/>
      <c r="Q794" s="145"/>
      <c r="R794" s="145"/>
      <c r="S794" s="145"/>
      <c r="T794" s="236" t="s">
        <v>778</v>
      </c>
      <c r="U794" s="236" t="s">
        <v>1767</v>
      </c>
      <c r="AA794"/>
      <c r="AB794"/>
      <c r="AC794" s="68"/>
      <c r="AD794" s="68"/>
    </row>
    <row r="795" spans="16:30" ht="13">
      <c r="P795" s="145"/>
      <c r="Q795" s="145"/>
      <c r="R795" s="145"/>
      <c r="S795" s="145"/>
      <c r="T795" s="236" t="s">
        <v>779</v>
      </c>
      <c r="U795" s="236" t="s">
        <v>1030</v>
      </c>
      <c r="AA795"/>
      <c r="AB795"/>
      <c r="AC795" s="68"/>
      <c r="AD795" s="68"/>
    </row>
    <row r="796" spans="16:30" ht="13">
      <c r="P796" s="145"/>
      <c r="Q796" s="145"/>
      <c r="R796" s="145"/>
      <c r="S796" s="145"/>
      <c r="T796" s="236"/>
      <c r="U796" s="236"/>
      <c r="AA796"/>
      <c r="AB796"/>
      <c r="AC796" s="68"/>
      <c r="AD796" s="68"/>
    </row>
    <row r="797" spans="16:30" ht="13">
      <c r="P797" s="145"/>
      <c r="Q797" s="145"/>
      <c r="R797" s="145"/>
      <c r="S797" s="145"/>
      <c r="T797" s="236"/>
      <c r="U797" s="236"/>
      <c r="AA797"/>
      <c r="AB797"/>
      <c r="AC797" s="68"/>
      <c r="AD797" s="68"/>
    </row>
    <row r="798" spans="16:30" ht="13">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796875" defaultRowHeight="12.5"/>
  <cols>
    <col min="1" max="8" width="9.26953125" style="356" bestFit="1" customWidth="1"/>
    <col min="9" max="9" width="14.453125" style="356" bestFit="1" customWidth="1"/>
    <col min="10" max="10" width="9.26953125" style="356" bestFit="1" customWidth="1"/>
    <col min="11" max="11" width="9.453125" style="356" bestFit="1" customWidth="1"/>
    <col min="12" max="15" width="9.26953125" style="356" bestFit="1" customWidth="1"/>
    <col min="16" max="16" width="9.54296875" style="356" bestFit="1" customWidth="1"/>
    <col min="17" max="21" width="9.26953125" style="356" bestFit="1" customWidth="1"/>
    <col min="22" max="22" width="9.54296875" style="356" customWidth="1"/>
    <col min="23" max="23" width="9.26953125" style="356" bestFit="1" customWidth="1"/>
    <col min="24" max="24" width="11.453125" style="356" customWidth="1"/>
    <col min="25" max="394" width="9.26953125" style="356" bestFit="1" customWidth="1"/>
    <col min="395" max="415" width="9.1796875" style="356"/>
    <col min="416" max="416" width="9.26953125" style="356" bestFit="1" customWidth="1"/>
    <col min="417" max="16384" width="9.1796875" style="356"/>
  </cols>
  <sheetData>
    <row r="1" spans="1:16" ht="13">
      <c r="A1" s="2545" t="str">
        <f>CONCATENATE("Part I-Project Identification"," - ",$O$7," ",$F$26,", ",$F$27,", ",J26," County")</f>
        <v>Part I-Project Identification -  College Park, City Limits, Fulton County</v>
      </c>
      <c r="B1" s="2545"/>
      <c r="C1" s="2545"/>
      <c r="D1" s="2545"/>
      <c r="E1" s="2545"/>
      <c r="F1" s="2545"/>
      <c r="G1" s="2545"/>
      <c r="H1" s="2545"/>
      <c r="I1" s="2545"/>
      <c r="J1" s="2545"/>
      <c r="K1" s="2545"/>
      <c r="L1" s="2545"/>
      <c r="M1" s="2545"/>
      <c r="N1" s="2545"/>
      <c r="O1" s="2545"/>
      <c r="P1" s="2545"/>
    </row>
    <row r="2" spans="1:16" ht="13">
      <c r="A2" s="2546"/>
      <c r="B2" s="2546"/>
      <c r="C2" s="2546"/>
      <c r="D2" s="2546"/>
      <c r="E2" s="2546"/>
      <c r="F2" s="2546"/>
      <c r="G2" s="2546"/>
      <c r="H2" s="2546"/>
      <c r="I2" s="2546"/>
      <c r="J2" s="2546"/>
      <c r="K2" s="2546"/>
      <c r="L2" s="2546"/>
      <c r="M2" s="2546"/>
      <c r="N2" s="2546"/>
      <c r="O2" s="2546"/>
      <c r="P2" s="2546"/>
    </row>
    <row r="3" spans="1:16" ht="12.75" customHeight="1">
      <c r="A3" s="2545" t="s">
        <v>5118</v>
      </c>
      <c r="B3" s="2545"/>
      <c r="C3" s="2545"/>
      <c r="D3" s="2545"/>
      <c r="E3" s="2545"/>
      <c r="F3" s="2545"/>
      <c r="G3" s="2545"/>
      <c r="H3" s="2545"/>
      <c r="I3" s="2545"/>
      <c r="J3" s="2545"/>
      <c r="K3" s="2545"/>
      <c r="L3" s="2545"/>
      <c r="M3" s="2545"/>
      <c r="N3" s="2545"/>
      <c r="O3" s="2545"/>
      <c r="P3" s="2545"/>
    </row>
    <row r="4" spans="1:16" ht="13">
      <c r="A4" s="2546"/>
      <c r="B4" s="2546"/>
      <c r="C4" s="2546"/>
      <c r="D4" s="2546"/>
      <c r="E4" s="2546"/>
      <c r="F4" s="2546"/>
      <c r="G4" s="2546"/>
      <c r="H4" s="2546"/>
      <c r="I4" s="2546"/>
      <c r="J4" s="2546"/>
      <c r="K4" s="2546"/>
      <c r="L4" s="2546"/>
      <c r="M4" s="2546"/>
      <c r="N4" s="2546"/>
      <c r="O4" s="2546"/>
      <c r="P4" s="2546"/>
    </row>
    <row r="5" spans="1:16" ht="14.25" customHeight="1">
      <c r="A5" s="2547" t="str">
        <f>'Part I-Project Identification'!$A$6</f>
        <v>August 11, 2025</v>
      </c>
      <c r="B5" s="2547"/>
      <c r="C5" s="2547"/>
      <c r="D5" s="2547"/>
      <c r="E5" s="1711"/>
      <c r="F5" s="2546"/>
      <c r="G5" s="2548" t="s">
        <v>5119</v>
      </c>
      <c r="H5" s="1711"/>
      <c r="I5" s="1711"/>
      <c r="J5" s="1711"/>
      <c r="K5" s="1711"/>
      <c r="L5" s="2546"/>
      <c r="M5" s="1711"/>
      <c r="N5" s="1711"/>
      <c r="O5" s="1711"/>
      <c r="P5" s="2549" t="s">
        <v>3206</v>
      </c>
    </row>
    <row r="6" spans="1:16" ht="14.25" customHeight="1">
      <c r="A6" s="2547"/>
      <c r="B6" s="2547"/>
      <c r="C6" s="2547"/>
      <c r="D6" s="2547"/>
      <c r="E6" s="358"/>
      <c r="F6" s="2546"/>
      <c r="G6" s="2548" t="s">
        <v>5120</v>
      </c>
      <c r="H6" s="1524"/>
      <c r="I6" s="1524"/>
      <c r="J6" s="1524"/>
      <c r="K6" s="1711"/>
      <c r="L6" s="1711"/>
      <c r="M6" s="1711"/>
      <c r="N6" s="1711"/>
      <c r="O6" s="2545" t="str">
        <f>'Part I-Project Identification'!O7</f>
        <v>2025-5</v>
      </c>
      <c r="P6" s="2545"/>
    </row>
    <row r="7" spans="1:16" ht="12.75" customHeight="1">
      <c r="A7" s="2547"/>
      <c r="B7" s="2547"/>
      <c r="C7" s="2547"/>
      <c r="D7" s="2547"/>
      <c r="E7" s="358"/>
      <c r="F7" s="2545"/>
      <c r="G7" s="2550" t="s">
        <v>2893</v>
      </c>
      <c r="H7" s="1524"/>
      <c r="I7" s="1524"/>
      <c r="J7" s="1524"/>
      <c r="K7" s="1711"/>
      <c r="L7" s="1711"/>
      <c r="M7" s="1711"/>
      <c r="N7" s="1711"/>
      <c r="O7" s="1711"/>
      <c r="P7" s="1711"/>
    </row>
    <row r="8" spans="1:16" ht="13">
      <c r="A8" s="2546"/>
      <c r="B8" s="1711"/>
      <c r="C8" s="1711"/>
      <c r="D8" s="1711"/>
      <c r="E8" s="1524"/>
      <c r="F8" s="1711"/>
      <c r="G8" s="1711"/>
      <c r="H8" s="1524"/>
      <c r="I8" s="1524"/>
      <c r="J8" s="1711"/>
      <c r="K8" s="1711"/>
      <c r="L8" s="1711"/>
      <c r="M8" s="1524"/>
      <c r="N8" s="1711"/>
      <c r="O8" s="1711"/>
      <c r="P8" s="1711"/>
    </row>
    <row r="9" spans="1:16" ht="13">
      <c r="A9" s="2545" t="s">
        <v>572</v>
      </c>
      <c r="B9" s="2545" t="s">
        <v>2186</v>
      </c>
      <c r="C9" s="1711"/>
      <c r="D9" s="377"/>
      <c r="E9" s="1524"/>
      <c r="F9" s="2551" t="s">
        <v>3184</v>
      </c>
      <c r="G9" s="1711"/>
      <c r="H9" s="1711"/>
      <c r="I9" s="2552">
        <f>'Part III-A-Uses of Funds'!$J$192</f>
        <v>1478480</v>
      </c>
      <c r="J9" s="2552"/>
      <c r="K9" s="1711"/>
      <c r="L9" s="1711" t="s">
        <v>3185</v>
      </c>
      <c r="M9" s="1711"/>
      <c r="N9" s="1711"/>
      <c r="O9" s="2553">
        <f>'Part II-Sources of Funds'!$H$6</f>
        <v>0</v>
      </c>
      <c r="P9" s="2553"/>
    </row>
    <row r="10" spans="1:16" ht="13">
      <c r="A10" s="2545"/>
      <c r="B10" s="2545"/>
      <c r="C10" s="1711"/>
      <c r="D10" s="377"/>
      <c r="E10" s="1524"/>
      <c r="F10" s="1524"/>
      <c r="G10" s="1711"/>
      <c r="H10" s="1711"/>
      <c r="I10" s="2554"/>
      <c r="J10" s="1711"/>
      <c r="K10" s="1711"/>
      <c r="L10" s="1711"/>
      <c r="M10" s="1711"/>
      <c r="N10" s="2555"/>
      <c r="O10" s="1711"/>
      <c r="P10" s="1711"/>
    </row>
    <row r="11" spans="1:16" ht="13">
      <c r="A11" s="2554" t="s">
        <v>688</v>
      </c>
      <c r="B11" s="2545" t="s">
        <v>1886</v>
      </c>
      <c r="C11" s="1711"/>
      <c r="D11" s="1711"/>
      <c r="E11" s="1711"/>
      <c r="F11" s="2411" t="str">
        <f>'Part I-Project Identification'!F12</f>
        <v>4% Credit/TE Bond</v>
      </c>
      <c r="G11" s="2411"/>
      <c r="H11" s="2411"/>
      <c r="I11" s="2556" t="s">
        <v>5121</v>
      </c>
      <c r="J11" s="2411" t="s">
        <v>5122</v>
      </c>
      <c r="K11" s="2545"/>
      <c r="L11" s="1524"/>
      <c r="M11" s="1711"/>
      <c r="N11" s="1711"/>
      <c r="O11" s="1711" t="str">
        <f>'Part I-Project Identification'!O12</f>
        <v>&lt;&lt;Enter Pre-App Nbr&gt;&gt;</v>
      </c>
      <c r="P11" s="1711"/>
    </row>
    <row r="12" spans="1:16" ht="14">
      <c r="A12" s="2557"/>
      <c r="B12" s="2415"/>
      <c r="C12" s="2558"/>
      <c r="D12" s="2558"/>
      <c r="E12" s="2558"/>
      <c r="F12" s="2559" t="s">
        <v>4798</v>
      </c>
      <c r="G12" s="2415"/>
      <c r="H12" s="2560"/>
      <c r="I12" s="2560"/>
      <c r="J12" s="2560"/>
      <c r="K12" s="2560"/>
      <c r="L12" s="2560"/>
      <c r="M12" s="2560"/>
      <c r="N12" s="2560"/>
      <c r="O12" s="2560"/>
      <c r="P12" s="2417" t="str">
        <f>'Part I-Project Identification'!P13</f>
        <v>Yes</v>
      </c>
    </row>
    <row r="13" spans="1:16" ht="13">
      <c r="A13" s="2546"/>
      <c r="B13" s="377"/>
      <c r="C13" s="377"/>
      <c r="D13" s="377"/>
      <c r="E13" s="377"/>
      <c r="F13" s="1711"/>
      <c r="G13" s="1711"/>
      <c r="H13" s="1524"/>
      <c r="I13" s="1711"/>
      <c r="J13" s="2551"/>
      <c r="K13" s="2554"/>
      <c r="L13" s="1711"/>
      <c r="M13" s="1524"/>
      <c r="N13" s="1711"/>
      <c r="O13" s="1711"/>
      <c r="P13" s="1711"/>
    </row>
    <row r="14" spans="1:16" ht="13">
      <c r="A14" s="2554" t="s">
        <v>690</v>
      </c>
      <c r="B14" s="2545" t="s">
        <v>3553</v>
      </c>
      <c r="C14" s="1711"/>
      <c r="D14" s="2551"/>
      <c r="E14" s="1524"/>
      <c r="F14" s="1711"/>
      <c r="G14" s="1524"/>
      <c r="H14" s="1524"/>
      <c r="I14" s="2561" t="s">
        <v>3211</v>
      </c>
      <c r="J14" s="1711"/>
      <c r="K14" s="1711"/>
      <c r="L14" s="2555"/>
      <c r="M14" s="1711"/>
      <c r="N14" s="1711"/>
      <c r="O14" s="1711"/>
      <c r="P14" s="1711"/>
    </row>
    <row r="15" spans="1:16" ht="13">
      <c r="A15" s="1711"/>
      <c r="B15" s="1711" t="s">
        <v>3212</v>
      </c>
      <c r="C15" s="1711"/>
      <c r="D15" s="1711"/>
      <c r="E15" s="1711"/>
      <c r="F15" s="1711" t="str">
        <f>'Part I-Project Identification'!F16</f>
        <v>National Church Residences</v>
      </c>
      <c r="G15" s="1711"/>
      <c r="H15" s="1711"/>
      <c r="I15" s="1711" t="s">
        <v>1665</v>
      </c>
      <c r="J15" s="1711" t="str">
        <f>'Part I-Project Identification'!J16</f>
        <v>Eric Walker</v>
      </c>
      <c r="K15" s="1711"/>
      <c r="L15" s="1711"/>
      <c r="M15" s="2551" t="s">
        <v>1834</v>
      </c>
      <c r="N15" s="1711" t="str">
        <f>'Part I-Project Identification'!N16</f>
        <v>Vice President, Affordable Housing</v>
      </c>
      <c r="O15" s="1711"/>
      <c r="P15" s="1711"/>
    </row>
    <row r="16" spans="1:16" ht="13">
      <c r="A16" s="1711"/>
      <c r="B16" s="2551" t="s">
        <v>1597</v>
      </c>
      <c r="C16" s="1711"/>
      <c r="D16" s="1711"/>
      <c r="E16" s="1711"/>
      <c r="F16" s="2562">
        <f>'Part I-Project Identification'!F17</f>
        <v>6144512151</v>
      </c>
      <c r="G16" s="2562"/>
      <c r="H16" s="2562"/>
      <c r="I16" s="2551" t="s">
        <v>1596</v>
      </c>
      <c r="J16" s="1524">
        <f>'Part I-Project Identification'!J17</f>
        <v>0</v>
      </c>
      <c r="K16" s="1711"/>
      <c r="L16" s="1711"/>
      <c r="M16" s="2551" t="s">
        <v>1598</v>
      </c>
      <c r="N16" s="2562">
        <f>'Part I-Project Identification'!N17</f>
        <v>6142733734</v>
      </c>
      <c r="O16" s="2562"/>
      <c r="P16" s="2562"/>
    </row>
    <row r="17" spans="1:16" ht="13">
      <c r="A17" s="1711"/>
      <c r="B17" s="2551" t="s">
        <v>1837</v>
      </c>
      <c r="C17" s="1711"/>
      <c r="D17" s="1711"/>
      <c r="E17" s="1711"/>
      <c r="F17" s="1711" t="str">
        <f>'Part I-Project Identification'!F18</f>
        <v>ewalker@nationalchurchresidences.org</v>
      </c>
      <c r="G17" s="1711"/>
      <c r="H17" s="1711"/>
      <c r="I17" s="1711"/>
      <c r="J17" s="1711"/>
      <c r="K17" s="1711"/>
      <c r="L17" s="1711"/>
      <c r="M17" s="2551" t="s">
        <v>1833</v>
      </c>
      <c r="N17" s="2562">
        <f>'Part I-Project Identification'!N18</f>
        <v>6144037558</v>
      </c>
      <c r="O17" s="2562"/>
      <c r="P17" s="2562"/>
    </row>
    <row r="18" spans="1:16" ht="13">
      <c r="A18" s="2546"/>
      <c r="B18" s="2545" t="s">
        <v>3552</v>
      </c>
      <c r="C18" s="377"/>
      <c r="D18" s="1711"/>
      <c r="E18" s="1711"/>
      <c r="F18" s="1711"/>
      <c r="G18" s="1711"/>
      <c r="H18" s="1524"/>
      <c r="I18" s="1711"/>
      <c r="J18" s="377"/>
      <c r="K18" s="1711"/>
      <c r="L18" s="1711"/>
      <c r="M18" s="1711"/>
      <c r="N18" s="1711"/>
      <c r="O18" s="1711"/>
      <c r="P18" s="1524"/>
    </row>
    <row r="19" spans="1:16" ht="13">
      <c r="A19" s="1711"/>
      <c r="B19" s="1711" t="s">
        <v>3212</v>
      </c>
      <c r="C19" s="1711"/>
      <c r="D19" s="1711"/>
      <c r="E19" s="1711"/>
      <c r="F19" s="1711" t="str">
        <f>'Part I-Project Identification'!F20</f>
        <v>National Church Residences</v>
      </c>
      <c r="G19" s="1711"/>
      <c r="H19" s="1711"/>
      <c r="I19" s="1711" t="s">
        <v>1665</v>
      </c>
      <c r="J19" s="1711" t="str">
        <f>'Part I-Project Identification'!J20</f>
        <v>Maureen Freehill</v>
      </c>
      <c r="K19" s="1711"/>
      <c r="L19" s="1711"/>
      <c r="M19" s="2551" t="s">
        <v>1834</v>
      </c>
      <c r="N19" s="1711" t="str">
        <f>'Part I-Project Identification'!N20</f>
        <v>Director, Affordable Housing</v>
      </c>
      <c r="O19" s="1711"/>
      <c r="P19" s="1711"/>
    </row>
    <row r="20" spans="1:16" ht="13">
      <c r="A20" s="1711"/>
      <c r="B20" s="2551" t="s">
        <v>1597</v>
      </c>
      <c r="C20" s="1711"/>
      <c r="D20" s="1711"/>
      <c r="E20" s="1711"/>
      <c r="F20" s="2562">
        <f>'Part I-Project Identification'!F21</f>
        <v>4044483184</v>
      </c>
      <c r="G20" s="2562"/>
      <c r="H20" s="2562"/>
      <c r="I20" s="2551" t="s">
        <v>1596</v>
      </c>
      <c r="J20" s="1524">
        <f>'Part I-Project Identification'!J21</f>
        <v>0</v>
      </c>
      <c r="K20" s="1711"/>
      <c r="L20" s="1711"/>
      <c r="M20" s="2551" t="s">
        <v>1598</v>
      </c>
      <c r="N20" s="2562">
        <f>'Part I-Project Identification'!N21</f>
        <v>8457064788</v>
      </c>
      <c r="O20" s="2562"/>
      <c r="P20" s="2562"/>
    </row>
    <row r="21" spans="1:16" ht="13">
      <c r="A21" s="1711"/>
      <c r="B21" s="2551" t="s">
        <v>1837</v>
      </c>
      <c r="C21" s="1711"/>
      <c r="D21" s="1711"/>
      <c r="E21" s="1711"/>
      <c r="F21" s="1711" t="str">
        <f>'Part I-Project Identification'!F22</f>
        <v>mfreehill@nationalchurchresidences.org</v>
      </c>
      <c r="G21" s="1711"/>
      <c r="H21" s="1711"/>
      <c r="I21" s="1711"/>
      <c r="J21" s="1711"/>
      <c r="K21" s="1711"/>
      <c r="L21" s="1711"/>
      <c r="M21" s="2551" t="s">
        <v>1833</v>
      </c>
      <c r="N21" s="2562">
        <f>'Part I-Project Identification'!N22</f>
        <v>8457064788</v>
      </c>
      <c r="O21" s="2562"/>
      <c r="P21" s="2562"/>
    </row>
    <row r="22" spans="1:16" ht="13">
      <c r="A22" s="1711"/>
      <c r="B22" s="1711"/>
      <c r="C22" s="1711"/>
      <c r="D22" s="1711"/>
      <c r="E22" s="1711"/>
      <c r="F22" s="1711"/>
      <c r="G22" s="1711"/>
      <c r="H22" s="1711"/>
      <c r="I22" s="377"/>
      <c r="J22" s="377"/>
      <c r="K22" s="377"/>
      <c r="L22" s="377"/>
      <c r="M22" s="377"/>
      <c r="N22" s="377"/>
      <c r="O22" s="377"/>
      <c r="P22" s="377"/>
    </row>
    <row r="23" spans="1:16" ht="13">
      <c r="A23" s="2554" t="s">
        <v>1661</v>
      </c>
      <c r="B23" s="2545" t="s">
        <v>1379</v>
      </c>
      <c r="C23" s="1711"/>
      <c r="D23" s="377"/>
      <c r="E23" s="1524"/>
      <c r="F23" s="1524"/>
      <c r="G23" s="2551"/>
      <c r="H23" s="1524"/>
      <c r="I23" s="1524"/>
      <c r="J23" s="1524"/>
      <c r="K23" s="1711"/>
      <c r="L23" s="1711"/>
      <c r="M23" s="1711"/>
      <c r="N23" s="1711"/>
      <c r="O23" s="1711"/>
      <c r="P23" s="1711"/>
    </row>
    <row r="24" spans="1:16" ht="13">
      <c r="A24" s="2554"/>
      <c r="B24" s="2545"/>
      <c r="C24" s="1711"/>
      <c r="D24" s="377"/>
      <c r="E24" s="1524"/>
      <c r="F24" s="1524"/>
      <c r="G24" s="2551"/>
      <c r="H24" s="1524"/>
      <c r="I24" s="1524"/>
      <c r="J24" s="1524"/>
      <c r="K24" s="1711"/>
      <c r="L24" s="2555"/>
      <c r="M24" s="2555"/>
      <c r="N24" s="1711"/>
      <c r="O24" s="1711"/>
      <c r="P24" s="1711"/>
    </row>
    <row r="25" spans="1:16" ht="13">
      <c r="A25" s="2545"/>
      <c r="B25" s="1711" t="s">
        <v>573</v>
      </c>
      <c r="C25" s="1711"/>
      <c r="D25" s="2545"/>
      <c r="E25" s="1711"/>
      <c r="F25" s="1711" t="str">
        <f>'Part I-Project Identification'!F26</f>
        <v>Princeton Court</v>
      </c>
      <c r="G25" s="1711"/>
      <c r="H25" s="1711"/>
      <c r="I25" s="1711"/>
      <c r="J25" s="1711"/>
      <c r="K25" s="1711"/>
      <c r="L25" s="1711"/>
      <c r="M25" s="2551" t="s">
        <v>424</v>
      </c>
      <c r="N25" s="1711"/>
      <c r="O25" s="1711"/>
      <c r="P25" s="2563" t="str">
        <f>'Part I-Project Identification'!P26</f>
        <v>Yes</v>
      </c>
    </row>
    <row r="26" spans="1:16" ht="13">
      <c r="A26" s="2546"/>
      <c r="B26" s="1711" t="s">
        <v>574</v>
      </c>
      <c r="C26" s="1711"/>
      <c r="D26" s="1711"/>
      <c r="E26" s="1711"/>
      <c r="F26" s="1711" t="str">
        <f>'Part I-Project Identification'!F27</f>
        <v>College Park</v>
      </c>
      <c r="G26" s="1711"/>
      <c r="H26" s="1711"/>
      <c r="I26" s="2564" t="s">
        <v>575</v>
      </c>
      <c r="J26" s="1711" t="str">
        <f>'Part I-Project Identification'!J27</f>
        <v>Fulton</v>
      </c>
      <c r="K26" s="1711"/>
      <c r="L26" s="1711"/>
      <c r="M26" s="2551" t="s">
        <v>425</v>
      </c>
      <c r="N26" s="1711"/>
      <c r="O26" s="1711"/>
      <c r="P26" s="2563" t="str">
        <f>'Part I-Project Identification'!P27</f>
        <v>No</v>
      </c>
    </row>
    <row r="27" spans="1:16" ht="13">
      <c r="A27" s="2546"/>
      <c r="B27" s="1711" t="s">
        <v>3780</v>
      </c>
      <c r="C27" s="2565"/>
      <c r="D27" s="1583"/>
      <c r="E27" s="1583"/>
      <c r="F27" s="1711" t="str">
        <f>'Part I-Project Identification'!F28</f>
        <v>City Limits</v>
      </c>
      <c r="G27" s="1711"/>
      <c r="H27" s="1711"/>
      <c r="I27" s="1524"/>
      <c r="J27" s="378" t="s">
        <v>4607</v>
      </c>
      <c r="K27" s="1524"/>
      <c r="L27" s="1711"/>
      <c r="M27" s="2551" t="s">
        <v>4550</v>
      </c>
      <c r="N27" s="1711"/>
      <c r="O27" s="2566">
        <f>'Part I-Project Identification'!O28</f>
        <v>4.46</v>
      </c>
      <c r="P27" s="2566"/>
    </row>
    <row r="28" spans="1:16" ht="13">
      <c r="A28" s="2546"/>
      <c r="B28" s="1711" t="s">
        <v>1453</v>
      </c>
      <c r="C28" s="1711"/>
      <c r="D28" s="1711"/>
      <c r="E28" s="1711"/>
      <c r="F28" s="2551" t="str">
        <f>'Part I-Project Identification'!F29</f>
        <v>No</v>
      </c>
      <c r="G28" s="1711"/>
      <c r="H28" s="1711"/>
      <c r="I28" s="1524"/>
      <c r="J28" s="1524" t="s">
        <v>2493</v>
      </c>
      <c r="K28" s="1524" t="str">
        <f>'Part I-Project Identification'!K29</f>
        <v>Urban</v>
      </c>
      <c r="L28" s="1711"/>
      <c r="M28" s="2551" t="s">
        <v>2393</v>
      </c>
      <c r="N28" s="2546" t="str">
        <f>'Part I-Project Identification'!N29</f>
        <v>MSA</v>
      </c>
      <c r="O28" s="1711" t="str">
        <f>'Part I-Project Identification'!O29</f>
        <v>Atlanta-Sandy Springs-Marietta</v>
      </c>
      <c r="P28" s="1711"/>
    </row>
    <row r="29" spans="1:16" ht="13">
      <c r="A29" s="2546"/>
      <c r="B29" s="2546"/>
      <c r="C29" s="2565"/>
      <c r="D29" s="1583"/>
      <c r="E29" s="1583"/>
      <c r="F29" s="1524"/>
      <c r="G29" s="1524"/>
      <c r="H29" s="1524"/>
      <c r="I29" s="1524"/>
      <c r="J29" s="1583"/>
      <c r="K29" s="1524"/>
      <c r="L29" s="1524"/>
      <c r="M29" s="1711"/>
      <c r="N29" s="1711"/>
      <c r="O29" s="1711"/>
      <c r="P29" s="1524"/>
    </row>
    <row r="30" spans="1:16" ht="13">
      <c r="A30" s="2554" t="s">
        <v>1663</v>
      </c>
      <c r="B30" s="2554" t="s">
        <v>4539</v>
      </c>
      <c r="C30" s="1711"/>
      <c r="D30" s="376"/>
      <c r="E30" s="376"/>
      <c r="F30" s="376"/>
      <c r="G30" s="1524"/>
      <c r="H30" s="1524"/>
      <c r="I30" s="1524"/>
      <c r="J30" s="1583"/>
      <c r="K30" s="1524"/>
      <c r="L30" s="1524"/>
      <c r="M30" s="1711"/>
      <c r="N30" s="1711"/>
      <c r="O30" s="1711"/>
      <c r="P30" s="1524"/>
    </row>
    <row r="31" spans="1:16" ht="13">
      <c r="A31" s="2546"/>
      <c r="B31" s="2546"/>
      <c r="C31" s="1711"/>
      <c r="D31" s="1711"/>
      <c r="E31" s="1711"/>
      <c r="F31" s="1711"/>
      <c r="G31" s="1711"/>
      <c r="H31" s="1711"/>
      <c r="I31" s="1711"/>
      <c r="J31" s="1711"/>
      <c r="K31" s="1711"/>
      <c r="L31" s="1711"/>
      <c r="M31" s="2551"/>
      <c r="N31" s="2567"/>
      <c r="O31" s="2567"/>
      <c r="P31" s="2568"/>
    </row>
    <row r="32" spans="1:16" ht="13">
      <c r="A32" s="2546"/>
      <c r="B32" s="2554" t="s">
        <v>4538</v>
      </c>
      <c r="C32" s="1711"/>
      <c r="D32" s="2569"/>
      <c r="E32" s="2569"/>
      <c r="F32" s="2569"/>
      <c r="G32" s="2569"/>
      <c r="H32" s="1524"/>
      <c r="I32" s="1711"/>
      <c r="J32" s="377"/>
      <c r="K32" s="1583"/>
      <c r="L32" s="1711"/>
      <c r="M32" s="1711"/>
      <c r="N32" s="1711"/>
      <c r="O32" s="1711"/>
      <c r="P32" s="1524"/>
    </row>
    <row r="33" spans="1:17" ht="13">
      <c r="A33" s="2546"/>
      <c r="B33" s="2546"/>
      <c r="C33" s="2554"/>
      <c r="D33" s="2569"/>
      <c r="E33" s="2569"/>
      <c r="F33" s="2569"/>
      <c r="G33" s="2569"/>
      <c r="H33" s="1524"/>
      <c r="I33" s="1711"/>
      <c r="J33" s="377"/>
      <c r="K33" s="1583"/>
      <c r="L33" s="1711"/>
      <c r="M33" s="1711"/>
      <c r="N33" s="1711"/>
      <c r="O33" s="1711"/>
      <c r="P33" s="1524"/>
    </row>
    <row r="34" spans="1:17" ht="13">
      <c r="A34" s="2546"/>
      <c r="B34" s="2546"/>
      <c r="C34" s="1711"/>
      <c r="D34" s="2411"/>
      <c r="E34" s="1711"/>
      <c r="F34" s="1711"/>
      <c r="G34" s="1711"/>
      <c r="H34" s="1711"/>
      <c r="J34" s="1711"/>
      <c r="K34" s="2545"/>
      <c r="L34" s="1711"/>
      <c r="M34" s="1711"/>
      <c r="N34" s="1711"/>
      <c r="O34" s="1711"/>
      <c r="P34" s="1583"/>
    </row>
    <row r="35" spans="1:17" ht="13">
      <c r="A35" s="2546"/>
      <c r="B35" s="2545"/>
      <c r="C35" s="1711"/>
      <c r="D35" s="1711"/>
      <c r="E35" s="1711"/>
      <c r="F35" s="1711"/>
      <c r="G35" s="1711"/>
      <c r="H35" s="1711"/>
      <c r="I35" s="1583"/>
      <c r="J35" s="2564"/>
      <c r="K35" s="1711"/>
      <c r="L35" s="1711"/>
      <c r="M35" s="1711"/>
      <c r="N35" s="1711"/>
      <c r="O35" s="2570"/>
      <c r="P35" s="2570"/>
    </row>
    <row r="36" spans="1:17" ht="13">
      <c r="A36" s="2546"/>
      <c r="B36" s="2545"/>
      <c r="C36" s="1711" t="s">
        <v>1671</v>
      </c>
      <c r="D36" s="1711"/>
      <c r="E36" s="1711"/>
      <c r="F36" s="1711"/>
      <c r="G36" s="1711"/>
      <c r="H36" s="1711"/>
      <c r="I36" s="1583" t="str">
        <f>'Part I-Project Identification'!I37</f>
        <v>No</v>
      </c>
      <c r="J36" s="2564" t="s">
        <v>2477</v>
      </c>
      <c r="K36" s="1711"/>
      <c r="L36" s="1711"/>
      <c r="M36" s="1711"/>
      <c r="N36" s="1711"/>
      <c r="O36" s="2570">
        <f>'Part I-Project Identification'!O37</f>
        <v>0</v>
      </c>
      <c r="P36" s="2570"/>
    </row>
    <row r="37" spans="1:17" ht="13">
      <c r="A37" s="2546"/>
      <c r="B37" s="2546"/>
      <c r="C37" s="1711" t="s">
        <v>2568</v>
      </c>
      <c r="D37" s="1711"/>
      <c r="E37" s="1711"/>
      <c r="F37" s="1711"/>
      <c r="G37" s="1711"/>
      <c r="H37" s="1711"/>
      <c r="I37" s="1583" t="str">
        <f>'Part I-Project Identification'!I38</f>
        <v>No</v>
      </c>
      <c r="J37" s="2564" t="s">
        <v>2477</v>
      </c>
      <c r="K37" s="1711"/>
      <c r="L37" s="1711"/>
      <c r="M37" s="1711"/>
      <c r="N37" s="1711"/>
      <c r="O37" s="2570">
        <f>'Part I-Project Identification'!O38</f>
        <v>0</v>
      </c>
      <c r="P37" s="2570"/>
    </row>
    <row r="38" spans="1:17" ht="13">
      <c r="A38" s="2546"/>
      <c r="B38" s="2546"/>
      <c r="C38" s="1711"/>
      <c r="D38" s="1711"/>
      <c r="E38" s="1711"/>
      <c r="F38" s="1711"/>
      <c r="G38" s="1711"/>
      <c r="H38" s="1711"/>
      <c r="I38" s="1711"/>
      <c r="J38" s="1711"/>
      <c r="K38" s="1711"/>
      <c r="L38" s="1711"/>
      <c r="M38" s="1711"/>
      <c r="N38" s="1711"/>
      <c r="O38" s="1711"/>
      <c r="P38" s="377"/>
    </row>
    <row r="39" spans="1:17" ht="13">
      <c r="A39" s="1711"/>
      <c r="B39" s="2545"/>
      <c r="C39" s="1711"/>
      <c r="D39" s="1711"/>
      <c r="E39" s="1711"/>
      <c r="F39" s="1711"/>
      <c r="G39" s="1711"/>
      <c r="H39" s="1711"/>
      <c r="I39" s="1711"/>
      <c r="J39" s="1711"/>
      <c r="K39" s="1711"/>
      <c r="L39" s="377"/>
      <c r="M39" s="377"/>
      <c r="N39" s="377"/>
      <c r="O39" s="377"/>
      <c r="P39" s="2555"/>
    </row>
    <row r="40" spans="1:17" ht="13">
      <c r="A40" s="2554" t="s">
        <v>495</v>
      </c>
      <c r="B40" s="376"/>
      <c r="C40" s="376" t="s">
        <v>529</v>
      </c>
      <c r="D40" s="377"/>
      <c r="E40" s="377"/>
      <c r="F40" s="377"/>
      <c r="G40" s="377"/>
      <c r="H40" s="377"/>
      <c r="I40" s="377"/>
      <c r="J40" s="377"/>
      <c r="K40" s="377"/>
      <c r="L40" s="377"/>
      <c r="M40" s="2554" t="s">
        <v>719</v>
      </c>
      <c r="N40" s="376" t="s">
        <v>74</v>
      </c>
      <c r="O40" s="377"/>
      <c r="P40" s="377"/>
    </row>
    <row r="41" spans="1:17" ht="13">
      <c r="A41" s="2554"/>
      <c r="B41" s="376"/>
      <c r="C41" s="376"/>
      <c r="D41" s="377"/>
      <c r="E41" s="377"/>
      <c r="F41" s="377"/>
      <c r="G41" s="377"/>
      <c r="H41" s="377"/>
      <c r="I41" s="377"/>
      <c r="J41" s="377"/>
      <c r="K41" s="377"/>
      <c r="L41" s="377"/>
      <c r="M41" s="2554"/>
      <c r="N41" s="376"/>
      <c r="O41" s="377"/>
      <c r="P41" s="377"/>
    </row>
    <row r="42" spans="1:17">
      <c r="A42" s="2571" t="str">
        <f>'Part I-Project Identification'!A43</f>
        <v>Princeton Court is an existing 116-unit LIHTC community for seniors age 55 or older located in College Park, Georgia. The property contains two buildings; one located to the east is a three-story elevator-serviced building containing 104 units built in 2005. The other, on the western portion of the site, is a one-story adaptive re-use of the former S.R. Young Elementary School, originally constructed in 1927, and redeveloped alongside the eastern building in 2005. The former schoolhouse is located within a recognized historic district and is considered historically significant by the National Parks Service. 
Both the original LIHTC application and the current application intend to utilize historic tax credits. We currently have an approved Part 1 Application from the National Park Service and will submit the Part 2 application prior to LIHTC closing and as the work scope is further refined. In addition, this application also includes significant cash contributions from National Church Residences to the project in the form of a Seller Note. 
Prior to application we conducted tenant interviews and reviewed files, we found that a majority of residents occupying market-rate units fell within the 60% AMI threshold. N^^ has decided to reduce the market-rate units from 46 to 7 following recapitalization. 
The renovation will follow DCA guidelines, and the findings of the Property Needs Assessment. Typical improvements include major system replacement or refurbishment depending on remaining useful life, green and accessibility improvements, and upgrades in community spaces and units such as new appliances, paint, windows, doors, fixtures, cabinetry, paint, lighting, etc. Amenity areas will also be refreshed.
PRIME LOCATION
The subject site is located on a portion of the College Park historic district and within 1 mile of a Marta rail line and all the amenities offered in the College Park Main Street District. It is the only affordable senior housing currently available in the city.
Unit Mix: 
25- 1BR/1BA, 650 sq ft
63-2/1 appx 860 sq ft
28-2BR/2BA, 952 sq ft
Amenities:
- Standard Site Amenities
    1. Community Room
    2. Covered Porch Exterior Gathering area 
    3. On-site laundry center with a minimum of 5 washers and 5 dryers 
    4. Fitness Center
    5. Movie Theater
  - Unit Amenities
           1. HVAC Systems
           2. Energy Star Refrigerators
           3. Built in Energy Star Dishwasher
           4. Stoves
           5. Powder-based stovetop fire suppression canisters installed above the range cook top</v>
      </c>
      <c r="B42" s="2571"/>
      <c r="C42" s="2571"/>
      <c r="D42" s="2571"/>
      <c r="E42" s="2571"/>
      <c r="F42" s="2571"/>
      <c r="G42" s="2571"/>
      <c r="H42" s="2571"/>
      <c r="I42" s="2571"/>
      <c r="J42" s="2571"/>
      <c r="K42" s="2571"/>
      <c r="L42" s="2571"/>
      <c r="M42" s="2571"/>
      <c r="N42" s="2571"/>
      <c r="O42" s="2571"/>
      <c r="P42" s="2571"/>
    </row>
    <row r="46" spans="1:17" ht="13">
      <c r="A46" s="2545" t="str">
        <f>CONCATENATE("PART TWO - SOURCES OF FUNDS (Proposed)","  -  ",'Part I-Project Identification'!$O$7," ",'Part I-Project Identification'!$F$26,", ",'Part I-Project Identification'!$F$27,", ",'Part I-Project Identification'!$J$27," County")</f>
        <v>PART TWO - SOURCES OF FUNDS (Proposed)  -  2025-5 Princeton Court, College Park, Fulton County</v>
      </c>
      <c r="B46" s="2545"/>
      <c r="C46" s="2545"/>
      <c r="D46" s="2545"/>
      <c r="E46" s="2545"/>
      <c r="F46" s="2545"/>
      <c r="G46" s="2545"/>
      <c r="H46" s="2545"/>
      <c r="I46" s="2545"/>
      <c r="J46" s="2545"/>
      <c r="K46" s="2545"/>
      <c r="L46" s="2545"/>
      <c r="M46" s="2545"/>
      <c r="N46" s="2545"/>
      <c r="O46" s="2545"/>
      <c r="P46" s="2545"/>
      <c r="Q46" s="2545"/>
    </row>
    <row r="47" spans="1:17" ht="13">
      <c r="A47" s="377"/>
      <c r="B47" s="377"/>
      <c r="C47" s="377"/>
      <c r="D47" s="377"/>
      <c r="E47" s="377"/>
      <c r="F47" s="377"/>
      <c r="G47" s="358"/>
      <c r="H47" s="358"/>
      <c r="I47" s="358"/>
      <c r="J47" s="358"/>
      <c r="K47" s="358"/>
      <c r="L47" s="358"/>
      <c r="M47" s="2409"/>
      <c r="N47" s="2409"/>
      <c r="O47" s="2409"/>
      <c r="P47" s="2409"/>
      <c r="Q47" s="2409"/>
    </row>
    <row r="48" spans="1:17" ht="14">
      <c r="A48" s="2545" t="s">
        <v>572</v>
      </c>
      <c r="B48" s="2545" t="s">
        <v>2288</v>
      </c>
      <c r="C48" s="1711"/>
      <c r="D48" s="1711"/>
      <c r="E48" s="1711"/>
      <c r="F48" s="1711"/>
      <c r="G48" s="1711"/>
      <c r="H48" s="2410"/>
      <c r="I48" s="2410"/>
      <c r="J48" s="2410"/>
      <c r="K48" s="2410"/>
      <c r="L48" s="2572" t="str">
        <f>'Part I-Project Identification'!$A$6</f>
        <v>August 11, 2025</v>
      </c>
      <c r="M48" s="2572"/>
      <c r="N48" s="2572"/>
      <c r="O48" s="2572"/>
      <c r="P48" s="2572"/>
      <c r="Q48" s="2410"/>
    </row>
    <row r="49" spans="1:17" ht="13">
      <c r="A49" s="376"/>
      <c r="B49" s="2546"/>
      <c r="C49" s="376"/>
      <c r="D49" s="1711"/>
      <c r="E49" s="1711"/>
      <c r="F49" s="1711"/>
      <c r="G49" s="1711"/>
      <c r="H49" s="2410"/>
      <c r="I49" s="2410"/>
      <c r="J49" s="2410"/>
      <c r="K49" s="2410"/>
      <c r="L49" s="2410"/>
      <c r="M49" s="2410"/>
      <c r="N49" s="2410"/>
      <c r="O49" s="2410"/>
      <c r="P49" s="2410"/>
      <c r="Q49" s="2410"/>
    </row>
    <row r="50" spans="1:17" ht="13">
      <c r="A50" s="2546"/>
      <c r="B50" s="1524" t="str">
        <f>'Part II-Sources of Funds'!B6</f>
        <v>Yes</v>
      </c>
      <c r="C50" s="2548" t="s">
        <v>2213</v>
      </c>
      <c r="D50" s="1711"/>
      <c r="E50" s="1524" t="str">
        <f>'Part II-Sources of Funds'!E6</f>
        <v>No</v>
      </c>
      <c r="F50" s="2548" t="s">
        <v>5092</v>
      </c>
      <c r="G50" s="1711"/>
      <c r="H50" s="2573">
        <f>'Part II-Sources of Funds'!H6</f>
        <v>0</v>
      </c>
      <c r="I50" s="2410"/>
      <c r="J50" s="2410"/>
      <c r="K50" s="2410"/>
      <c r="L50" s="1524" t="str">
        <f>'Part II-Sources of Funds'!L6</f>
        <v>No</v>
      </c>
      <c r="M50" s="2548" t="s">
        <v>5062</v>
      </c>
      <c r="N50" s="2410"/>
      <c r="O50" s="1524" t="str">
        <f>'Part II-Sources of Funds'!O6</f>
        <v>No</v>
      </c>
      <c r="P50" s="2548" t="s">
        <v>5110</v>
      </c>
      <c r="Q50" s="2410"/>
    </row>
    <row r="51" spans="1:17" ht="13">
      <c r="A51" s="2546"/>
      <c r="B51" s="1524" t="str">
        <f>'Part II-Sources of Funds'!B7</f>
        <v>Yes</v>
      </c>
      <c r="C51" s="2548" t="s">
        <v>3753</v>
      </c>
      <c r="D51" s="1711"/>
      <c r="E51" s="1524" t="str">
        <f>'Part II-Sources of Funds'!E7</f>
        <v>No</v>
      </c>
      <c r="F51" s="2548" t="s">
        <v>5093</v>
      </c>
      <c r="G51" s="2410"/>
      <c r="H51" s="2573">
        <f>'Part II-Sources of Funds'!H7</f>
        <v>0</v>
      </c>
      <c r="I51" s="2410"/>
      <c r="J51" s="2410"/>
      <c r="K51" s="2410"/>
      <c r="L51" s="1524" t="str">
        <f>'Part II-Sources of Funds'!L7</f>
        <v>No</v>
      </c>
      <c r="M51" s="2548" t="s">
        <v>5063</v>
      </c>
      <c r="N51" s="2410"/>
      <c r="O51" s="2410"/>
      <c r="P51" s="2410"/>
      <c r="Q51" s="2410"/>
    </row>
    <row r="52" spans="1:17" ht="13">
      <c r="A52" s="1711"/>
      <c r="B52" s="1524" t="str">
        <f>'Part II-Sources of Funds'!B8</f>
        <v>No</v>
      </c>
      <c r="C52" s="2548" t="s">
        <v>4546</v>
      </c>
      <c r="D52" s="2410"/>
      <c r="E52" s="2410"/>
      <c r="F52" s="2410" t="s">
        <v>5094</v>
      </c>
      <c r="G52" s="2410"/>
      <c r="H52" s="2410" t="str">
        <f>'Part II-Sources of Funds'!H8</f>
        <v>Specify Other HOME Source here</v>
      </c>
      <c r="I52" s="2410"/>
      <c r="J52" s="2410"/>
      <c r="K52" s="2410"/>
      <c r="L52" s="1524" t="str">
        <f>'Part II-Sources of Funds'!L8</f>
        <v>No</v>
      </c>
      <c r="M52" s="2571" t="s">
        <v>1435</v>
      </c>
      <c r="N52" s="2410"/>
      <c r="O52" s="2410"/>
      <c r="P52" s="2410"/>
      <c r="Q52" s="2410"/>
    </row>
    <row r="53" spans="1:17" ht="13">
      <c r="A53" s="2546"/>
      <c r="B53" s="1524" t="str">
        <f>'Part II-Sources of Funds'!B9</f>
        <v>No</v>
      </c>
      <c r="C53" s="2410" t="s">
        <v>3217</v>
      </c>
      <c r="D53" s="2410"/>
      <c r="E53" s="1524" t="str">
        <f>'Part II-Sources of Funds'!E9</f>
        <v>No</v>
      </c>
      <c r="F53" s="2548" t="s">
        <v>5109</v>
      </c>
      <c r="G53" s="2410"/>
      <c r="H53" s="2573">
        <f>'Part II-Sources of Funds'!H9</f>
        <v>0</v>
      </c>
      <c r="I53" s="1712"/>
      <c r="J53" s="2410"/>
      <c r="K53" s="2410"/>
      <c r="L53" s="1524" t="str">
        <f>'Part II-Sources of Funds'!L9</f>
        <v>No</v>
      </c>
      <c r="M53" s="2571" t="s">
        <v>513</v>
      </c>
      <c r="N53" s="2410"/>
      <c r="O53" s="2410"/>
      <c r="P53" s="2410"/>
      <c r="Q53" s="2571"/>
    </row>
    <row r="54" spans="1:17" ht="13">
      <c r="A54" s="2546"/>
      <c r="B54" s="1524" t="str">
        <f>'Part II-Sources of Funds'!B10</f>
        <v>No</v>
      </c>
      <c r="C54" s="2548" t="s">
        <v>2388</v>
      </c>
      <c r="D54" s="2410"/>
      <c r="E54" s="2410"/>
      <c r="F54" s="2410"/>
      <c r="G54" s="2410"/>
      <c r="H54" s="2410"/>
      <c r="I54" s="2410"/>
      <c r="J54" s="2410"/>
      <c r="K54" s="2410"/>
      <c r="L54" s="1524" t="str">
        <f>'Part II-Sources of Funds'!L10</f>
        <v>No</v>
      </c>
      <c r="M54" s="2548" t="s">
        <v>4549</v>
      </c>
      <c r="N54" s="2410"/>
      <c r="O54" s="2410"/>
      <c r="P54" s="2410"/>
      <c r="Q54" s="2571"/>
    </row>
    <row r="55" spans="1:17" ht="13">
      <c r="A55" s="2546"/>
      <c r="B55" s="1524" t="str">
        <f>'Part II-Sources of Funds'!B11</f>
        <v>No</v>
      </c>
      <c r="C55" s="2548" t="s">
        <v>2389</v>
      </c>
      <c r="D55" s="2410"/>
      <c r="E55" s="1524" t="str">
        <f>'Part II-Sources of Funds'!E11</f>
        <v>No</v>
      </c>
      <c r="F55" s="2410" t="str">
        <f>'Part II-Sources of Funds'!F11</f>
        <v>Other Type of FEDERAL Funding * - describe type/program here</v>
      </c>
      <c r="G55" s="2410"/>
      <c r="H55" s="2410"/>
      <c r="I55" s="2410"/>
      <c r="J55" s="2410"/>
      <c r="K55" s="2410"/>
      <c r="L55" s="1524" t="str">
        <f>'Part II-Sources of Funds'!L11</f>
        <v>No</v>
      </c>
      <c r="M55" s="2548" t="s">
        <v>3754</v>
      </c>
      <c r="N55" s="2410"/>
      <c r="O55" s="2410"/>
      <c r="P55" s="2410"/>
      <c r="Q55" s="2410"/>
    </row>
    <row r="56" spans="1:17" ht="13">
      <c r="A56" s="2546"/>
      <c r="B56" s="1524" t="str">
        <f>'Part II-Sources of Funds'!B12</f>
        <v>No</v>
      </c>
      <c r="C56" s="2548" t="s">
        <v>3110</v>
      </c>
      <c r="D56" s="2410"/>
      <c r="E56" s="2410"/>
      <c r="F56" s="2410" t="str">
        <f>'Part II-Sources of Funds'!F12</f>
        <v>Specify Source/Administrator of Other FEDERAL Funding here</v>
      </c>
      <c r="G56" s="2410"/>
      <c r="H56" s="2410"/>
      <c r="I56" s="2410"/>
      <c r="J56" s="2410"/>
      <c r="K56" s="2410"/>
      <c r="L56" s="1524" t="str">
        <f>'Part II-Sources of Funds'!L12</f>
        <v>No</v>
      </c>
      <c r="M56" s="2548" t="s">
        <v>3109</v>
      </c>
      <c r="N56" s="2410"/>
      <c r="O56" s="2410"/>
      <c r="P56" s="2410"/>
      <c r="Q56" s="2410"/>
    </row>
    <row r="57" spans="1:17" ht="13">
      <c r="A57" s="2546"/>
      <c r="B57" s="1524" t="str">
        <f>'Part II-Sources of Funds'!B13</f>
        <v>No</v>
      </c>
      <c r="C57" s="2548" t="s">
        <v>4548</v>
      </c>
      <c r="D57" s="2410"/>
      <c r="E57" s="1524" t="str">
        <f>'Part II-Sources of Funds'!E13</f>
        <v>No</v>
      </c>
      <c r="F57" s="2410" t="str">
        <f>'Part II-Sources of Funds'!F13</f>
        <v>Other Type of STATE/LOCAL Funding * - describe type/program here</v>
      </c>
      <c r="G57" s="2410"/>
      <c r="H57" s="2410"/>
      <c r="I57" s="2410"/>
      <c r="J57" s="2410"/>
      <c r="K57" s="2410"/>
      <c r="L57" s="1524" t="str">
        <f>'Part II-Sources of Funds'!L13</f>
        <v>No</v>
      </c>
      <c r="M57" s="2410" t="s">
        <v>2392</v>
      </c>
      <c r="N57" s="2410"/>
      <c r="O57" s="2410"/>
      <c r="P57" s="2410"/>
      <c r="Q57" s="2410"/>
    </row>
    <row r="58" spans="1:17" ht="13">
      <c r="A58" s="2546"/>
      <c r="B58" s="1524" t="str">
        <f>'Part II-Sources of Funds'!B14</f>
        <v>No</v>
      </c>
      <c r="C58" s="2410" t="s">
        <v>2391</v>
      </c>
      <c r="D58" s="2410"/>
      <c r="E58" s="2410"/>
      <c r="F58" s="2410" t="str">
        <f>'Part II-Sources of Funds'!F14</f>
        <v>Specify Source/Administrator of Other STATE/LOCAL Funding here</v>
      </c>
      <c r="G58" s="2410"/>
      <c r="H58" s="2410"/>
      <c r="I58" s="2410"/>
      <c r="J58" s="2410"/>
      <c r="K58" s="2410"/>
      <c r="L58" s="1524" t="str">
        <f>'Part II-Sources of Funds'!L14</f>
        <v>No</v>
      </c>
      <c r="M58" s="2410" t="s">
        <v>3136</v>
      </c>
      <c r="N58" s="2410"/>
      <c r="O58" s="2410"/>
      <c r="P58" s="2410"/>
      <c r="Q58" s="2410"/>
    </row>
    <row r="59" spans="1:17" ht="13">
      <c r="A59" s="2546"/>
      <c r="B59" s="1524" t="str">
        <f>'Part II-Sources of Funds'!B15</f>
        <v>No</v>
      </c>
      <c r="C59" s="2410" t="s">
        <v>3135</v>
      </c>
      <c r="D59" s="2410"/>
      <c r="E59" s="1524" t="str">
        <f>'Part II-Sources of Funds'!E15</f>
        <v>No</v>
      </c>
      <c r="F59" s="2548" t="s">
        <v>5095</v>
      </c>
      <c r="G59" s="2410"/>
      <c r="H59" s="2410" t="str">
        <f>'Part II-Sources of Funds'!H15</f>
        <v>Specify Other PBRA Source here</v>
      </c>
      <c r="I59" s="2410"/>
      <c r="J59" s="2410"/>
      <c r="K59" s="2410"/>
      <c r="L59" s="1524" t="str">
        <f>'Part II-Sources of Funds'!L15</f>
        <v>No</v>
      </c>
      <c r="M59" s="2410" t="s">
        <v>3978</v>
      </c>
      <c r="N59" s="2410"/>
      <c r="O59" s="2410"/>
      <c r="P59" s="2410"/>
      <c r="Q59" s="2410"/>
    </row>
    <row r="60" spans="1:17" ht="13">
      <c r="A60" s="2546"/>
      <c r="B60" s="1524" t="str">
        <f>'Part II-Sources of Funds'!B16</f>
        <v>No</v>
      </c>
      <c r="C60" s="2548" t="s">
        <v>1668</v>
      </c>
      <c r="D60" s="2410"/>
      <c r="E60" s="1524" t="str">
        <f>'Part II-Sources of Funds'!E16</f>
        <v>No</v>
      </c>
      <c r="F60" s="2548" t="s">
        <v>3216</v>
      </c>
      <c r="G60" s="2410"/>
      <c r="H60" s="2410"/>
      <c r="I60" s="2410"/>
      <c r="J60" s="2410"/>
      <c r="K60" s="2410"/>
      <c r="L60" s="1524" t="str">
        <f>'Part II-Sources of Funds'!L16</f>
        <v>No</v>
      </c>
      <c r="M60" s="2410" t="s">
        <v>4594</v>
      </c>
      <c r="N60" s="2410"/>
      <c r="O60" s="2410"/>
      <c r="P60" s="2410"/>
      <c r="Q60" s="2410"/>
    </row>
    <row r="61" spans="1:17" ht="13">
      <c r="A61" s="2546"/>
      <c r="B61" s="1524" t="str">
        <f>'Part II-Sources of Funds'!B17</f>
        <v>Yes</v>
      </c>
      <c r="C61" s="2548" t="s">
        <v>5107</v>
      </c>
      <c r="D61" s="2410"/>
      <c r="E61" s="1524" t="str">
        <f>'Part II-Sources of Funds'!E17</f>
        <v>No</v>
      </c>
      <c r="F61" s="2548" t="s">
        <v>3979</v>
      </c>
      <c r="G61" s="2410"/>
      <c r="H61" s="2410"/>
      <c r="I61" s="2410"/>
      <c r="J61" s="2410"/>
      <c r="K61" s="2410"/>
      <c r="L61" s="1524" t="str">
        <f>'Part II-Sources of Funds'!L17</f>
        <v>No</v>
      </c>
      <c r="M61" s="2571" t="s">
        <v>3980</v>
      </c>
      <c r="N61" s="2410"/>
      <c r="O61" s="2410"/>
      <c r="P61" s="2410"/>
      <c r="Q61" s="2410"/>
    </row>
    <row r="62" spans="1:17" ht="13">
      <c r="A62" s="2546"/>
      <c r="B62" s="2548" t="s">
        <v>5108</v>
      </c>
      <c r="C62" s="2410"/>
      <c r="D62" s="1712">
        <f>'Part II-Sources of Funds'!D18</f>
        <v>25000000</v>
      </c>
      <c r="E62" s="1712"/>
      <c r="F62" s="2548"/>
      <c r="G62" s="2410"/>
      <c r="H62" s="2410"/>
      <c r="I62" s="2410"/>
      <c r="J62" s="2410"/>
      <c r="K62" s="2410"/>
      <c r="L62" s="1524" t="str">
        <f>'Part II-Sources of Funds'!L18</f>
        <v>No</v>
      </c>
      <c r="M62" s="2571" t="s">
        <v>3977</v>
      </c>
      <c r="N62" s="2410"/>
      <c r="O62" s="2410"/>
      <c r="P62" s="2410"/>
      <c r="Q62" s="2410"/>
    </row>
    <row r="63" spans="1:17" ht="13">
      <c r="A63" s="2546"/>
      <c r="B63" s="2410" t="s">
        <v>3755</v>
      </c>
      <c r="C63" s="1711"/>
      <c r="D63" s="1711"/>
      <c r="E63" s="1711"/>
      <c r="F63" s="1711"/>
      <c r="G63" s="1711"/>
      <c r="H63" s="1711"/>
      <c r="I63" s="1711"/>
      <c r="J63" s="1711"/>
      <c r="K63" s="1711"/>
      <c r="L63" s="1711"/>
      <c r="M63" s="2409"/>
      <c r="N63" s="1711"/>
      <c r="O63" s="1711"/>
      <c r="P63" s="1711"/>
      <c r="Q63" s="1711"/>
    </row>
    <row r="64" spans="1:17" ht="13">
      <c r="A64" s="2546"/>
      <c r="B64" s="2410"/>
      <c r="C64" s="2410"/>
      <c r="D64" s="2410"/>
      <c r="E64" s="2410"/>
      <c r="F64" s="2410"/>
      <c r="G64" s="2410"/>
      <c r="H64" s="2410"/>
      <c r="I64" s="2410"/>
      <c r="J64" s="2410"/>
      <c r="K64" s="2410"/>
      <c r="L64" s="1711"/>
      <c r="M64" s="377"/>
      <c r="N64" s="1711"/>
      <c r="O64" s="1711"/>
      <c r="P64" s="1711"/>
      <c r="Q64" s="1711"/>
    </row>
    <row r="65" spans="1:17" ht="13">
      <c r="A65" s="2545" t="s">
        <v>688</v>
      </c>
      <c r="B65" s="2554" t="s">
        <v>2159</v>
      </c>
      <c r="C65" s="1711"/>
      <c r="D65" s="1711"/>
      <c r="E65" s="1711"/>
      <c r="F65" s="1711"/>
      <c r="G65" s="1711"/>
      <c r="H65" s="2411"/>
      <c r="I65" s="2411"/>
      <c r="J65" s="2411"/>
      <c r="K65" s="2411"/>
      <c r="L65" s="1711"/>
      <c r="M65" s="1711"/>
      <c r="N65" s="1711"/>
      <c r="O65" s="1711"/>
      <c r="P65" s="1711"/>
      <c r="Q65" s="1711"/>
    </row>
    <row r="66" spans="1:17" ht="13">
      <c r="A66" s="2545"/>
      <c r="B66" s="2554"/>
      <c r="C66" s="1711"/>
      <c r="D66" s="2411"/>
      <c r="E66" s="2411"/>
      <c r="F66" s="2411"/>
      <c r="G66" s="2411"/>
      <c r="H66" s="2411"/>
      <c r="I66" s="2411"/>
      <c r="J66" s="2411"/>
      <c r="K66" s="1711"/>
      <c r="L66" s="1711"/>
      <c r="M66" s="1711"/>
      <c r="N66" s="1524"/>
      <c r="O66" s="1524"/>
      <c r="P66" s="1711"/>
      <c r="Q66" s="1711"/>
    </row>
    <row r="67" spans="1:17" ht="13">
      <c r="A67" s="1711"/>
      <c r="B67" s="2551" t="s">
        <v>1729</v>
      </c>
      <c r="C67" s="1711"/>
      <c r="D67" s="1711"/>
      <c r="E67" s="1711"/>
      <c r="F67" s="1711"/>
      <c r="G67" s="1711" t="s">
        <v>1218</v>
      </c>
      <c r="H67" s="1711"/>
      <c r="I67" s="1711"/>
      <c r="J67" s="1711"/>
      <c r="K67" s="1711"/>
      <c r="L67" s="1711" t="s">
        <v>3721</v>
      </c>
      <c r="M67" s="1711"/>
      <c r="N67" s="1711" t="s">
        <v>1408</v>
      </c>
      <c r="O67" s="1711"/>
      <c r="P67" s="1711" t="s">
        <v>1521</v>
      </c>
      <c r="Q67" s="1711"/>
    </row>
    <row r="68" spans="1:17" ht="13">
      <c r="A68" s="1711"/>
      <c r="B68" s="1711" t="s">
        <v>1484</v>
      </c>
      <c r="C68" s="1711"/>
      <c r="D68" s="1711"/>
      <c r="E68" s="1711"/>
      <c r="F68" s="1711"/>
      <c r="G68" s="1711" t="str">
        <f>'Part II-Sources of Funds'!G24</f>
        <v>Keybank - Construction Loan</v>
      </c>
      <c r="H68" s="1711"/>
      <c r="I68" s="1711"/>
      <c r="J68" s="1711"/>
      <c r="K68" s="1711"/>
      <c r="L68" s="2574">
        <f>'Part II-Sources of Funds'!L24</f>
        <v>22374269</v>
      </c>
      <c r="M68" s="2574"/>
      <c r="N68" s="2575">
        <f>'Part II-Sources of Funds'!N24</f>
        <v>6.3899999999999998E-2</v>
      </c>
      <c r="O68" s="2575"/>
      <c r="P68" s="2576">
        <f>'Part II-Sources of Funds'!P24</f>
        <v>27</v>
      </c>
      <c r="Q68" s="2576"/>
    </row>
    <row r="69" spans="1:17" ht="13">
      <c r="A69" s="1711"/>
      <c r="B69" s="1711" t="s">
        <v>1485</v>
      </c>
      <c r="C69" s="1711"/>
      <c r="D69" s="1711"/>
      <c r="E69" s="1711"/>
      <c r="F69" s="1711"/>
      <c r="G69" s="1711">
        <f>'Part II-Sources of Funds'!G25</f>
        <v>0</v>
      </c>
      <c r="H69" s="1711"/>
      <c r="I69" s="1711"/>
      <c r="J69" s="1711"/>
      <c r="K69" s="1711"/>
      <c r="L69" s="2574">
        <f>'Part II-Sources of Funds'!L25</f>
        <v>0</v>
      </c>
      <c r="M69" s="2574"/>
      <c r="N69" s="2575">
        <f>'Part II-Sources of Funds'!N25</f>
        <v>0</v>
      </c>
      <c r="O69" s="2575"/>
      <c r="P69" s="2576">
        <f>'Part II-Sources of Funds'!P25</f>
        <v>0</v>
      </c>
      <c r="Q69" s="1712"/>
    </row>
    <row r="70" spans="1:17" ht="13">
      <c r="A70" s="1711"/>
      <c r="B70" s="1711" t="s">
        <v>1486</v>
      </c>
      <c r="C70" s="1711"/>
      <c r="D70" s="1711"/>
      <c r="E70" s="1711"/>
      <c r="F70" s="1711"/>
      <c r="G70" s="1711" t="str">
        <f>'Part II-Sources of Funds'!G26</f>
        <v>National Church Residences - Seller Note</v>
      </c>
      <c r="H70" s="1711"/>
      <c r="I70" s="1711"/>
      <c r="J70" s="1711"/>
      <c r="K70" s="1711"/>
      <c r="L70" s="2574">
        <f>'Part II-Sources of Funds'!L26</f>
        <v>8660787</v>
      </c>
      <c r="M70" s="2574"/>
      <c r="N70" s="2575">
        <f>'Part II-Sources of Funds'!N26</f>
        <v>7.0000000000000007E-2</v>
      </c>
      <c r="O70" s="2575"/>
      <c r="P70" s="2576">
        <f>'Part II-Sources of Funds'!P26</f>
        <v>600</v>
      </c>
      <c r="Q70" s="1712"/>
    </row>
    <row r="71" spans="1:17" ht="13">
      <c r="A71" s="1711"/>
      <c r="B71" s="1711" t="s">
        <v>2042</v>
      </c>
      <c r="C71" s="1711"/>
      <c r="D71" s="1711"/>
      <c r="E71" s="1711"/>
      <c r="F71" s="1711"/>
      <c r="G71" s="1711">
        <f>'Part II-Sources of Funds'!G27</f>
        <v>0</v>
      </c>
      <c r="H71" s="1711"/>
      <c r="I71" s="1711"/>
      <c r="J71" s="1711"/>
      <c r="K71" s="1711"/>
      <c r="L71" s="2574">
        <f>'Part II-Sources of Funds'!L27</f>
        <v>0</v>
      </c>
      <c r="M71" s="2574"/>
      <c r="N71" s="2575"/>
      <c r="O71" s="2575"/>
      <c r="P71" s="1711"/>
      <c r="Q71" s="1711"/>
    </row>
    <row r="72" spans="1:17" ht="13">
      <c r="A72" s="1711"/>
      <c r="B72" s="1711" t="s">
        <v>744</v>
      </c>
      <c r="C72" s="1711"/>
      <c r="D72" s="1711"/>
      <c r="E72" s="1711"/>
      <c r="F72" s="2410"/>
      <c r="G72" s="1711">
        <f>'Part II-Sources of Funds'!G28</f>
        <v>0</v>
      </c>
      <c r="H72" s="1711"/>
      <c r="I72" s="1711"/>
      <c r="J72" s="1711"/>
      <c r="K72" s="1711"/>
      <c r="L72" s="2574">
        <f>'Part II-Sources of Funds'!L28</f>
        <v>0</v>
      </c>
      <c r="M72" s="2574"/>
      <c r="N72" s="2575"/>
      <c r="O72" s="2575"/>
      <c r="P72" s="1711"/>
      <c r="Q72" s="1711"/>
    </row>
    <row r="73" spans="1:17" ht="13">
      <c r="A73" s="1711"/>
      <c r="B73" s="1711" t="s">
        <v>594</v>
      </c>
      <c r="C73" s="1711"/>
      <c r="D73" s="1711"/>
      <c r="E73" s="1711"/>
      <c r="F73" s="2410"/>
      <c r="G73" s="1711">
        <f>'Part II-Sources of Funds'!G29</f>
        <v>0</v>
      </c>
      <c r="H73" s="1711"/>
      <c r="I73" s="1711"/>
      <c r="J73" s="1711"/>
      <c r="K73" s="1711"/>
      <c r="L73" s="2574">
        <f>'Part II-Sources of Funds'!L29</f>
        <v>0</v>
      </c>
      <c r="M73" s="2574"/>
      <c r="N73" s="2575"/>
      <c r="O73" s="2575"/>
      <c r="P73" s="1711"/>
      <c r="Q73" s="1711"/>
    </row>
    <row r="74" spans="1:17" ht="13">
      <c r="A74" s="1711"/>
      <c r="B74" s="1711" t="s">
        <v>745</v>
      </c>
      <c r="C74" s="1711"/>
      <c r="D74" s="1711"/>
      <c r="E74" s="1711"/>
      <c r="F74" s="2410"/>
      <c r="G74" s="1711" t="str">
        <f>'Part II-Sources of Funds'!G30</f>
        <v>NEF</v>
      </c>
      <c r="H74" s="1711"/>
      <c r="I74" s="1711"/>
      <c r="J74" s="1711"/>
      <c r="K74" s="1711"/>
      <c r="L74" s="2574">
        <f>'Part II-Sources of Funds'!L30</f>
        <v>2513166</v>
      </c>
      <c r="M74" s="2574"/>
      <c r="N74" s="1711"/>
      <c r="O74" s="2410"/>
      <c r="P74" s="2410"/>
      <c r="Q74" s="1711"/>
    </row>
    <row r="75" spans="1:17" ht="13">
      <c r="A75" s="1711"/>
      <c r="B75" s="1711" t="s">
        <v>746</v>
      </c>
      <c r="C75" s="1711"/>
      <c r="D75" s="1711"/>
      <c r="E75" s="1711"/>
      <c r="F75" s="2410"/>
      <c r="G75" s="1711" t="str">
        <f>'Part II-Sources of Funds'!G31</f>
        <v>NEF</v>
      </c>
      <c r="H75" s="1711"/>
      <c r="I75" s="1711"/>
      <c r="J75" s="1711"/>
      <c r="K75" s="1711"/>
      <c r="L75" s="2574">
        <f>'Part II-Sources of Funds'!L31</f>
        <v>1545012</v>
      </c>
      <c r="M75" s="2574"/>
      <c r="N75" s="1711"/>
      <c r="O75" s="2410"/>
      <c r="P75" s="2410"/>
      <c r="Q75" s="1711"/>
    </row>
    <row r="76" spans="1:17" ht="13">
      <c r="A76" s="1711"/>
      <c r="B76" s="1711" t="s">
        <v>232</v>
      </c>
      <c r="C76" s="1711"/>
      <c r="D76" s="1711" t="str">
        <f>'Part II-Sources of Funds'!D32</f>
        <v>Federal/State Historic Equity</v>
      </c>
      <c r="E76" s="1711"/>
      <c r="F76" s="1711"/>
      <c r="G76" s="1711" t="str">
        <f>'Part II-Sources of Funds'!G32</f>
        <v>NEF</v>
      </c>
      <c r="H76" s="1711"/>
      <c r="I76" s="1711"/>
      <c r="J76" s="1711"/>
      <c r="K76" s="1711"/>
      <c r="L76" s="2574">
        <f>'Part II-Sources of Funds'!L32</f>
        <v>256643</v>
      </c>
      <c r="M76" s="2574"/>
      <c r="N76" s="1711"/>
      <c r="O76" s="2410"/>
      <c r="P76" s="2410"/>
      <c r="Q76" s="1711"/>
    </row>
    <row r="77" spans="1:17" ht="13">
      <c r="A77" s="1711"/>
      <c r="B77" s="1711" t="s">
        <v>232</v>
      </c>
      <c r="C77" s="1711"/>
      <c r="D77" s="1711" t="str">
        <f>'Part II-Sources of Funds'!D33</f>
        <v>Income from Operations</v>
      </c>
      <c r="E77" s="1711"/>
      <c r="F77" s="1711"/>
      <c r="G77" s="1711" t="str">
        <f>'Part II-Sources of Funds'!G33</f>
        <v>Princeton Court Senior Housing Limited Partnership</v>
      </c>
      <c r="H77" s="1711"/>
      <c r="I77" s="1711"/>
      <c r="J77" s="1711"/>
      <c r="K77" s="1711"/>
      <c r="L77" s="2574">
        <f>'Part II-Sources of Funds'!L33</f>
        <v>232000</v>
      </c>
      <c r="M77" s="2574"/>
      <c r="N77" s="1711"/>
      <c r="O77" s="2410"/>
      <c r="P77" s="2410"/>
      <c r="Q77" s="2410"/>
    </row>
    <row r="78" spans="1:17" ht="13">
      <c r="A78" s="1711"/>
      <c r="B78" s="1711" t="s">
        <v>232</v>
      </c>
      <c r="C78" s="1711"/>
      <c r="D78" s="1711" t="str">
        <f>'Part II-Sources of Funds'!D34</f>
        <v>Acquired Reserves/Rehab Reserve/GP equity</v>
      </c>
      <c r="E78" s="1711"/>
      <c r="F78" s="1711"/>
      <c r="G78" s="1711" t="str">
        <f>'Part II-Sources of Funds'!G34</f>
        <v>Princeton Court Senior Housing Limited Partnership</v>
      </c>
      <c r="H78" s="1711"/>
      <c r="I78" s="1711"/>
      <c r="J78" s="1711"/>
      <c r="K78" s="1711"/>
      <c r="L78" s="2574">
        <f>'Part II-Sources of Funds'!L34</f>
        <v>167495</v>
      </c>
      <c r="M78" s="2574"/>
      <c r="N78" s="1711"/>
      <c r="O78" s="2410"/>
      <c r="P78" s="2410"/>
      <c r="Q78" s="2410"/>
    </row>
    <row r="79" spans="1:17" ht="13">
      <c r="A79" s="1711"/>
      <c r="B79" s="2554" t="s">
        <v>1219</v>
      </c>
      <c r="C79" s="1711"/>
      <c r="D79" s="1711"/>
      <c r="E79" s="1711"/>
      <c r="F79" s="1711"/>
      <c r="G79" s="1711"/>
      <c r="H79" s="1711"/>
      <c r="I79" s="1711"/>
      <c r="J79" s="2410"/>
      <c r="K79" s="2410"/>
      <c r="L79" s="2577">
        <f>SUM(L68:L78)</f>
        <v>35749372</v>
      </c>
      <c r="M79" s="2577"/>
      <c r="N79" s="377"/>
      <c r="O79" s="2410"/>
      <c r="P79" s="2410"/>
      <c r="Q79" s="2410"/>
    </row>
    <row r="80" spans="1:17" ht="13">
      <c r="A80" s="1711"/>
      <c r="B80" s="2551" t="s">
        <v>1220</v>
      </c>
      <c r="C80" s="1711"/>
      <c r="D80" s="1711"/>
      <c r="E80" s="1711"/>
      <c r="F80" s="1711"/>
      <c r="G80" s="1711"/>
      <c r="H80" s="1711"/>
      <c r="I80" s="1711"/>
      <c r="J80" s="2410"/>
      <c r="K80" s="2410"/>
      <c r="L80" s="2577">
        <f>'Part II-Sources of Funds'!L36</f>
        <v>35749372</v>
      </c>
      <c r="M80" s="2577"/>
      <c r="N80" s="377"/>
      <c r="O80" s="2410"/>
      <c r="P80" s="2410"/>
      <c r="Q80" s="2410"/>
    </row>
    <row r="81" spans="1:17" ht="13">
      <c r="A81" s="1711"/>
      <c r="B81" s="2551" t="s">
        <v>1997</v>
      </c>
      <c r="C81" s="1711"/>
      <c r="D81" s="1711"/>
      <c r="E81" s="1711"/>
      <c r="F81" s="1711"/>
      <c r="G81" s="1711"/>
      <c r="H81" s="1711"/>
      <c r="I81" s="1711"/>
      <c r="J81" s="2410"/>
      <c r="K81" s="2410"/>
      <c r="L81" s="2578">
        <f>L79-L80</f>
        <v>0</v>
      </c>
      <c r="M81" s="2578"/>
      <c r="N81" s="377"/>
      <c r="O81" s="2410"/>
      <c r="P81" s="2410"/>
      <c r="Q81" s="2410"/>
    </row>
    <row r="82" spans="1:17" ht="13">
      <c r="A82" s="376"/>
      <c r="B82" s="2554"/>
      <c r="C82" s="377"/>
      <c r="D82" s="377"/>
      <c r="E82" s="377"/>
      <c r="F82" s="377"/>
      <c r="G82" s="377"/>
      <c r="H82" s="377"/>
      <c r="I82" s="377"/>
      <c r="J82" s="377"/>
      <c r="K82" s="377"/>
      <c r="L82" s="377"/>
      <c r="M82" s="1524"/>
      <c r="N82" s="1524"/>
      <c r="O82" s="2409"/>
      <c r="P82" s="2409"/>
      <c r="Q82" s="2409"/>
    </row>
    <row r="83" spans="1:17" ht="13">
      <c r="A83" s="2545" t="s">
        <v>690</v>
      </c>
      <c r="B83" s="2554" t="s">
        <v>743</v>
      </c>
      <c r="C83" s="377"/>
      <c r="D83" s="377"/>
      <c r="E83" s="377"/>
      <c r="F83" s="377"/>
      <c r="G83" s="377"/>
      <c r="H83" s="377"/>
      <c r="I83" s="377"/>
      <c r="J83" s="377"/>
      <c r="K83" s="377"/>
      <c r="L83" s="377"/>
      <c r="M83" s="1524"/>
      <c r="N83" s="1524"/>
      <c r="O83" s="377"/>
      <c r="P83" s="2409"/>
      <c r="Q83" s="2409"/>
    </row>
    <row r="84" spans="1:17" ht="13.5" customHeight="1">
      <c r="A84" s="1711"/>
      <c r="B84" s="1711"/>
      <c r="C84" s="1711"/>
      <c r="D84" s="1711"/>
      <c r="E84" s="1711"/>
      <c r="F84" s="1524"/>
      <c r="G84" s="1524"/>
      <c r="H84" s="1711"/>
      <c r="I84" s="1711"/>
      <c r="J84" s="2410"/>
      <c r="K84" s="1583" t="s">
        <v>1943</v>
      </c>
      <c r="L84" s="1524" t="s">
        <v>1216</v>
      </c>
      <c r="M84" s="1524" t="s">
        <v>1221</v>
      </c>
      <c r="N84" s="2410"/>
      <c r="O84" s="2410"/>
      <c r="P84" s="377" t="s">
        <v>31</v>
      </c>
      <c r="Q84" s="377"/>
    </row>
    <row r="85" spans="1:17" ht="13">
      <c r="A85" s="1711"/>
      <c r="B85" s="2551" t="s">
        <v>1729</v>
      </c>
      <c r="C85" s="1711"/>
      <c r="D85" s="1711"/>
      <c r="E85" s="1711" t="s">
        <v>1218</v>
      </c>
      <c r="F85" s="1711"/>
      <c r="G85" s="1711"/>
      <c r="H85" s="1711"/>
      <c r="I85" s="1711" t="s">
        <v>3720</v>
      </c>
      <c r="J85" s="1711"/>
      <c r="K85" s="1524" t="s">
        <v>1670</v>
      </c>
      <c r="L85" s="1524" t="s">
        <v>2041</v>
      </c>
      <c r="M85" s="1524" t="s">
        <v>2041</v>
      </c>
      <c r="N85" s="1711" t="s">
        <v>69</v>
      </c>
      <c r="O85" s="1711"/>
      <c r="P85" s="377"/>
      <c r="Q85" s="377"/>
    </row>
    <row r="86" spans="1:17" ht="13">
      <c r="A86" s="1711"/>
      <c r="B86" s="1711" t="s">
        <v>2396</v>
      </c>
      <c r="C86" s="1711"/>
      <c r="D86" s="1711"/>
      <c r="E86" s="1711" t="str">
        <f>'Part II-Sources of Funds'!E42</f>
        <v>Keybank-Freddie TEL</v>
      </c>
      <c r="F86" s="1711"/>
      <c r="G86" s="1711"/>
      <c r="H86" s="1711"/>
      <c r="I86" s="2579">
        <f>'Part II-Sources of Funds'!I42</f>
        <v>7160000</v>
      </c>
      <c r="J86" s="2579"/>
      <c r="K86" s="2580">
        <f>'Part II-Sources of Funds'!K42</f>
        <v>6.1699999999999998E-2</v>
      </c>
      <c r="L86" s="1524">
        <f>'Part II-Sources of Funds'!L42</f>
        <v>17</v>
      </c>
      <c r="M86" s="1524">
        <f>'Part II-Sources of Funds'!M42</f>
        <v>40</v>
      </c>
      <c r="N86" s="1711" t="str">
        <f>'Part II-Sources of Funds'!N42</f>
        <v>Amortizing</v>
      </c>
      <c r="O86" s="1711"/>
      <c r="P86" s="2581">
        <f>'Part II-Sources of Funds'!P42</f>
        <v>482964.9549579189</v>
      </c>
      <c r="Q86" s="2581"/>
    </row>
    <row r="87" spans="1:17" ht="13">
      <c r="A87" s="1711"/>
      <c r="B87" s="1711" t="s">
        <v>2397</v>
      </c>
      <c r="C87" s="1711"/>
      <c r="D87" s="1711"/>
      <c r="E87" s="1711" t="str">
        <f>'Part II-Sources of Funds'!E43</f>
        <v>National Church Residences - Seller Note</v>
      </c>
      <c r="F87" s="1711"/>
      <c r="G87" s="1711"/>
      <c r="H87" s="1711"/>
      <c r="I87" s="2579">
        <f>'Part II-Sources of Funds'!I43</f>
        <v>8660787</v>
      </c>
      <c r="J87" s="2579"/>
      <c r="K87" s="2580">
        <f>'Part II-Sources of Funds'!K43</f>
        <v>7.0000000000000007E-2</v>
      </c>
      <c r="L87" s="1524">
        <f>'Part II-Sources of Funds'!L43</f>
        <v>50</v>
      </c>
      <c r="M87" s="1524">
        <f>'Part II-Sources of Funds'!M43</f>
        <v>50</v>
      </c>
      <c r="N87" s="1711" t="str">
        <f>'Part II-Sources of Funds'!N43</f>
        <v>Cash Flow</v>
      </c>
      <c r="O87" s="1711"/>
      <c r="P87" s="2581">
        <f>'Part II-Sources of Funds'!P43</f>
        <v>0</v>
      </c>
      <c r="Q87" s="2581"/>
    </row>
    <row r="88" spans="1:17" ht="13">
      <c r="A88" s="1711"/>
      <c r="B88" s="1711" t="s">
        <v>2398</v>
      </c>
      <c r="C88" s="1711"/>
      <c r="D88" s="1711"/>
      <c r="E88" s="1711">
        <f>'Part II-Sources of Funds'!E44</f>
        <v>0</v>
      </c>
      <c r="F88" s="1711"/>
      <c r="G88" s="1711"/>
      <c r="H88" s="1711"/>
      <c r="I88" s="2579">
        <f>'Part II-Sources of Funds'!I44</f>
        <v>0</v>
      </c>
      <c r="J88" s="2579"/>
      <c r="K88" s="2580">
        <f>'Part II-Sources of Funds'!K44</f>
        <v>0</v>
      </c>
      <c r="L88" s="1524">
        <f>'Part II-Sources of Funds'!L44</f>
        <v>0</v>
      </c>
      <c r="M88" s="1524">
        <f>'Part II-Sources of Funds'!M44</f>
        <v>0</v>
      </c>
      <c r="N88" s="1711">
        <f>'Part II-Sources of Funds'!N44</f>
        <v>0</v>
      </c>
      <c r="O88" s="1711"/>
      <c r="P88" s="2581" t="str">
        <f>'Part II-Sources of Funds'!P44</f>
        <v/>
      </c>
      <c r="Q88" s="2581"/>
    </row>
    <row r="89" spans="1:17" ht="13">
      <c r="A89" s="1711"/>
      <c r="B89" s="1711" t="s">
        <v>689</v>
      </c>
      <c r="C89" s="1711">
        <f>'Part II-Sources of Funds'!C45</f>
        <v>0</v>
      </c>
      <c r="D89" s="1711"/>
      <c r="E89" s="1711">
        <f>'Part II-Sources of Funds'!E45</f>
        <v>0</v>
      </c>
      <c r="F89" s="1711"/>
      <c r="G89" s="1711"/>
      <c r="H89" s="1711"/>
      <c r="I89" s="2579">
        <f>'Part II-Sources of Funds'!I45</f>
        <v>0</v>
      </c>
      <c r="J89" s="2579"/>
      <c r="K89" s="2580">
        <f>'Part II-Sources of Funds'!K45</f>
        <v>0</v>
      </c>
      <c r="L89" s="1524">
        <f>'Part II-Sources of Funds'!L45</f>
        <v>0</v>
      </c>
      <c r="M89" s="1524">
        <f>'Part II-Sources of Funds'!M45</f>
        <v>0</v>
      </c>
      <c r="N89" s="1711">
        <f>'Part II-Sources of Funds'!N45</f>
        <v>0</v>
      </c>
      <c r="O89" s="1711"/>
      <c r="P89" s="2581" t="str">
        <f>'Part II-Sources of Funds'!P45</f>
        <v/>
      </c>
      <c r="Q89" s="2581"/>
    </row>
    <row r="90" spans="1:17" ht="13">
      <c r="A90" s="1711"/>
      <c r="B90" s="1711" t="s">
        <v>3817</v>
      </c>
      <c r="C90" s="1711"/>
      <c r="D90" s="1711"/>
      <c r="E90" s="1711">
        <f>'Part II-Sources of Funds'!E46</f>
        <v>0</v>
      </c>
      <c r="F90" s="1711"/>
      <c r="G90" s="1711"/>
      <c r="H90" s="1711"/>
      <c r="I90" s="2579">
        <f>'Part II-Sources of Funds'!I46</f>
        <v>0</v>
      </c>
      <c r="J90" s="2579"/>
      <c r="K90" s="2580"/>
      <c r="L90" s="1524"/>
      <c r="M90" s="1524"/>
      <c r="N90" s="1711"/>
      <c r="O90" s="1711"/>
      <c r="P90" s="2581"/>
      <c r="Q90" s="2581"/>
    </row>
    <row r="91" spans="1:17" ht="13">
      <c r="A91" s="1711"/>
      <c r="B91" s="1711" t="s">
        <v>220</v>
      </c>
      <c r="C91" s="1711"/>
      <c r="D91" s="2582">
        <f>'Part II-Sources of Funds'!D47</f>
        <v>0.29549883449883452</v>
      </c>
      <c r="E91" s="1711" t="str">
        <f>'Part II-Sources of Funds'!E47</f>
        <v>National Church Residences</v>
      </c>
      <c r="F91" s="1711"/>
      <c r="G91" s="1711"/>
      <c r="H91" s="1711"/>
      <c r="I91" s="2579">
        <f>'Part II-Sources of Funds'!I47</f>
        <v>760614</v>
      </c>
      <c r="J91" s="1712"/>
      <c r="K91" s="2580">
        <f>'Part II-Sources of Funds'!K47</f>
        <v>7.0000000000000007E-2</v>
      </c>
      <c r="L91" s="1524">
        <f>'Part II-Sources of Funds'!L47</f>
        <v>15</v>
      </c>
      <c r="M91" s="1524">
        <f>'Part II-Sources of Funds'!M47</f>
        <v>15</v>
      </c>
      <c r="N91" s="1711" t="str">
        <f>'Part II-Sources of Funds'!N47</f>
        <v>Cash Flow</v>
      </c>
      <c r="O91" s="1711"/>
      <c r="P91" s="2581">
        <f>'Part II-Sources of Funds'!P47</f>
        <v>0</v>
      </c>
      <c r="Q91" s="2581"/>
    </row>
    <row r="92" spans="1:17" ht="13">
      <c r="A92" s="1711"/>
      <c r="B92" s="1711"/>
      <c r="C92" s="1711"/>
      <c r="D92" s="1711"/>
      <c r="E92" s="1711"/>
      <c r="F92" s="1711"/>
      <c r="G92" s="1711"/>
      <c r="H92" s="1711"/>
      <c r="I92" s="2583"/>
      <c r="J92" s="2584"/>
      <c r="K92" s="2580"/>
      <c r="L92" s="1524"/>
      <c r="M92" s="1524"/>
      <c r="N92" s="2585"/>
      <c r="O92" s="2585"/>
      <c r="P92" s="1524"/>
      <c r="Q92" s="1524"/>
    </row>
    <row r="93" spans="1:17" ht="13">
      <c r="A93" s="1711"/>
      <c r="B93" s="2410" t="s">
        <v>3318</v>
      </c>
      <c r="C93" s="1711"/>
      <c r="D93" s="2410"/>
      <c r="E93" s="2410" t="s">
        <v>3276</v>
      </c>
      <c r="F93" s="2586">
        <f>'Part II-Sources of Funds'!F49</f>
        <v>1803325.9327541026</v>
      </c>
      <c r="G93" s="2586"/>
      <c r="H93" s="2587" t="s">
        <v>3317</v>
      </c>
      <c r="I93" s="2586">
        <f>'Part II-Sources of Funds'!I49</f>
        <v>1007085.5540469006</v>
      </c>
      <c r="J93" s="2586"/>
      <c r="K93" s="2587" t="s">
        <v>3319</v>
      </c>
      <c r="L93" s="2588">
        <f>'Part II-Sources of Funds'!L49</f>
        <v>0.55846008519871071</v>
      </c>
      <c r="M93" s="2588"/>
      <c r="N93" s="2581" t="s">
        <v>3724</v>
      </c>
      <c r="O93" s="2581"/>
      <c r="P93" s="1712">
        <f>'Part II-Sources of Funds'!P49</f>
        <v>0</v>
      </c>
      <c r="Q93" s="1712"/>
    </row>
    <row r="94" spans="1:17" ht="13">
      <c r="A94" s="1711"/>
      <c r="B94" s="1711"/>
      <c r="C94" s="1711"/>
      <c r="D94" s="1711"/>
      <c r="E94" s="1711"/>
      <c r="F94" s="1711"/>
      <c r="G94" s="1711"/>
      <c r="H94" s="1711"/>
      <c r="I94" s="2583"/>
      <c r="J94" s="2584"/>
      <c r="K94" s="2580"/>
      <c r="L94" s="1524"/>
      <c r="M94" s="1524"/>
      <c r="N94" s="2585"/>
      <c r="O94" s="2585"/>
      <c r="P94" s="1524"/>
      <c r="Q94" s="1524"/>
    </row>
    <row r="95" spans="1:17" ht="13">
      <c r="A95" s="1711"/>
      <c r="B95" s="1711" t="s">
        <v>2042</v>
      </c>
      <c r="C95" s="1711"/>
      <c r="D95" s="1711"/>
      <c r="E95" s="1711">
        <f>'Part II-Sources of Funds'!E51</f>
        <v>0</v>
      </c>
      <c r="F95" s="1711"/>
      <c r="G95" s="1711"/>
      <c r="H95" s="1711"/>
      <c r="I95" s="2579">
        <f>'Part II-Sources of Funds'!I51</f>
        <v>0</v>
      </c>
      <c r="J95" s="2579"/>
      <c r="K95" s="1711"/>
      <c r="L95" s="1711"/>
      <c r="M95" s="1711"/>
      <c r="N95" s="1711"/>
      <c r="O95" s="1711"/>
      <c r="P95" s="1524" t="s">
        <v>482</v>
      </c>
      <c r="Q95" s="1711"/>
    </row>
    <row r="96" spans="1:17" ht="13">
      <c r="A96" s="1711"/>
      <c r="B96" s="1711" t="s">
        <v>744</v>
      </c>
      <c r="C96" s="1711"/>
      <c r="D96" s="1711"/>
      <c r="E96" s="1711">
        <f>'Part II-Sources of Funds'!E52</f>
        <v>0</v>
      </c>
      <c r="F96" s="1711"/>
      <c r="G96" s="1711"/>
      <c r="H96" s="1711"/>
      <c r="I96" s="2579">
        <f>'Part II-Sources of Funds'!I52</f>
        <v>0</v>
      </c>
      <c r="J96" s="2579"/>
      <c r="K96" s="2410"/>
      <c r="L96" s="2589" t="s">
        <v>483</v>
      </c>
      <c r="M96" s="2589"/>
      <c r="N96" s="2590" t="s">
        <v>484</v>
      </c>
      <c r="O96" s="2590"/>
      <c r="P96" s="2591" t="s">
        <v>2351</v>
      </c>
      <c r="Q96" s="1711"/>
    </row>
    <row r="97" spans="1:17" ht="13">
      <c r="A97" s="1711"/>
      <c r="B97" s="1711" t="s">
        <v>745</v>
      </c>
      <c r="C97" s="1711"/>
      <c r="D97" s="1711"/>
      <c r="E97" s="1711" t="str">
        <f>'Part II-Sources of Funds'!E53</f>
        <v>NEF</v>
      </c>
      <c r="F97" s="1711"/>
      <c r="G97" s="1711"/>
      <c r="H97" s="1711"/>
      <c r="I97" s="2579">
        <f>'Part II-Sources of Funds'!I53</f>
        <v>12565830</v>
      </c>
      <c r="J97" s="2579"/>
      <c r="K97" s="2410"/>
      <c r="L97" s="2592">
        <f>'Part III-A-Uses of Funds'!$J$192*10*'Part III-A-Uses of Funds'!$N$183</f>
        <v>12567080</v>
      </c>
      <c r="M97" s="2592"/>
      <c r="N97" s="2593">
        <f>I97-L97</f>
        <v>-1250</v>
      </c>
      <c r="O97" s="2593"/>
      <c r="P97" s="2594">
        <f>I97/I107</f>
        <v>0.3259195615697511</v>
      </c>
      <c r="Q97" s="1711"/>
    </row>
    <row r="98" spans="1:17" ht="13">
      <c r="A98" s="1711"/>
      <c r="B98" s="1711" t="s">
        <v>746</v>
      </c>
      <c r="C98" s="1711"/>
      <c r="D98" s="1711"/>
      <c r="E98" s="1711" t="str">
        <f>'Part II-Sources of Funds'!E54</f>
        <v>NEF</v>
      </c>
      <c r="F98" s="1711"/>
      <c r="G98" s="1711"/>
      <c r="H98" s="1711"/>
      <c r="I98" s="2579">
        <f>'Part II-Sources of Funds'!I54</f>
        <v>7725062</v>
      </c>
      <c r="J98" s="2579"/>
      <c r="K98" s="2410"/>
      <c r="L98" s="2592">
        <f>'Part III-A-Uses of Funds'!$J$192*10*'Part III-A-Uses of Funds'!$Q$183</f>
        <v>7725057.9999999991</v>
      </c>
      <c r="M98" s="2592"/>
      <c r="N98" s="2593">
        <f>I98-L98</f>
        <v>4.0000000009313226</v>
      </c>
      <c r="O98" s="2593"/>
      <c r="P98" s="2594">
        <f>I98/I107</f>
        <v>0.200364704929093</v>
      </c>
      <c r="Q98" s="1711"/>
    </row>
    <row r="99" spans="1:17" ht="13">
      <c r="A99" s="1711"/>
      <c r="B99" s="1711" t="s">
        <v>1329</v>
      </c>
      <c r="C99" s="1711"/>
      <c r="D99" s="1711"/>
      <c r="E99" s="1711" t="str">
        <f>'Part II-Sources of Funds'!E55</f>
        <v>NEF</v>
      </c>
      <c r="F99" s="1711"/>
      <c r="G99" s="1711"/>
      <c r="H99" s="1711"/>
      <c r="I99" s="2579">
        <f>'Part II-Sources of Funds'!I55</f>
        <v>1283216</v>
      </c>
      <c r="J99" s="2579"/>
      <c r="K99" s="2410"/>
      <c r="L99" s="2410"/>
      <c r="M99" s="2410"/>
      <c r="N99" s="2410"/>
      <c r="O99" s="2410"/>
      <c r="P99" s="2594">
        <f>SUM(P97:P98)</f>
        <v>0.52628426649884408</v>
      </c>
      <c r="Q99" s="1711"/>
    </row>
    <row r="100" spans="1:17" ht="13">
      <c r="A100" s="1711"/>
      <c r="B100" s="1711" t="s">
        <v>496</v>
      </c>
      <c r="C100" s="1711"/>
      <c r="D100" s="1711"/>
      <c r="E100" s="1711">
        <f>'Part II-Sources of Funds'!E56</f>
        <v>0</v>
      </c>
      <c r="F100" s="1711"/>
      <c r="G100" s="1711"/>
      <c r="H100" s="1711"/>
      <c r="I100" s="2579">
        <f>'Part II-Sources of Funds'!I56</f>
        <v>0</v>
      </c>
      <c r="J100" s="2579"/>
      <c r="K100" s="1711"/>
      <c r="L100" s="2410"/>
      <c r="M100" s="2410"/>
      <c r="N100" s="2410"/>
      <c r="O100" s="2410"/>
      <c r="P100" s="2410"/>
      <c r="Q100" s="1711"/>
    </row>
    <row r="101" spans="1:17" ht="13">
      <c r="A101" s="1711"/>
      <c r="B101" s="1711" t="s">
        <v>1727</v>
      </c>
      <c r="C101" s="1711"/>
      <c r="D101" s="1711"/>
      <c r="E101" s="1711">
        <f>'Part II-Sources of Funds'!E57</f>
        <v>0</v>
      </c>
      <c r="F101" s="1711"/>
      <c r="G101" s="1711"/>
      <c r="H101" s="1711"/>
      <c r="I101" s="2579">
        <f>'Part II-Sources of Funds'!I57</f>
        <v>0</v>
      </c>
      <c r="J101" s="2579"/>
      <c r="K101" s="2410"/>
      <c r="L101" s="2410"/>
      <c r="M101" s="2410"/>
      <c r="N101" s="1711"/>
      <c r="O101" s="1711"/>
      <c r="P101" s="1711"/>
      <c r="Q101" s="1711"/>
    </row>
    <row r="102" spans="1:17" ht="13">
      <c r="A102" s="1711"/>
      <c r="B102" s="1711" t="s">
        <v>1728</v>
      </c>
      <c r="C102" s="1711"/>
      <c r="D102" s="1711"/>
      <c r="E102" s="1711" t="str">
        <f>'Part II-Sources of Funds'!E58</f>
        <v>National Church Residences</v>
      </c>
      <c r="F102" s="1711"/>
      <c r="G102" s="1711"/>
      <c r="H102" s="1711"/>
      <c r="I102" s="2579">
        <f>'Part II-Sources of Funds'!I58</f>
        <v>232000</v>
      </c>
      <c r="J102" s="2579"/>
      <c r="K102" s="2410"/>
      <c r="L102" s="2410"/>
      <c r="M102" s="1711"/>
      <c r="N102" s="1711"/>
      <c r="O102" s="1711"/>
      <c r="P102" s="1711"/>
      <c r="Q102" s="1711"/>
    </row>
    <row r="103" spans="1:17" ht="13">
      <c r="A103" s="1711"/>
      <c r="B103" s="1711" t="s">
        <v>689</v>
      </c>
      <c r="C103" s="1711" t="str">
        <f>'Part II-Sources of Funds'!C59</f>
        <v>Acquired Reserves</v>
      </c>
      <c r="D103" s="1711"/>
      <c r="E103" s="1711" t="str">
        <f>'Part II-Sources of Funds'!E59</f>
        <v>National Church Residences</v>
      </c>
      <c r="F103" s="1711"/>
      <c r="G103" s="1711"/>
      <c r="H103" s="1711"/>
      <c r="I103" s="2579">
        <f>'Part II-Sources of Funds'!I59</f>
        <v>124716</v>
      </c>
      <c r="J103" s="2579"/>
      <c r="K103" s="2410"/>
      <c r="L103" s="2410"/>
      <c r="M103" s="1711"/>
      <c r="N103" s="1711"/>
      <c r="O103" s="1711"/>
      <c r="P103" s="1711"/>
      <c r="Q103" s="1711"/>
    </row>
    <row r="104" spans="1:17" ht="13">
      <c r="A104" s="1711"/>
      <c r="B104" s="1711" t="s">
        <v>689</v>
      </c>
      <c r="C104" s="1711" t="str">
        <f>'Part II-Sources of Funds'!C60</f>
        <v>Rehab Reserve</v>
      </c>
      <c r="D104" s="1711"/>
      <c r="E104" s="1711" t="str">
        <f>'Part II-Sources of Funds'!E60</f>
        <v>National Church Residences</v>
      </c>
      <c r="F104" s="1711"/>
      <c r="G104" s="1711"/>
      <c r="H104" s="1711"/>
      <c r="I104" s="2579">
        <f>'Part II-Sources of Funds'!I60</f>
        <v>42679</v>
      </c>
      <c r="J104" s="2579"/>
      <c r="K104" s="1711"/>
      <c r="L104" s="1524"/>
      <c r="M104" s="1711"/>
      <c r="N104" s="1711"/>
      <c r="O104" s="1711"/>
      <c r="P104" s="1711"/>
      <c r="Q104" s="1711"/>
    </row>
    <row r="105" spans="1:17" ht="13">
      <c r="A105" s="1711"/>
      <c r="B105" s="1711" t="s">
        <v>689</v>
      </c>
      <c r="C105" s="1711" t="str">
        <f>'Part II-Sources of Funds'!C61</f>
        <v>GP Equity</v>
      </c>
      <c r="D105" s="1711"/>
      <c r="E105" s="1711" t="str">
        <f>'Part II-Sources of Funds'!E61</f>
        <v>National Church Residences</v>
      </c>
      <c r="F105" s="1711"/>
      <c r="G105" s="1711"/>
      <c r="H105" s="1711"/>
      <c r="I105" s="2579">
        <f>'Part II-Sources of Funds'!I61</f>
        <v>100</v>
      </c>
      <c r="J105" s="2579"/>
      <c r="K105" s="1711"/>
      <c r="L105" s="1524"/>
      <c r="M105" s="1711"/>
      <c r="N105" s="1711"/>
      <c r="O105" s="1711"/>
      <c r="P105" s="1711"/>
      <c r="Q105" s="1711"/>
    </row>
    <row r="106" spans="1:17" ht="13">
      <c r="A106" s="1711"/>
      <c r="B106" s="2551" t="s">
        <v>2043</v>
      </c>
      <c r="C106" s="1711"/>
      <c r="D106" s="1711"/>
      <c r="E106" s="1711"/>
      <c r="F106" s="1711"/>
      <c r="G106" s="1711"/>
      <c r="H106" s="2410"/>
      <c r="I106" s="2577">
        <f>SUM(I86:J91)+SUM(I95:J105)</f>
        <v>38555004</v>
      </c>
      <c r="J106" s="2577"/>
      <c r="K106" s="1711"/>
      <c r="L106" s="1524"/>
      <c r="M106" s="1711"/>
      <c r="N106" s="1711"/>
      <c r="O106" s="1711"/>
      <c r="P106" s="1711"/>
      <c r="Q106" s="1711"/>
    </row>
    <row r="107" spans="1:17" ht="13">
      <c r="A107" s="1711"/>
      <c r="B107" s="2551" t="s">
        <v>2044</v>
      </c>
      <c r="C107" s="1711"/>
      <c r="D107" s="1711"/>
      <c r="E107" s="1711"/>
      <c r="F107" s="1711"/>
      <c r="G107" s="1711"/>
      <c r="H107" s="2410"/>
      <c r="I107" s="2577">
        <f>'Part III-A-Uses of Funds'!$G$147</f>
        <v>38555004</v>
      </c>
      <c r="J107" s="2577"/>
      <c r="K107" s="1711"/>
      <c r="L107" s="1524"/>
      <c r="M107" s="1711"/>
      <c r="N107" s="1711"/>
      <c r="O107" s="1711"/>
      <c r="P107" s="1711"/>
      <c r="Q107" s="1711"/>
    </row>
    <row r="108" spans="1:17" ht="13">
      <c r="A108" s="1711"/>
      <c r="B108" s="2551" t="s">
        <v>1426</v>
      </c>
      <c r="C108" s="1711"/>
      <c r="D108" s="1711"/>
      <c r="E108" s="1711"/>
      <c r="F108" s="1711"/>
      <c r="G108" s="1711"/>
      <c r="H108" s="2410"/>
      <c r="I108" s="2578">
        <f>I106-I107</f>
        <v>0</v>
      </c>
      <c r="J108" s="2578"/>
      <c r="K108" s="1711"/>
      <c r="L108" s="1524"/>
      <c r="M108" s="1711"/>
      <c r="N108" s="1711"/>
      <c r="O108" s="1711"/>
      <c r="P108" s="1711"/>
      <c r="Q108" s="1711"/>
    </row>
    <row r="109" spans="1:17" ht="13">
      <c r="A109" s="1711" t="s">
        <v>3818</v>
      </c>
      <c r="B109" s="2551"/>
      <c r="C109" s="1711"/>
      <c r="D109" s="1711"/>
      <c r="E109" s="1711"/>
      <c r="F109" s="1711"/>
      <c r="G109" s="1711"/>
      <c r="H109" s="2584"/>
      <c r="I109" s="2584"/>
      <c r="J109" s="377"/>
      <c r="K109" s="1711"/>
      <c r="L109" s="1524"/>
      <c r="M109" s="1711"/>
      <c r="N109" s="1711"/>
      <c r="O109" s="1711"/>
      <c r="P109" s="1711"/>
      <c r="Q109" s="1711"/>
    </row>
    <row r="110" spans="1:17" ht="13">
      <c r="A110" s="377"/>
      <c r="B110" s="377"/>
      <c r="C110" s="377"/>
      <c r="D110" s="377"/>
      <c r="E110" s="377"/>
      <c r="F110" s="377"/>
      <c r="G110" s="377"/>
      <c r="H110" s="377"/>
      <c r="I110" s="377"/>
      <c r="J110" s="377"/>
      <c r="K110" s="377"/>
      <c r="L110" s="377"/>
      <c r="M110" s="377"/>
      <c r="N110" s="377"/>
      <c r="O110" s="377"/>
      <c r="P110" s="377"/>
      <c r="Q110" s="377"/>
    </row>
    <row r="111" spans="1:17" ht="13">
      <c r="A111" s="2545" t="s">
        <v>1661</v>
      </c>
      <c r="B111" s="2545" t="s">
        <v>529</v>
      </c>
      <c r="C111" s="377"/>
      <c r="D111" s="377"/>
      <c r="E111" s="377"/>
      <c r="F111" s="377"/>
      <c r="G111" s="377"/>
      <c r="H111" s="377"/>
      <c r="I111" s="377"/>
      <c r="J111" s="377"/>
      <c r="K111" s="2409"/>
      <c r="L111" s="2409"/>
      <c r="M111" s="2545" t="s">
        <v>1661</v>
      </c>
      <c r="N111" s="2545" t="s">
        <v>74</v>
      </c>
      <c r="O111" s="377"/>
      <c r="P111" s="377"/>
      <c r="Q111" s="377"/>
    </row>
    <row r="112" spans="1:17">
      <c r="A112" s="2571" t="str">
        <f>'Part II-Sources of Funds'!A68</f>
        <v>Rehab Reserve: A construction/rehabilitation reserve was allocated to the property at acquistion and has been used for capital improvements as needed, however, the remainng amount will be acquired by the new LP entity and utilized for property improvements on as an added needed basis. 
Income from Operations: The property will be occupied during the course of construction and N^^ will still be collecting rents, therefore income will be received.
Bond Allocation: The original bond resolution that still remains in effect was induced in 2024, however, in light of the DCA 25% Test Policy, we only plan to use $10,650,000 worth of bonds or 30% of aggregate basis.</v>
      </c>
      <c r="B112" s="2571"/>
      <c r="C112" s="2571"/>
      <c r="D112" s="2571"/>
      <c r="E112" s="2571"/>
      <c r="F112" s="2571"/>
      <c r="G112" s="2571"/>
      <c r="H112" s="2571"/>
      <c r="I112" s="2571"/>
      <c r="J112" s="2571"/>
      <c r="K112" s="2571"/>
      <c r="L112" s="2571"/>
      <c r="M112" s="2571"/>
      <c r="N112" s="2571"/>
      <c r="O112" s="2571"/>
      <c r="P112" s="2571"/>
      <c r="Q112" s="2571"/>
    </row>
    <row r="116" spans="1:35" ht="13">
      <c r="A116" s="2545" t="str">
        <f>CONCATENATE("PART THREE (A):  USES OF FUNDS","  -  ",'Part I-Project Identification'!$O$7," ",'Part I-Project Identification'!$F$26,", ",'Part I-Project Identification'!F141,", ",'Part I-Project Identification'!J141," County")</f>
        <v>PART THREE (A):  USES OF FUNDS  -  2025-5 Princeton Court, ,  County</v>
      </c>
      <c r="B116" s="2545"/>
      <c r="C116" s="2545"/>
      <c r="D116" s="2545"/>
      <c r="E116" s="2545"/>
      <c r="F116" s="2545"/>
      <c r="G116" s="2545"/>
      <c r="H116" s="2545"/>
      <c r="I116" s="2545"/>
      <c r="J116" s="2545"/>
      <c r="K116" s="2545"/>
      <c r="L116" s="2545"/>
      <c r="M116" s="2545"/>
      <c r="N116" s="2545"/>
      <c r="O116" s="2545"/>
      <c r="P116" s="2545"/>
      <c r="Q116" s="2545"/>
      <c r="R116" s="2545"/>
      <c r="S116" s="2545"/>
      <c r="T116" s="2545"/>
      <c r="U116" s="1711"/>
      <c r="V116" s="1711"/>
      <c r="W116" s="2545" t="str">
        <f>A116</f>
        <v>PART THREE (A):  USES OF FUNDS  -  2025-5 Princeton Court, ,  County</v>
      </c>
      <c r="X116" s="2545"/>
      <c r="Y116" s="1711"/>
      <c r="Z116" s="1711"/>
      <c r="AA116" s="1711"/>
      <c r="AB116" s="1711"/>
      <c r="AC116" s="1711"/>
      <c r="AD116" s="1711"/>
      <c r="AE116" s="1711"/>
      <c r="AF116" s="1711"/>
      <c r="AG116" s="1711"/>
      <c r="AH116" s="1711"/>
      <c r="AI116" s="1711"/>
    </row>
    <row r="117" spans="1:35" ht="13">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
      <c r="A118" s="2545"/>
      <c r="B118" s="2545"/>
      <c r="C118" s="2545"/>
      <c r="D118" s="2545"/>
      <c r="E118" s="2545"/>
      <c r="F118" s="2545"/>
      <c r="G118" s="2545"/>
      <c r="H118" s="2545"/>
      <c r="I118" s="2545"/>
      <c r="J118" s="2545"/>
      <c r="K118" s="2545"/>
      <c r="L118" s="2545"/>
      <c r="M118" s="2545"/>
      <c r="N118" s="2545"/>
      <c r="O118" s="2545"/>
      <c r="P118" s="2545"/>
      <c r="Q118" s="2545"/>
      <c r="R118" s="2545"/>
      <c r="S118" s="2545"/>
      <c r="T118" s="2545"/>
      <c r="U118" s="1711"/>
      <c r="V118" s="1711"/>
      <c r="W118" s="1711"/>
      <c r="X118" s="1711"/>
      <c r="Y118" s="1711"/>
      <c r="Z118" s="1711"/>
      <c r="AA118" s="1711"/>
      <c r="AB118" s="1711"/>
      <c r="AC118" s="1711"/>
      <c r="AD118" s="1711"/>
      <c r="AE118" s="1711"/>
      <c r="AF118" s="1711"/>
      <c r="AG118" s="1711"/>
      <c r="AH118" s="1711"/>
      <c r="AI118" s="1711"/>
    </row>
    <row r="119" spans="1:35" ht="14">
      <c r="A119" s="2546"/>
      <c r="B119" s="2546"/>
      <c r="C119" s="2546"/>
      <c r="D119" s="2595"/>
      <c r="E119" s="2595"/>
      <c r="F119" s="2595"/>
      <c r="G119" s="2595"/>
      <c r="H119" s="2595"/>
      <c r="I119" s="2545"/>
      <c r="J119" s="2546"/>
      <c r="K119" s="2546"/>
      <c r="L119" s="2546"/>
      <c r="M119" s="2546"/>
      <c r="N119" s="2546"/>
      <c r="O119" s="2546"/>
      <c r="P119" s="2546"/>
      <c r="Q119" s="2546"/>
      <c r="R119" s="2546"/>
      <c r="S119" s="2546"/>
      <c r="T119" s="2546"/>
      <c r="U119" s="1711"/>
      <c r="V119" s="1711"/>
      <c r="W119" s="1711"/>
      <c r="X119" s="1711"/>
      <c r="Y119" s="1711"/>
      <c r="Z119" s="1711"/>
      <c r="AA119" s="1711"/>
      <c r="AB119" s="1711"/>
      <c r="AC119" s="1711"/>
      <c r="AD119" s="1711"/>
      <c r="AE119" s="1711"/>
      <c r="AF119" s="1711"/>
      <c r="AG119" s="1711"/>
      <c r="AH119" s="1711"/>
      <c r="AI119" s="1711"/>
    </row>
    <row r="120" spans="1:35" ht="17.25" customHeight="1">
      <c r="A120" s="2595" t="s">
        <v>572</v>
      </c>
      <c r="B120" s="2595" t="s">
        <v>841</v>
      </c>
      <c r="C120" s="1711"/>
      <c r="D120" s="2547" t="str">
        <f>'Part I-Project Identification'!$A$6</f>
        <v>August 11, 2025</v>
      </c>
      <c r="E120" s="2547"/>
      <c r="F120" s="2547"/>
      <c r="G120" s="2547"/>
      <c r="H120" s="2547"/>
      <c r="I120" s="2595"/>
      <c r="J120" s="2545" t="s">
        <v>259</v>
      </c>
      <c r="K120" s="2545"/>
      <c r="L120" s="2574"/>
      <c r="M120" s="2596" t="s">
        <v>459</v>
      </c>
      <c r="N120" s="2596"/>
      <c r="O120" s="1711"/>
      <c r="P120" s="2545" t="s">
        <v>260</v>
      </c>
      <c r="Q120" s="2545"/>
      <c r="R120" s="1711"/>
      <c r="S120" s="2545" t="s">
        <v>261</v>
      </c>
      <c r="T120" s="2545"/>
      <c r="U120" s="1711"/>
      <c r="V120" s="2597" t="str">
        <f>B120</f>
        <v>DEVELOPMENT BUDGET</v>
      </c>
      <c r="W120" s="1711"/>
      <c r="X120" s="1711"/>
      <c r="Y120" s="1711"/>
      <c r="Z120" s="1711"/>
      <c r="AA120" s="1711"/>
      <c r="AB120" s="1711"/>
      <c r="AC120" s="1711"/>
      <c r="AD120" s="1711"/>
      <c r="AE120" s="1711"/>
      <c r="AF120" s="1711"/>
      <c r="AG120" s="1711"/>
      <c r="AH120" s="1711"/>
      <c r="AI120" s="1711"/>
    </row>
    <row r="121" spans="1:35" ht="14">
      <c r="A121" s="1711"/>
      <c r="B121" s="1711"/>
      <c r="C121" s="1711"/>
      <c r="D121" s="2547"/>
      <c r="E121" s="2547"/>
      <c r="F121" s="2547"/>
      <c r="G121" s="2545" t="s">
        <v>95</v>
      </c>
      <c r="H121" s="2545"/>
      <c r="I121" s="1711"/>
      <c r="J121" s="2545"/>
      <c r="K121" s="2545"/>
      <c r="L121" s="2574"/>
      <c r="M121" s="2596"/>
      <c r="N121" s="2596"/>
      <c r="O121" s="1711"/>
      <c r="P121" s="2545"/>
      <c r="Q121" s="2545"/>
      <c r="R121" s="1711"/>
      <c r="S121" s="2545"/>
      <c r="T121" s="2545"/>
      <c r="U121" s="1711"/>
      <c r="V121" s="376" t="s">
        <v>2441</v>
      </c>
      <c r="W121" s="1711"/>
      <c r="X121" s="376"/>
      <c r="Y121" s="1711"/>
      <c r="Z121" s="1711"/>
      <c r="AA121" s="1711"/>
      <c r="AB121" s="1711"/>
      <c r="AC121" s="1711"/>
      <c r="AD121" s="1711"/>
      <c r="AE121" s="1711"/>
      <c r="AF121" s="1711"/>
      <c r="AG121" s="1711"/>
      <c r="AH121" s="1711"/>
      <c r="AI121" s="1711"/>
    </row>
    <row r="122" spans="1:35" ht="13">
      <c r="A122" s="1711"/>
      <c r="B122" s="2545" t="s">
        <v>96</v>
      </c>
      <c r="C122" s="1711"/>
      <c r="D122" s="1711"/>
      <c r="E122" s="1711"/>
      <c r="F122" s="1711"/>
      <c r="G122" s="1711"/>
      <c r="H122" s="1711"/>
      <c r="I122" s="1711"/>
      <c r="J122" s="1711"/>
      <c r="K122" s="1711"/>
      <c r="L122" s="1711"/>
      <c r="M122" s="1711"/>
      <c r="N122" s="1711"/>
      <c r="O122" s="2546"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
      <c r="A123" s="1711"/>
      <c r="B123" s="1711" t="s">
        <v>1850</v>
      </c>
      <c r="C123" s="1711"/>
      <c r="D123" s="1711"/>
      <c r="E123" s="1711"/>
      <c r="F123" s="1711"/>
      <c r="G123" s="2574">
        <f>'Part III-A-Uses of Funds'!G9</f>
        <v>15300</v>
      </c>
      <c r="H123" s="2574"/>
      <c r="I123" s="1711"/>
      <c r="J123" s="2574">
        <f>'Part III-A-Uses of Funds'!J9</f>
        <v>0</v>
      </c>
      <c r="K123" s="2574"/>
      <c r="L123" s="2563"/>
      <c r="M123" s="2574">
        <f>'Part III-A-Uses of Funds'!M9</f>
        <v>0</v>
      </c>
      <c r="N123" s="2574"/>
      <c r="O123" s="1711"/>
      <c r="P123" s="2574">
        <f>'Part III-A-Uses of Funds'!P9</f>
        <v>15300</v>
      </c>
      <c r="Q123" s="2574"/>
      <c r="R123" s="1711"/>
      <c r="S123" s="2574">
        <f>'Part III-A-Uses of Funds'!S9</f>
        <v>0</v>
      </c>
      <c r="T123" s="2574"/>
      <c r="U123" s="1711"/>
      <c r="V123" s="2598"/>
      <c r="W123" s="2599"/>
      <c r="X123" s="2599"/>
      <c r="Y123" s="1711"/>
      <c r="Z123" s="1711"/>
      <c r="AA123" s="1711"/>
      <c r="AB123" s="1711"/>
      <c r="AC123" s="1711"/>
      <c r="AD123" s="1711"/>
      <c r="AE123" s="1711"/>
      <c r="AF123" s="1711"/>
      <c r="AG123" s="1711"/>
      <c r="AH123" s="1711"/>
      <c r="AI123" s="1711"/>
    </row>
    <row r="124" spans="1:35" ht="13">
      <c r="A124" s="1711"/>
      <c r="B124" s="1711" t="s">
        <v>430</v>
      </c>
      <c r="C124" s="1711"/>
      <c r="D124" s="1711"/>
      <c r="E124" s="1711"/>
      <c r="F124" s="1711"/>
      <c r="G124" s="2574">
        <f>'Part III-A-Uses of Funds'!G10</f>
        <v>20400</v>
      </c>
      <c r="H124" s="2574"/>
      <c r="I124" s="1711"/>
      <c r="J124" s="2574">
        <f>'Part III-A-Uses of Funds'!J10</f>
        <v>0</v>
      </c>
      <c r="K124" s="2574"/>
      <c r="L124" s="2563"/>
      <c r="M124" s="2574">
        <f>'Part III-A-Uses of Funds'!M10</f>
        <v>0</v>
      </c>
      <c r="N124" s="2574"/>
      <c r="O124" s="1711"/>
      <c r="P124" s="2574">
        <f>'Part III-A-Uses of Funds'!P10</f>
        <v>20400</v>
      </c>
      <c r="Q124" s="2574"/>
      <c r="R124" s="1711"/>
      <c r="S124" s="2574">
        <f>'Part III-A-Uses of Funds'!S10</f>
        <v>0</v>
      </c>
      <c r="T124" s="2574"/>
      <c r="U124" s="1711"/>
      <c r="V124" s="2598"/>
      <c r="W124" s="2599"/>
      <c r="X124" s="2599"/>
      <c r="Y124" s="1711"/>
      <c r="Z124" s="1711"/>
      <c r="AA124" s="1711"/>
      <c r="AB124" s="1711"/>
      <c r="AC124" s="1711"/>
      <c r="AD124" s="1711"/>
      <c r="AE124" s="1711"/>
      <c r="AF124" s="1711"/>
      <c r="AG124" s="1711"/>
      <c r="AH124" s="1711"/>
      <c r="AI124" s="1711"/>
    </row>
    <row r="125" spans="1:35" ht="13">
      <c r="A125" s="1711"/>
      <c r="B125" s="1711" t="s">
        <v>457</v>
      </c>
      <c r="C125" s="1711"/>
      <c r="D125" s="1711"/>
      <c r="E125" s="1711"/>
      <c r="F125" s="1711"/>
      <c r="G125" s="2574">
        <f>'Part III-A-Uses of Funds'!G11</f>
        <v>71700</v>
      </c>
      <c r="H125" s="2574"/>
      <c r="I125" s="1711"/>
      <c r="J125" s="2574">
        <f>'Part III-A-Uses of Funds'!J11</f>
        <v>0</v>
      </c>
      <c r="K125" s="2574"/>
      <c r="L125" s="2563"/>
      <c r="M125" s="2574">
        <f>'Part III-A-Uses of Funds'!M11</f>
        <v>0</v>
      </c>
      <c r="N125" s="2574"/>
      <c r="O125" s="1711"/>
      <c r="P125" s="2574">
        <f>'Part III-A-Uses of Funds'!P11</f>
        <v>71700</v>
      </c>
      <c r="Q125" s="2574"/>
      <c r="R125" s="1711"/>
      <c r="S125" s="2574">
        <f>'Part III-A-Uses of Funds'!S11</f>
        <v>0</v>
      </c>
      <c r="T125" s="2574"/>
      <c r="U125" s="1711"/>
      <c r="V125" s="2598"/>
      <c r="W125" s="2599"/>
      <c r="X125" s="2599"/>
      <c r="Y125" s="1711"/>
      <c r="Z125" s="1711"/>
      <c r="AA125" s="1711"/>
      <c r="AB125" s="1711"/>
      <c r="AC125" s="1711"/>
      <c r="AD125" s="1711"/>
      <c r="AE125" s="1711"/>
      <c r="AF125" s="1711"/>
      <c r="AG125" s="1711"/>
      <c r="AH125" s="1711"/>
      <c r="AI125" s="1711"/>
    </row>
    <row r="126" spans="1:35" ht="13">
      <c r="A126" s="1711"/>
      <c r="B126" s="1711" t="s">
        <v>458</v>
      </c>
      <c r="C126" s="1711"/>
      <c r="D126" s="1711"/>
      <c r="E126" s="1711"/>
      <c r="F126" s="1711"/>
      <c r="G126" s="2574">
        <f>'Part III-A-Uses of Funds'!G12</f>
        <v>0</v>
      </c>
      <c r="H126" s="2574"/>
      <c r="I126" s="1711"/>
      <c r="J126" s="2574">
        <f>'Part III-A-Uses of Funds'!J12</f>
        <v>0</v>
      </c>
      <c r="K126" s="2574"/>
      <c r="L126" s="2563"/>
      <c r="M126" s="2574">
        <f>'Part III-A-Uses of Funds'!M12</f>
        <v>0</v>
      </c>
      <c r="N126" s="2574"/>
      <c r="O126" s="1711"/>
      <c r="P126" s="2574">
        <f>'Part III-A-Uses of Funds'!P12</f>
        <v>0</v>
      </c>
      <c r="Q126" s="2574"/>
      <c r="R126" s="1711"/>
      <c r="S126" s="2574">
        <f>'Part III-A-Uses of Funds'!S12</f>
        <v>0</v>
      </c>
      <c r="T126" s="2574"/>
      <c r="U126" s="1711"/>
      <c r="V126" s="2598"/>
      <c r="W126" s="2599"/>
      <c r="X126" s="2599"/>
      <c r="Y126" s="1711"/>
      <c r="Z126" s="1711"/>
      <c r="AA126" s="1711"/>
      <c r="AB126" s="1711"/>
      <c r="AC126" s="1711"/>
      <c r="AD126" s="1711"/>
      <c r="AE126" s="1711"/>
      <c r="AF126" s="1711"/>
      <c r="AG126" s="1711"/>
      <c r="AH126" s="1711"/>
      <c r="AI126" s="1711"/>
    </row>
    <row r="127" spans="1:35" ht="13">
      <c r="A127" s="1711"/>
      <c r="B127" s="1711" t="s">
        <v>2295</v>
      </c>
      <c r="C127" s="1711"/>
      <c r="D127" s="1711"/>
      <c r="E127" s="1711"/>
      <c r="F127" s="1711"/>
      <c r="G127" s="2574">
        <f>'Part III-A-Uses of Funds'!G13</f>
        <v>16350</v>
      </c>
      <c r="H127" s="2574"/>
      <c r="I127" s="1711"/>
      <c r="J127" s="2574">
        <f>'Part III-A-Uses of Funds'!J13</f>
        <v>0</v>
      </c>
      <c r="K127" s="2574"/>
      <c r="L127" s="2563"/>
      <c r="M127" s="2574">
        <f>'Part III-A-Uses of Funds'!M13</f>
        <v>0</v>
      </c>
      <c r="N127" s="2574"/>
      <c r="O127" s="1711"/>
      <c r="P127" s="2574">
        <f>'Part III-A-Uses of Funds'!P13</f>
        <v>16350</v>
      </c>
      <c r="Q127" s="2574"/>
      <c r="R127" s="1711"/>
      <c r="S127" s="2574">
        <f>'Part III-A-Uses of Funds'!S13</f>
        <v>0</v>
      </c>
      <c r="T127" s="2574"/>
      <c r="U127" s="1711"/>
      <c r="V127" s="2598"/>
      <c r="W127" s="2599"/>
      <c r="X127" s="2599"/>
      <c r="Y127" s="1711"/>
      <c r="Z127" s="1711"/>
      <c r="AA127" s="1711"/>
      <c r="AB127" s="1711"/>
      <c r="AC127" s="1711"/>
      <c r="AD127" s="1711"/>
      <c r="AE127" s="1711"/>
      <c r="AF127" s="1711"/>
      <c r="AG127" s="1711"/>
      <c r="AH127" s="1711"/>
      <c r="AI127" s="1711"/>
    </row>
    <row r="128" spans="1:35" ht="13">
      <c r="A128" s="1711"/>
      <c r="B128" s="1711" t="s">
        <v>183</v>
      </c>
      <c r="C128" s="1711"/>
      <c r="D128" s="1711"/>
      <c r="E128" s="1711"/>
      <c r="F128" s="1711"/>
      <c r="G128" s="2574">
        <f>'Part III-A-Uses of Funds'!G14</f>
        <v>0</v>
      </c>
      <c r="H128" s="2574"/>
      <c r="I128" s="1711"/>
      <c r="J128" s="2574">
        <f>'Part III-A-Uses of Funds'!J14</f>
        <v>0</v>
      </c>
      <c r="K128" s="2574"/>
      <c r="L128" s="2563"/>
      <c r="M128" s="2574">
        <f>'Part III-A-Uses of Funds'!M14</f>
        <v>0</v>
      </c>
      <c r="N128" s="2574"/>
      <c r="O128" s="1711"/>
      <c r="P128" s="2574">
        <f>'Part III-A-Uses of Funds'!P14</f>
        <v>0</v>
      </c>
      <c r="Q128" s="2574"/>
      <c r="R128" s="1711"/>
      <c r="S128" s="2574">
        <f>'Part III-A-Uses of Funds'!S14</f>
        <v>0</v>
      </c>
      <c r="T128" s="2574"/>
      <c r="U128" s="1711"/>
      <c r="V128" s="2598"/>
      <c r="W128" s="2599"/>
      <c r="X128" s="2599"/>
      <c r="Y128" s="1711"/>
      <c r="Z128" s="1711"/>
      <c r="AA128" s="1711"/>
      <c r="AB128" s="1711"/>
      <c r="AC128" s="1711"/>
      <c r="AD128" s="1711"/>
      <c r="AE128" s="1711"/>
      <c r="AF128" s="1711"/>
      <c r="AG128" s="1711"/>
      <c r="AH128" s="1711"/>
      <c r="AI128" s="1711"/>
    </row>
    <row r="129" spans="1:35" ht="15.75" customHeight="1">
      <c r="A129" s="2600" t="str">
        <f>IF(AND(G129&gt;0,OR(C129="",C129="&lt;Enter detailed description here; use Comments section if needed&gt;")),"X","")</f>
        <v/>
      </c>
      <c r="B129" s="2550" t="s">
        <v>4165</v>
      </c>
      <c r="C129" s="2410" t="str">
        <f>'Part III-A-Uses of Funds'!C15</f>
        <v>Property Needs Assessment</v>
      </c>
      <c r="D129" s="2410"/>
      <c r="E129" s="2410"/>
      <c r="F129" s="2410"/>
      <c r="G129" s="2574">
        <f>'Part III-A-Uses of Funds'!G15</f>
        <v>25950</v>
      </c>
      <c r="H129" s="2574"/>
      <c r="I129" s="1711"/>
      <c r="J129" s="2574">
        <f>'Part III-A-Uses of Funds'!J15</f>
        <v>0</v>
      </c>
      <c r="K129" s="2574"/>
      <c r="L129" s="2563"/>
      <c r="M129" s="2574">
        <f>'Part III-A-Uses of Funds'!M15</f>
        <v>0</v>
      </c>
      <c r="N129" s="2574"/>
      <c r="O129" s="1711"/>
      <c r="P129" s="2574">
        <f>'Part III-A-Uses of Funds'!P15</f>
        <v>25950</v>
      </c>
      <c r="Q129" s="2574"/>
      <c r="R129" s="1711"/>
      <c r="S129" s="2574">
        <f>'Part III-A-Uses of Funds'!S15</f>
        <v>0</v>
      </c>
      <c r="T129" s="2574"/>
      <c r="U129" s="2554" t="str">
        <f>IF(AND(G129&gt;0,OR(C129="",C129="&lt;Enter detailed description here; use Comments section if needed&gt;")),"NO DESCRIPTION PROVIDED - please enter detailed description in Other box at left; use Comments section below if needed.","")</f>
        <v/>
      </c>
      <c r="V129" s="2601"/>
      <c r="W129" s="2599"/>
      <c r="X129" s="2599"/>
      <c r="Y129" s="1711"/>
      <c r="Z129" s="1711"/>
      <c r="AA129" s="1711"/>
      <c r="AB129" s="1711"/>
      <c r="AC129" s="1711"/>
      <c r="AD129" s="1711"/>
      <c r="AE129" s="1711"/>
      <c r="AF129" s="1711"/>
      <c r="AG129" s="1711"/>
      <c r="AH129" s="1711"/>
      <c r="AI129" s="1711"/>
    </row>
    <row r="130" spans="1:35" ht="15.75" customHeight="1">
      <c r="A130" s="2600" t="str">
        <f>IF(AND(G130&gt;0,OR(C130="",C130="&lt;Enter detailed description here; use Comments section if needed&gt;")),"X","")</f>
        <v/>
      </c>
      <c r="B130" s="2550" t="s">
        <v>4166</v>
      </c>
      <c r="C130" s="2410" t="str">
        <f>'Part III-A-Uses of Funds'!C16</f>
        <v>&lt;&lt; Enter description here; provide detail &amp; justification in tab Part III-b &gt;&gt;</v>
      </c>
      <c r="D130" s="2410"/>
      <c r="E130" s="2410"/>
      <c r="F130" s="2410"/>
      <c r="G130" s="2574">
        <f>'Part III-A-Uses of Funds'!G16</f>
        <v>0</v>
      </c>
      <c r="H130" s="2574"/>
      <c r="I130" s="1711"/>
      <c r="J130" s="2574">
        <f>'Part III-A-Uses of Funds'!J16</f>
        <v>0</v>
      </c>
      <c r="K130" s="2574"/>
      <c r="L130" s="2563"/>
      <c r="M130" s="2574">
        <f>'Part III-A-Uses of Funds'!M16</f>
        <v>0</v>
      </c>
      <c r="N130" s="2574"/>
      <c r="O130" s="1711"/>
      <c r="P130" s="2574">
        <f>'Part III-A-Uses of Funds'!P16</f>
        <v>0</v>
      </c>
      <c r="Q130" s="2574"/>
      <c r="R130" s="1711"/>
      <c r="S130" s="2574">
        <f>'Part III-A-Uses of Funds'!S16</f>
        <v>0</v>
      </c>
      <c r="T130" s="2574"/>
      <c r="U130" s="2554" t="str">
        <f>IF(AND(G130&gt;0,OR(C130="",C130="&lt;Enter detailed description here; use Comments section if needed&gt;")),"NO DESCRIPTION PROVIDED - please enter detailed description in Other box at left; use Comments section below if needed.","")</f>
        <v/>
      </c>
      <c r="V130" s="2601"/>
      <c r="W130" s="2599"/>
      <c r="X130" s="2599"/>
      <c r="Y130" s="1711"/>
      <c r="Z130" s="1711"/>
      <c r="AA130" s="1711"/>
      <c r="AB130" s="1711"/>
      <c r="AC130" s="1711"/>
      <c r="AD130" s="1711"/>
      <c r="AE130" s="1711"/>
      <c r="AF130" s="1711"/>
      <c r="AG130" s="1711"/>
      <c r="AH130" s="1711"/>
      <c r="AI130" s="1711"/>
    </row>
    <row r="131" spans="1:35" ht="16.5" customHeight="1">
      <c r="A131" s="2600" t="str">
        <f>IF(AND(G131&gt;0,OR(C131="",C131="&lt;Enter detailed description here; use Comments section if needed&gt;")),"X","")</f>
        <v/>
      </c>
      <c r="B131" s="2550" t="s">
        <v>4167</v>
      </c>
      <c r="C131" s="2410" t="str">
        <f>'Part III-A-Uses of Funds'!C17</f>
        <v>&lt;&lt; Enter description here; provide detail &amp; justification in tab Part III-b &gt;&gt;</v>
      </c>
      <c r="D131" s="2410"/>
      <c r="E131" s="2410"/>
      <c r="F131" s="2410"/>
      <c r="G131" s="2574">
        <f>'Part III-A-Uses of Funds'!G17</f>
        <v>0</v>
      </c>
      <c r="H131" s="2574"/>
      <c r="I131" s="1711"/>
      <c r="J131" s="2574">
        <f>'Part III-A-Uses of Funds'!J17</f>
        <v>0</v>
      </c>
      <c r="K131" s="2574"/>
      <c r="L131" s="2563"/>
      <c r="M131" s="2574">
        <f>'Part III-A-Uses of Funds'!M17</f>
        <v>0</v>
      </c>
      <c r="N131" s="2574"/>
      <c r="O131" s="1711"/>
      <c r="P131" s="2574">
        <f>'Part III-A-Uses of Funds'!P17</f>
        <v>0</v>
      </c>
      <c r="Q131" s="2574"/>
      <c r="R131" s="1711"/>
      <c r="S131" s="2574">
        <f>'Part III-A-Uses of Funds'!S17</f>
        <v>0</v>
      </c>
      <c r="T131" s="2574"/>
      <c r="U131" s="2554" t="str">
        <f>IF(AND(G131&gt;0,OR(C131="",C131="&lt;Enter detailed description here; use Comments section if needed&gt;")),"NO DESCRIPTION PROVIDED - please enter detailed description in Other box at left; use Comments section below if needed.","")</f>
        <v/>
      </c>
      <c r="V131" s="2601"/>
      <c r="W131" s="2599"/>
      <c r="X131" s="2599"/>
      <c r="Y131" s="1711"/>
      <c r="Z131" s="1711"/>
      <c r="AA131" s="1711"/>
      <c r="AB131" s="1711"/>
      <c r="AC131" s="1711"/>
      <c r="AD131" s="1711"/>
      <c r="AE131" s="1711"/>
      <c r="AF131" s="1711"/>
      <c r="AG131" s="1711"/>
      <c r="AH131" s="1711"/>
      <c r="AI131" s="1711"/>
    </row>
    <row r="132" spans="1:35" ht="13">
      <c r="A132" s="1711"/>
      <c r="B132" s="1711"/>
      <c r="C132" s="1711"/>
      <c r="D132" s="1711"/>
      <c r="E132" s="1711"/>
      <c r="F132" s="2602" t="s">
        <v>184</v>
      </c>
      <c r="G132" s="2574">
        <f>SUM(G123:G131)</f>
        <v>149700</v>
      </c>
      <c r="H132" s="2574"/>
      <c r="I132" s="1711"/>
      <c r="J132" s="2574">
        <f>SUM(J123:J131)</f>
        <v>0</v>
      </c>
      <c r="K132" s="2574"/>
      <c r="L132" s="2563"/>
      <c r="M132" s="2574">
        <f>SUM(M123:M131)</f>
        <v>0</v>
      </c>
      <c r="N132" s="2574"/>
      <c r="O132" s="1711"/>
      <c r="P132" s="2574">
        <f>SUM(P123:P131)</f>
        <v>149700</v>
      </c>
      <c r="Q132" s="2574"/>
      <c r="R132" s="1711"/>
      <c r="S132" s="2574">
        <f>SUM(S123:S131)</f>
        <v>0</v>
      </c>
      <c r="T132" s="2574"/>
      <c r="U132" s="1711"/>
      <c r="V132" s="2598">
        <f>SUM(V123:V131)</f>
        <v>0</v>
      </c>
      <c r="W132" s="2599"/>
      <c r="X132" s="2599"/>
      <c r="Y132" s="1711"/>
      <c r="Z132" s="1711"/>
      <c r="AA132" s="1711"/>
      <c r="AB132" s="1711"/>
      <c r="AC132" s="1711"/>
      <c r="AD132" s="1711"/>
      <c r="AE132" s="1711"/>
      <c r="AF132" s="1711"/>
      <c r="AG132" s="1711"/>
      <c r="AH132" s="1711"/>
      <c r="AI132" s="1711"/>
    </row>
    <row r="133" spans="1:35" ht="13">
      <c r="A133" s="1711"/>
      <c r="B133" s="2545" t="s">
        <v>2032</v>
      </c>
      <c r="C133" s="1711"/>
      <c r="D133" s="1711"/>
      <c r="E133" s="1711"/>
      <c r="F133" s="1711"/>
      <c r="G133" s="1711"/>
      <c r="H133" s="1711"/>
      <c r="I133" s="1711"/>
      <c r="J133" s="2574"/>
      <c r="K133" s="2574"/>
      <c r="L133" s="1711"/>
      <c r="M133" s="2574"/>
      <c r="N133" s="2574"/>
      <c r="O133" s="2603" t="str">
        <f>B133</f>
        <v>ACQUISITION</v>
      </c>
      <c r="P133" s="2574"/>
      <c r="Q133" s="2574"/>
      <c r="R133" s="1711"/>
      <c r="S133" s="2574"/>
      <c r="T133" s="2574"/>
      <c r="U133" s="1711"/>
      <c r="V133" s="2598"/>
      <c r="W133" s="1711" t="str">
        <f>B133</f>
        <v>ACQUISITION</v>
      </c>
      <c r="X133" s="1711"/>
      <c r="Y133" s="1711"/>
      <c r="Z133" s="1711"/>
      <c r="AA133" s="1711"/>
      <c r="AB133" s="1711"/>
      <c r="AC133" s="1711"/>
      <c r="AD133" s="1711"/>
      <c r="AE133" s="1711"/>
      <c r="AF133" s="1711"/>
      <c r="AG133" s="1711"/>
      <c r="AH133" s="1711"/>
      <c r="AI133" s="1711"/>
    </row>
    <row r="134" spans="1:35" ht="13">
      <c r="A134" s="1711"/>
      <c r="B134" s="1711" t="s">
        <v>2033</v>
      </c>
      <c r="C134" s="1711"/>
      <c r="D134" s="1711"/>
      <c r="E134" s="2604" t="s">
        <v>3137</v>
      </c>
      <c r="F134" s="2605">
        <f>IF('Part I-Project Identification'!$O$28="","",G134/'Part I-Project Identification'!$O$28)</f>
        <v>220852.01793721973</v>
      </c>
      <c r="G134" s="2574">
        <f>'Part III-A-Uses of Funds'!G20</f>
        <v>985000</v>
      </c>
      <c r="H134" s="2574"/>
      <c r="I134" s="1711"/>
      <c r="J134" s="2563"/>
      <c r="K134" s="2574"/>
      <c r="L134" s="2563"/>
      <c r="M134" s="2563"/>
      <c r="N134" s="2574"/>
      <c r="O134" s="1711"/>
      <c r="P134" s="2563"/>
      <c r="Q134" s="2574"/>
      <c r="R134" s="1711"/>
      <c r="S134" s="2574">
        <f>'Part III-A-Uses of Funds'!S20</f>
        <v>985000</v>
      </c>
      <c r="T134" s="2574"/>
      <c r="U134" s="1711"/>
      <c r="V134" s="2598"/>
      <c r="W134" s="2599"/>
      <c r="X134" s="2599"/>
      <c r="Y134" s="1711"/>
      <c r="Z134" s="1711"/>
      <c r="AA134" s="1711"/>
      <c r="AB134" s="1711"/>
      <c r="AC134" s="1711"/>
      <c r="AD134" s="1711"/>
      <c r="AE134" s="1711"/>
      <c r="AF134" s="1711"/>
      <c r="AG134" s="1711"/>
      <c r="AH134" s="1711"/>
      <c r="AI134" s="1711"/>
    </row>
    <row r="135" spans="1:35" ht="13">
      <c r="A135" s="1711"/>
      <c r="B135" s="1711" t="s">
        <v>1053</v>
      </c>
      <c r="C135" s="1711"/>
      <c r="D135" s="1711"/>
      <c r="E135" s="1711"/>
      <c r="F135" s="1711"/>
      <c r="G135" s="2574">
        <f>'Part III-A-Uses of Funds'!G21</f>
        <v>0</v>
      </c>
      <c r="H135" s="2574"/>
      <c r="I135" s="1711"/>
      <c r="J135" s="2563"/>
      <c r="K135" s="2574"/>
      <c r="L135" s="2563"/>
      <c r="M135" s="2563"/>
      <c r="N135" s="2574"/>
      <c r="O135" s="1711"/>
      <c r="P135" s="2563"/>
      <c r="Q135" s="2574"/>
      <c r="R135" s="1711"/>
      <c r="S135" s="2574">
        <f>'Part III-A-Uses of Funds'!S21</f>
        <v>0</v>
      </c>
      <c r="T135" s="2574"/>
      <c r="U135" s="1711"/>
      <c r="V135" s="2598"/>
      <c r="W135" s="2599"/>
      <c r="X135" s="2599"/>
      <c r="Y135" s="1711"/>
      <c r="Z135" s="1711"/>
      <c r="AA135" s="1711"/>
      <c r="AB135" s="1711"/>
      <c r="AC135" s="1711"/>
      <c r="AD135" s="1711"/>
      <c r="AE135" s="1711"/>
      <c r="AF135" s="1711"/>
      <c r="AG135" s="1711"/>
      <c r="AH135" s="1711"/>
      <c r="AI135" s="1711"/>
    </row>
    <row r="136" spans="1:35" ht="13">
      <c r="A136" s="1711"/>
      <c r="B136" s="1711" t="s">
        <v>431</v>
      </c>
      <c r="C136" s="1711"/>
      <c r="D136" s="1711"/>
      <c r="E136" s="1711"/>
      <c r="F136" s="1711"/>
      <c r="G136" s="2574">
        <f>'Part III-A-Uses of Funds'!G22</f>
        <v>0</v>
      </c>
      <c r="H136" s="2574"/>
      <c r="I136" s="1711"/>
      <c r="J136" s="2563"/>
      <c r="K136" s="2574"/>
      <c r="L136" s="2563"/>
      <c r="M136" s="2574">
        <f>'Part III-A-Uses of Funds'!M22</f>
        <v>0</v>
      </c>
      <c r="N136" s="2574"/>
      <c r="O136" s="1711"/>
      <c r="P136" s="2563"/>
      <c r="Q136" s="2574"/>
      <c r="R136" s="1711"/>
      <c r="S136" s="2574">
        <f>'Part III-A-Uses of Funds'!S22</f>
        <v>0</v>
      </c>
      <c r="T136" s="2574"/>
      <c r="U136" s="1711"/>
      <c r="V136" s="2598"/>
      <c r="W136" s="2599"/>
      <c r="X136" s="2599"/>
      <c r="Y136" s="1711"/>
      <c r="Z136" s="1711"/>
      <c r="AA136" s="1711"/>
      <c r="AB136" s="1711"/>
      <c r="AC136" s="1711"/>
      <c r="AD136" s="1711"/>
      <c r="AE136" s="1711"/>
      <c r="AF136" s="1711"/>
      <c r="AG136" s="1711"/>
      <c r="AH136" s="1711"/>
      <c r="AI136" s="1711"/>
    </row>
    <row r="137" spans="1:35" ht="13">
      <c r="A137" s="1711"/>
      <c r="B137" s="1711" t="s">
        <v>404</v>
      </c>
      <c r="C137" s="1711"/>
      <c r="D137" s="1711"/>
      <c r="E137" s="1711"/>
      <c r="F137" s="1711"/>
      <c r="G137" s="2574">
        <f>'Part III-A-Uses of Funds'!G23</f>
        <v>13435000</v>
      </c>
      <c r="H137" s="2574"/>
      <c r="I137" s="1711"/>
      <c r="J137" s="2563"/>
      <c r="K137" s="2574"/>
      <c r="L137" s="2563"/>
      <c r="M137" s="2574">
        <f>'Part III-A-Uses of Funds'!M23</f>
        <v>13435000</v>
      </c>
      <c r="N137" s="2574"/>
      <c r="O137" s="1711"/>
      <c r="P137" s="2563"/>
      <c r="Q137" s="2574"/>
      <c r="R137" s="1711"/>
      <c r="S137" s="2574">
        <f>'Part III-A-Uses of Funds'!S23</f>
        <v>0</v>
      </c>
      <c r="T137" s="2574"/>
      <c r="U137" s="1711"/>
      <c r="V137" s="2598"/>
      <c r="W137" s="2599"/>
      <c r="X137" s="2599"/>
      <c r="Y137" s="1711"/>
      <c r="Z137" s="1711"/>
      <c r="AA137" s="1711"/>
      <c r="AB137" s="1711"/>
      <c r="AC137" s="1711"/>
      <c r="AD137" s="1711"/>
      <c r="AE137" s="1711"/>
      <c r="AF137" s="1711"/>
      <c r="AG137" s="1711"/>
      <c r="AH137" s="1711"/>
      <c r="AI137" s="1711"/>
    </row>
    <row r="138" spans="1:35" ht="13">
      <c r="A138" s="1711"/>
      <c r="B138" s="1711"/>
      <c r="C138" s="1711"/>
      <c r="D138" s="1711"/>
      <c r="E138" s="1711"/>
      <c r="F138" s="2602" t="s">
        <v>184</v>
      </c>
      <c r="G138" s="2574">
        <f>SUM(G134:G137)</f>
        <v>14420000</v>
      </c>
      <c r="H138" s="2574"/>
      <c r="I138" s="1711"/>
      <c r="J138" s="2563"/>
      <c r="K138" s="2574"/>
      <c r="L138" s="2563"/>
      <c r="M138" s="2574">
        <f>SUM(M136:M137)</f>
        <v>13435000</v>
      </c>
      <c r="N138" s="2574"/>
      <c r="O138" s="1711"/>
      <c r="P138" s="2563"/>
      <c r="Q138" s="2574"/>
      <c r="R138" s="1711"/>
      <c r="S138" s="2574">
        <f>SUM(S134:S137)</f>
        <v>985000</v>
      </c>
      <c r="T138" s="2574"/>
      <c r="U138" s="1711"/>
      <c r="V138" s="2598">
        <f>SUM(V134:V137)</f>
        <v>0</v>
      </c>
      <c r="W138" s="2599"/>
      <c r="X138" s="2599"/>
      <c r="Y138" s="1711"/>
      <c r="Z138" s="1711"/>
      <c r="AA138" s="1711"/>
      <c r="AB138" s="1711"/>
      <c r="AC138" s="1711"/>
      <c r="AD138" s="1711"/>
      <c r="AE138" s="1711"/>
      <c r="AF138" s="1711"/>
      <c r="AG138" s="1711"/>
      <c r="AH138" s="1711"/>
      <c r="AI138" s="1711"/>
    </row>
    <row r="139" spans="1:35" ht="13">
      <c r="A139" s="1711"/>
      <c r="B139" s="2545" t="s">
        <v>1054</v>
      </c>
      <c r="C139" s="1711"/>
      <c r="D139" s="1711"/>
      <c r="E139" s="1711"/>
      <c r="F139" s="1711"/>
      <c r="G139" s="1711"/>
      <c r="H139" s="1711"/>
      <c r="I139" s="1711"/>
      <c r="J139" s="2563"/>
      <c r="K139" s="2574"/>
      <c r="L139" s="1711"/>
      <c r="M139" s="2563"/>
      <c r="N139" s="2574"/>
      <c r="O139" s="2603" t="str">
        <f>B139</f>
        <v>LAND IMPROVEMENTS</v>
      </c>
      <c r="P139" s="2563"/>
      <c r="Q139" s="2574"/>
      <c r="R139" s="1711"/>
      <c r="S139" s="2563"/>
      <c r="T139" s="2574"/>
      <c r="U139" s="1711"/>
      <c r="V139" s="2598"/>
      <c r="W139" s="1711" t="str">
        <f>B139</f>
        <v>LAND IMPROVEMENTS</v>
      </c>
      <c r="X139" s="1711"/>
      <c r="Y139" s="1711"/>
      <c r="Z139" s="1711"/>
      <c r="AA139" s="1711"/>
      <c r="AB139" s="1711"/>
      <c r="AC139" s="1711"/>
      <c r="AD139" s="1711"/>
      <c r="AE139" s="1711"/>
      <c r="AF139" s="1711"/>
      <c r="AG139" s="1711"/>
      <c r="AH139" s="1711"/>
      <c r="AI139" s="1711"/>
    </row>
    <row r="140" spans="1:35" ht="13">
      <c r="A140" s="1711"/>
      <c r="B140" s="1711" t="s">
        <v>1055</v>
      </c>
      <c r="C140" s="1711"/>
      <c r="D140" s="1711"/>
      <c r="E140" s="2604" t="s">
        <v>3137</v>
      </c>
      <c r="F140" s="2605">
        <f>IF('Part I-Project Identification'!$O$28="","",G140/'Part I-Project Identification'!$O$28)</f>
        <v>137656.27802690584</v>
      </c>
      <c r="G140" s="2574">
        <f>'Part III-A-Uses of Funds'!G26</f>
        <v>613947</v>
      </c>
      <c r="H140" s="2574"/>
      <c r="I140" s="1711"/>
      <c r="J140" s="2574">
        <f>'Part III-A-Uses of Funds'!J26</f>
        <v>0</v>
      </c>
      <c r="K140" s="2574"/>
      <c r="L140" s="2563"/>
      <c r="M140" s="2574">
        <f>'Part III-A-Uses of Funds'!M26</f>
        <v>0</v>
      </c>
      <c r="N140" s="2574"/>
      <c r="O140" s="1711"/>
      <c r="P140" s="2574">
        <f>'Part III-A-Uses of Funds'!P26</f>
        <v>613947</v>
      </c>
      <c r="Q140" s="2574"/>
      <c r="R140" s="1711"/>
      <c r="S140" s="2574">
        <f>'Part III-A-Uses of Funds'!S26</f>
        <v>0</v>
      </c>
      <c r="T140" s="2574"/>
      <c r="U140" s="1711"/>
      <c r="V140" s="2598"/>
      <c r="W140" s="2599"/>
      <c r="X140" s="2599"/>
      <c r="Y140" s="1711"/>
      <c r="Z140" s="1711"/>
      <c r="AA140" s="1711"/>
      <c r="AB140" s="1711"/>
      <c r="AC140" s="1711"/>
      <c r="AD140" s="1711"/>
      <c r="AE140" s="1711"/>
      <c r="AF140" s="1711"/>
      <c r="AG140" s="1711"/>
      <c r="AH140" s="1711"/>
      <c r="AI140" s="1711"/>
    </row>
    <row r="141" spans="1:35" ht="13">
      <c r="A141" s="1711"/>
      <c r="B141" s="1711" t="s">
        <v>1056</v>
      </c>
      <c r="C141" s="1711"/>
      <c r="D141" s="1711"/>
      <c r="E141" s="1711"/>
      <c r="F141" s="1711"/>
      <c r="G141" s="2574">
        <f>'Part III-A-Uses of Funds'!G27</f>
        <v>0</v>
      </c>
      <c r="H141" s="2574"/>
      <c r="I141" s="1711"/>
      <c r="J141" s="2574">
        <f>'Part III-A-Uses of Funds'!J27</f>
        <v>0</v>
      </c>
      <c r="K141" s="2574"/>
      <c r="L141" s="2606"/>
      <c r="M141" s="2574"/>
      <c r="N141" s="2574"/>
      <c r="O141" s="1711"/>
      <c r="P141" s="2574"/>
      <c r="Q141" s="2574"/>
      <c r="R141" s="1711"/>
      <c r="S141" s="2574">
        <f>'Part III-A-Uses of Funds'!S27</f>
        <v>0</v>
      </c>
      <c r="T141" s="2574"/>
      <c r="U141" s="1711"/>
      <c r="V141" s="2598"/>
      <c r="W141" s="2599"/>
      <c r="X141" s="2599"/>
      <c r="Y141" s="1711"/>
      <c r="Z141" s="1711"/>
      <c r="AA141" s="1711"/>
      <c r="AB141" s="1711"/>
      <c r="AC141" s="1711"/>
      <c r="AD141" s="1711"/>
      <c r="AE141" s="1711"/>
      <c r="AF141" s="1711"/>
      <c r="AG141" s="1711"/>
      <c r="AH141" s="1711"/>
      <c r="AI141" s="1711"/>
    </row>
    <row r="142" spans="1:35" ht="13">
      <c r="A142" s="1711"/>
      <c r="B142" s="1711"/>
      <c r="C142" s="1711"/>
      <c r="D142" s="1711"/>
      <c r="E142" s="1711"/>
      <c r="F142" s="2602" t="s">
        <v>184</v>
      </c>
      <c r="G142" s="2574">
        <f>SUM(G140:G141)</f>
        <v>613947</v>
      </c>
      <c r="H142" s="2574"/>
      <c r="I142" s="1711"/>
      <c r="J142" s="2574">
        <f>SUM(J140:J141)</f>
        <v>0</v>
      </c>
      <c r="K142" s="2574"/>
      <c r="L142" s="2563"/>
      <c r="M142" s="2574">
        <f>M140</f>
        <v>0</v>
      </c>
      <c r="N142" s="2574"/>
      <c r="O142" s="1711"/>
      <c r="P142" s="2574">
        <f>P140</f>
        <v>613947</v>
      </c>
      <c r="Q142" s="2574"/>
      <c r="R142" s="1711"/>
      <c r="S142" s="2574">
        <f>SUM(S140:S141)</f>
        <v>0</v>
      </c>
      <c r="T142" s="2574"/>
      <c r="U142" s="1711"/>
      <c r="V142" s="2598">
        <f>SUM(V140:V141)</f>
        <v>0</v>
      </c>
      <c r="W142" s="2599"/>
      <c r="X142" s="2599"/>
      <c r="Y142" s="1711"/>
      <c r="Z142" s="1711"/>
      <c r="AA142" s="1711"/>
      <c r="AB142" s="1711"/>
      <c r="AC142" s="1711"/>
      <c r="AD142" s="1711"/>
      <c r="AE142" s="1711"/>
      <c r="AF142" s="1711"/>
      <c r="AG142" s="1711"/>
      <c r="AH142" s="1711"/>
      <c r="AI142" s="1711"/>
    </row>
    <row r="143" spans="1:35" ht="13">
      <c r="A143" s="1711"/>
      <c r="B143" s="2545" t="s">
        <v>1057</v>
      </c>
      <c r="C143" s="1711"/>
      <c r="D143" s="1711"/>
      <c r="E143" s="1711"/>
      <c r="F143" s="1711"/>
      <c r="G143" s="1711"/>
      <c r="H143" s="1711"/>
      <c r="I143" s="1711"/>
      <c r="J143" s="2563"/>
      <c r="K143" s="2574"/>
      <c r="L143" s="1711"/>
      <c r="M143" s="2563"/>
      <c r="N143" s="2574"/>
      <c r="O143" s="2603" t="str">
        <f>B143</f>
        <v>STRUCTURES</v>
      </c>
      <c r="P143" s="2563"/>
      <c r="Q143" s="2574"/>
      <c r="R143" s="1711"/>
      <c r="S143" s="2563"/>
      <c r="T143" s="2574"/>
      <c r="U143" s="1711"/>
      <c r="V143" s="2598"/>
      <c r="W143" s="1711" t="str">
        <f>B143</f>
        <v>STRUCTURES</v>
      </c>
      <c r="X143" s="1711"/>
      <c r="Y143" s="1711"/>
      <c r="Z143" s="1711"/>
      <c r="AA143" s="1711"/>
      <c r="AB143" s="1711"/>
      <c r="AC143" s="1711"/>
      <c r="AD143" s="1711"/>
      <c r="AE143" s="1711"/>
      <c r="AF143" s="1711"/>
      <c r="AG143" s="1711"/>
      <c r="AH143" s="1711"/>
      <c r="AI143" s="1711"/>
    </row>
    <row r="144" spans="1:35" ht="13">
      <c r="A144" s="1711"/>
      <c r="B144" s="1711" t="s">
        <v>1058</v>
      </c>
      <c r="C144" s="1711"/>
      <c r="D144" s="1711"/>
      <c r="E144" s="1711"/>
      <c r="F144" s="1711"/>
      <c r="G144" s="2574">
        <f>'Part III-A-Uses of Funds'!G30</f>
        <v>0</v>
      </c>
      <c r="H144" s="2574"/>
      <c r="I144" s="1711"/>
      <c r="J144" s="2574">
        <f>'Part III-A-Uses of Funds'!J30</f>
        <v>0</v>
      </c>
      <c r="K144" s="2574"/>
      <c r="L144" s="2563"/>
      <c r="M144" s="2574">
        <f>'Part III-A-Uses of Funds'!M30</f>
        <v>0</v>
      </c>
      <c r="N144" s="2574"/>
      <c r="O144" s="1711"/>
      <c r="P144" s="2574">
        <f>'Part III-A-Uses of Funds'!P30</f>
        <v>0</v>
      </c>
      <c r="Q144" s="2574"/>
      <c r="R144" s="1711"/>
      <c r="S144" s="2574">
        <f>'Part III-A-Uses of Funds'!S30</f>
        <v>0</v>
      </c>
      <c r="T144" s="2574"/>
      <c r="U144" s="1711"/>
      <c r="V144" s="2598"/>
      <c r="W144" s="2599"/>
      <c r="X144" s="2599"/>
      <c r="Y144" s="1711"/>
      <c r="Z144" s="1711"/>
      <c r="AA144" s="1711"/>
      <c r="AB144" s="1711"/>
      <c r="AC144" s="1711"/>
      <c r="AD144" s="1711"/>
      <c r="AE144" s="1711"/>
      <c r="AF144" s="1711"/>
      <c r="AG144" s="1711"/>
      <c r="AH144" s="1711"/>
      <c r="AI144" s="1711"/>
    </row>
    <row r="145" spans="1:35" ht="13">
      <c r="A145" s="1711"/>
      <c r="B145" s="1711" t="s">
        <v>1059</v>
      </c>
      <c r="C145" s="1711"/>
      <c r="D145" s="1711"/>
      <c r="E145" s="1711"/>
      <c r="F145" s="1711"/>
      <c r="G145" s="2574">
        <f>'Part III-A-Uses of Funds'!G31</f>
        <v>11105066</v>
      </c>
      <c r="H145" s="2574"/>
      <c r="I145" s="1711"/>
      <c r="J145" s="2574">
        <f>'Part III-A-Uses of Funds'!J31</f>
        <v>0</v>
      </c>
      <c r="K145" s="2574"/>
      <c r="L145" s="2563"/>
      <c r="M145" s="2574">
        <f>'Part III-A-Uses of Funds'!M31</f>
        <v>0</v>
      </c>
      <c r="N145" s="2574"/>
      <c r="O145" s="1711"/>
      <c r="P145" s="2574">
        <f>'Part III-A-Uses of Funds'!P31</f>
        <v>11105066</v>
      </c>
      <c r="Q145" s="2574"/>
      <c r="R145" s="1711"/>
      <c r="S145" s="2574">
        <f>'Part III-A-Uses of Funds'!S31</f>
        <v>0</v>
      </c>
      <c r="T145" s="2574"/>
      <c r="U145" s="1711"/>
      <c r="V145" s="2598"/>
      <c r="W145" s="2599"/>
      <c r="X145" s="2599"/>
      <c r="Y145" s="1711"/>
      <c r="Z145" s="1711"/>
      <c r="AA145" s="1711"/>
      <c r="AB145" s="1711"/>
      <c r="AC145" s="1711"/>
      <c r="AD145" s="1711"/>
      <c r="AE145" s="1711"/>
      <c r="AF145" s="1711"/>
      <c r="AG145" s="1711"/>
      <c r="AH145" s="1711"/>
      <c r="AI145" s="1711"/>
    </row>
    <row r="146" spans="1:35" ht="13">
      <c r="A146" s="1711"/>
      <c r="B146" s="1711" t="s">
        <v>3986</v>
      </c>
      <c r="C146" s="1711"/>
      <c r="D146" s="1711"/>
      <c r="E146" s="1711"/>
      <c r="F146" s="1711"/>
      <c r="G146" s="2574">
        <f>'Part III-A-Uses of Funds'!G32</f>
        <v>0</v>
      </c>
      <c r="H146" s="2574"/>
      <c r="I146" s="1711"/>
      <c r="J146" s="2574">
        <f>'Part III-A-Uses of Funds'!J32</f>
        <v>0</v>
      </c>
      <c r="K146" s="2574"/>
      <c r="L146" s="2563"/>
      <c r="M146" s="2574">
        <f>'Part III-A-Uses of Funds'!M32</f>
        <v>0</v>
      </c>
      <c r="N146" s="2574"/>
      <c r="O146" s="1711"/>
      <c r="P146" s="2574">
        <f>'Part III-A-Uses of Funds'!P32</f>
        <v>0</v>
      </c>
      <c r="Q146" s="2574"/>
      <c r="R146" s="1711"/>
      <c r="S146" s="2574">
        <f>'Part III-A-Uses of Funds'!S32</f>
        <v>0</v>
      </c>
      <c r="T146" s="2574"/>
      <c r="U146" s="1711"/>
      <c r="V146" s="2598"/>
      <c r="W146" s="2599"/>
      <c r="X146" s="2599"/>
      <c r="Y146" s="1711"/>
      <c r="Z146" s="1711"/>
      <c r="AA146" s="1711"/>
      <c r="AB146" s="1711"/>
      <c r="AC146" s="1711"/>
      <c r="AD146" s="1711"/>
      <c r="AE146" s="1711"/>
      <c r="AF146" s="1711"/>
      <c r="AG146" s="1711"/>
      <c r="AH146" s="1711"/>
      <c r="AI146" s="1711"/>
    </row>
    <row r="147" spans="1:35" ht="13">
      <c r="A147" s="1711"/>
      <c r="B147" s="1711" t="s">
        <v>3984</v>
      </c>
      <c r="C147" s="1711"/>
      <c r="D147" s="1711"/>
      <c r="E147" s="1711"/>
      <c r="F147" s="1711"/>
      <c r="G147" s="2574">
        <f>'Part III-A-Uses of Funds'!G33</f>
        <v>0</v>
      </c>
      <c r="H147" s="2574"/>
      <c r="I147" s="1711"/>
      <c r="J147" s="2574">
        <f>'Part III-A-Uses of Funds'!J33</f>
        <v>0</v>
      </c>
      <c r="K147" s="2574"/>
      <c r="L147" s="2563"/>
      <c r="M147" s="2574">
        <f>'Part III-A-Uses of Funds'!M33</f>
        <v>0</v>
      </c>
      <c r="N147" s="2574"/>
      <c r="O147" s="1711"/>
      <c r="P147" s="2574">
        <f>'Part III-A-Uses of Funds'!P33</f>
        <v>0</v>
      </c>
      <c r="Q147" s="2574"/>
      <c r="R147" s="1711"/>
      <c r="S147" s="2574">
        <f>'Part III-A-Uses of Funds'!S33</f>
        <v>0</v>
      </c>
      <c r="T147" s="2574"/>
      <c r="U147" s="1711"/>
      <c r="V147" s="2598"/>
      <c r="W147" s="2599"/>
      <c r="X147" s="2599"/>
      <c r="Y147" s="1711"/>
      <c r="Z147" s="1711"/>
      <c r="AA147" s="1711"/>
      <c r="AB147" s="1711"/>
      <c r="AC147" s="1711"/>
      <c r="AD147" s="1711"/>
      <c r="AE147" s="1711"/>
      <c r="AF147" s="1711"/>
      <c r="AG147" s="1711"/>
      <c r="AH147" s="1711"/>
      <c r="AI147" s="1711"/>
    </row>
    <row r="148" spans="1:35" ht="13">
      <c r="A148" s="377"/>
      <c r="B148" s="1711" t="s">
        <v>2488</v>
      </c>
      <c r="C148" s="377"/>
      <c r="D148" s="377"/>
      <c r="E148" s="377"/>
      <c r="F148" s="377"/>
      <c r="G148" s="2574">
        <f>'Part III-A-Uses of Funds'!G34</f>
        <v>0</v>
      </c>
      <c r="H148" s="2574"/>
      <c r="I148" s="1711"/>
      <c r="J148" s="2574">
        <f>'Part III-A-Uses of Funds'!J34</f>
        <v>0</v>
      </c>
      <c r="K148" s="2574"/>
      <c r="L148" s="2563"/>
      <c r="M148" s="2574">
        <f>'Part III-A-Uses of Funds'!M34</f>
        <v>0</v>
      </c>
      <c r="N148" s="2574"/>
      <c r="O148" s="1711"/>
      <c r="P148" s="2574">
        <f>'Part III-A-Uses of Funds'!P34</f>
        <v>0</v>
      </c>
      <c r="Q148" s="2574"/>
      <c r="R148" s="1711"/>
      <c r="S148" s="2574">
        <f>'Part III-A-Uses of Funds'!S34</f>
        <v>0</v>
      </c>
      <c r="T148" s="2574"/>
      <c r="U148" s="377"/>
      <c r="V148" s="2598"/>
      <c r="W148" s="2599"/>
      <c r="X148" s="2599"/>
      <c r="Y148" s="377"/>
      <c r="Z148" s="377"/>
      <c r="AA148" s="377"/>
      <c r="AB148" s="377"/>
      <c r="AC148" s="377"/>
      <c r="AD148" s="377"/>
      <c r="AE148" s="377"/>
      <c r="AF148" s="377"/>
      <c r="AG148" s="377"/>
      <c r="AH148" s="377"/>
      <c r="AI148" s="377"/>
    </row>
    <row r="149" spans="1:35" ht="13">
      <c r="A149" s="377"/>
      <c r="B149" s="1711" t="s">
        <v>3985</v>
      </c>
      <c r="C149" s="377"/>
      <c r="D149" s="377"/>
      <c r="E149" s="377"/>
      <c r="F149" s="377"/>
      <c r="G149" s="2574">
        <f>'Part III-A-Uses of Funds'!G35</f>
        <v>0</v>
      </c>
      <c r="H149" s="2574"/>
      <c r="I149" s="1711"/>
      <c r="J149" s="2574">
        <f>'Part III-A-Uses of Funds'!J35</f>
        <v>0</v>
      </c>
      <c r="K149" s="2574"/>
      <c r="L149" s="2563"/>
      <c r="M149" s="2574">
        <f>'Part III-A-Uses of Funds'!M35</f>
        <v>0</v>
      </c>
      <c r="N149" s="2574"/>
      <c r="O149" s="1711"/>
      <c r="P149" s="2574">
        <f>'Part III-A-Uses of Funds'!P35</f>
        <v>0</v>
      </c>
      <c r="Q149" s="2574"/>
      <c r="R149" s="1711"/>
      <c r="S149" s="2574">
        <f>'Part III-A-Uses of Funds'!S35</f>
        <v>0</v>
      </c>
      <c r="T149" s="2574"/>
      <c r="U149" s="377"/>
      <c r="V149" s="2598"/>
      <c r="W149" s="2599"/>
      <c r="X149" s="2599"/>
      <c r="Y149" s="377"/>
      <c r="Z149" s="377"/>
      <c r="AA149" s="377"/>
      <c r="AB149" s="377"/>
      <c r="AC149" s="377"/>
      <c r="AD149" s="377"/>
      <c r="AE149" s="377"/>
      <c r="AF149" s="377"/>
      <c r="AG149" s="377"/>
      <c r="AH149" s="377"/>
      <c r="AI149" s="377"/>
    </row>
    <row r="150" spans="1:35" ht="13">
      <c r="A150" s="1711"/>
      <c r="B150" s="1711"/>
      <c r="C150" s="2607"/>
      <c r="D150" s="2607"/>
      <c r="E150" s="2608"/>
      <c r="F150" s="2602" t="s">
        <v>184</v>
      </c>
      <c r="G150" s="2574">
        <f>SUM(G144:G149)</f>
        <v>11105066</v>
      </c>
      <c r="H150" s="2574"/>
      <c r="I150" s="1711"/>
      <c r="J150" s="2574">
        <f>SUM(J144:J149)</f>
        <v>0</v>
      </c>
      <c r="K150" s="2574"/>
      <c r="L150" s="2563"/>
      <c r="M150" s="2574">
        <f>SUM(M144:M149)</f>
        <v>0</v>
      </c>
      <c r="N150" s="2574"/>
      <c r="O150" s="1711"/>
      <c r="P150" s="2574">
        <f>SUM(P144:P149)</f>
        <v>11105066</v>
      </c>
      <c r="Q150" s="2574"/>
      <c r="R150" s="1711"/>
      <c r="S150" s="2574">
        <f>SUM(S144:S149)</f>
        <v>0</v>
      </c>
      <c r="T150" s="2574"/>
      <c r="U150" s="1711"/>
      <c r="V150" s="2598">
        <f>SUM(V144:V149)</f>
        <v>0</v>
      </c>
      <c r="W150" s="2599"/>
      <c r="X150" s="2599"/>
      <c r="Y150" s="1711"/>
      <c r="Z150" s="1711"/>
      <c r="AA150" s="1711"/>
      <c r="AB150" s="1711"/>
      <c r="AC150" s="1711"/>
      <c r="AD150" s="1711"/>
      <c r="AE150" s="1711"/>
      <c r="AF150" s="1711"/>
      <c r="AG150" s="1711"/>
      <c r="AH150" s="1711"/>
      <c r="AI150" s="1711"/>
    </row>
    <row r="151" spans="1:35" ht="13">
      <c r="A151" s="1711"/>
      <c r="B151" s="2545" t="s">
        <v>2157</v>
      </c>
      <c r="C151" s="1711"/>
      <c r="D151" s="2411" t="s">
        <v>3141</v>
      </c>
      <c r="E151" s="2411"/>
      <c r="F151" s="2609">
        <f>SUM(F152:F154)</f>
        <v>0</v>
      </c>
      <c r="G151" s="2610"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563"/>
      <c r="K151" s="2574"/>
      <c r="L151" s="1711"/>
      <c r="M151" s="2563"/>
      <c r="N151" s="2574"/>
      <c r="O151" s="2603" t="str">
        <f>B151</f>
        <v>CONTRACTOR SERVICES</v>
      </c>
      <c r="P151" s="2563"/>
      <c r="Q151" s="2574"/>
      <c r="R151" s="1711"/>
      <c r="S151" s="2563"/>
      <c r="T151" s="2574"/>
      <c r="U151" s="1711"/>
      <c r="V151" s="2598"/>
      <c r="W151" s="1711" t="str">
        <f>B151</f>
        <v>CONTRACTOR SERVICES</v>
      </c>
      <c r="X151" s="1711"/>
      <c r="Y151" s="1711"/>
      <c r="Z151" s="1711"/>
      <c r="AA151" s="1711"/>
      <c r="AB151" s="1711"/>
      <c r="AC151" s="1711"/>
      <c r="AD151" s="1711"/>
      <c r="AE151" s="1711"/>
      <c r="AF151" s="1711"/>
      <c r="AG151" s="1711"/>
      <c r="AH151" s="1711"/>
      <c r="AI151" s="1711"/>
    </row>
    <row r="152" spans="1:35" ht="13">
      <c r="A152" s="1711"/>
      <c r="B152" s="1711" t="s">
        <v>2158</v>
      </c>
      <c r="C152" s="1711"/>
      <c r="D152" s="2611">
        <f>'DCA Underwriting Assumptions'!$R$52</f>
        <v>0.06</v>
      </c>
      <c r="E152" s="2612">
        <f>ROUNDDOWN(D152*(G142+G150),0)</f>
        <v>703140</v>
      </c>
      <c r="F152" s="2611">
        <f>IF(($G$28+$G$36)=0,0,G152/($G$28+$G$36))</f>
        <v>0</v>
      </c>
      <c r="G152" s="2574">
        <f>'Part III-A-Uses of Funds'!G38</f>
        <v>703140</v>
      </c>
      <c r="H152" s="2574"/>
      <c r="I152" s="1711"/>
      <c r="J152" s="2574">
        <f>'Part III-A-Uses of Funds'!J38</f>
        <v>0</v>
      </c>
      <c r="K152" s="2574"/>
      <c r="L152" s="2563"/>
      <c r="M152" s="2574">
        <f>'Part III-A-Uses of Funds'!M38</f>
        <v>0</v>
      </c>
      <c r="N152" s="2574"/>
      <c r="O152" s="1711"/>
      <c r="P152" s="2574">
        <f>'Part III-A-Uses of Funds'!P38</f>
        <v>703140</v>
      </c>
      <c r="Q152" s="2574"/>
      <c r="R152" s="1711"/>
      <c r="S152" s="2574">
        <f>'Part III-A-Uses of Funds'!S38</f>
        <v>0</v>
      </c>
      <c r="T152" s="2574"/>
      <c r="U152" s="1711"/>
      <c r="V152" s="2598"/>
      <c r="W152" s="2599"/>
      <c r="X152" s="2599"/>
      <c r="Y152" s="1711"/>
      <c r="Z152" s="1711"/>
      <c r="AA152" s="1711"/>
      <c r="AB152" s="1711"/>
      <c r="AC152" s="1711"/>
      <c r="AD152" s="1711"/>
      <c r="AE152" s="1711"/>
      <c r="AF152" s="1711"/>
      <c r="AG152" s="1711"/>
      <c r="AH152" s="1711"/>
      <c r="AI152" s="1711"/>
    </row>
    <row r="153" spans="1:35" ht="13">
      <c r="A153" s="1711"/>
      <c r="B153" s="1711" t="s">
        <v>2469</v>
      </c>
      <c r="C153" s="1711"/>
      <c r="D153" s="2611">
        <f>'DCA Underwriting Assumptions'!$R$53</f>
        <v>0.02</v>
      </c>
      <c r="E153" s="2612">
        <f>ROUNDDOWN(D153*(G142+G150),0)</f>
        <v>234380</v>
      </c>
      <c r="F153" s="2611">
        <f>IF(($G$28+$G$36)=0,0,G153/($G$28+$G$36))</f>
        <v>0</v>
      </c>
      <c r="G153" s="2574">
        <f>'Part III-A-Uses of Funds'!G39</f>
        <v>234380</v>
      </c>
      <c r="H153" s="2574"/>
      <c r="I153" s="1711"/>
      <c r="J153" s="2574">
        <f>'Part III-A-Uses of Funds'!J39</f>
        <v>0</v>
      </c>
      <c r="K153" s="2574"/>
      <c r="L153" s="2563"/>
      <c r="M153" s="2574">
        <f>'Part III-A-Uses of Funds'!M39</f>
        <v>0</v>
      </c>
      <c r="N153" s="2574"/>
      <c r="O153" s="1711"/>
      <c r="P153" s="2574">
        <f>'Part III-A-Uses of Funds'!P39</f>
        <v>234380</v>
      </c>
      <c r="Q153" s="2574"/>
      <c r="R153" s="1711"/>
      <c r="S153" s="2574">
        <f>'Part III-A-Uses of Funds'!S39</f>
        <v>0</v>
      </c>
      <c r="T153" s="2574"/>
      <c r="U153" s="1711"/>
      <c r="V153" s="2598"/>
      <c r="W153" s="2599"/>
      <c r="X153" s="2599"/>
      <c r="Y153" s="1711"/>
      <c r="Z153" s="1711"/>
      <c r="AA153" s="1711"/>
      <c r="AB153" s="1711"/>
      <c r="AC153" s="1711"/>
      <c r="AD153" s="1711"/>
      <c r="AE153" s="1711"/>
      <c r="AF153" s="1711"/>
      <c r="AG153" s="1711"/>
      <c r="AH153" s="1711"/>
      <c r="AI153" s="1711"/>
    </row>
    <row r="154" spans="1:35" ht="13">
      <c r="A154" s="1711"/>
      <c r="B154" s="1711" t="s">
        <v>2470</v>
      </c>
      <c r="C154" s="1711"/>
      <c r="D154" s="2611">
        <f>'DCA Underwriting Assumptions'!$R$54</f>
        <v>0.06</v>
      </c>
      <c r="E154" s="2612">
        <f>ROUNDDOWN(D154*(G142+G150),0)</f>
        <v>703140</v>
      </c>
      <c r="F154" s="2611">
        <f>IF(($G$28+$G$36)=0,0,G154/($G$28+$G$36))</f>
        <v>0</v>
      </c>
      <c r="G154" s="2574">
        <f>'Part III-A-Uses of Funds'!G40</f>
        <v>703140</v>
      </c>
      <c r="H154" s="2574"/>
      <c r="I154" s="1711"/>
      <c r="J154" s="2574">
        <f>'Part III-A-Uses of Funds'!J40</f>
        <v>0</v>
      </c>
      <c r="K154" s="2574"/>
      <c r="L154" s="2563"/>
      <c r="M154" s="2574">
        <f>'Part III-A-Uses of Funds'!M40</f>
        <v>0</v>
      </c>
      <c r="N154" s="2574"/>
      <c r="O154" s="1711"/>
      <c r="P154" s="2574">
        <f>'Part III-A-Uses of Funds'!P40</f>
        <v>703140</v>
      </c>
      <c r="Q154" s="2574"/>
      <c r="R154" s="1711"/>
      <c r="S154" s="2574">
        <f>'Part III-A-Uses of Funds'!S40</f>
        <v>0</v>
      </c>
      <c r="T154" s="2574"/>
      <c r="U154" s="1711"/>
      <c r="V154" s="2598"/>
      <c r="W154" s="2599"/>
      <c r="X154" s="2599"/>
      <c r="Y154" s="1711"/>
      <c r="Z154" s="1711"/>
      <c r="AA154" s="1711"/>
      <c r="AB154" s="1711"/>
      <c r="AC154" s="1711"/>
      <c r="AD154" s="1711"/>
      <c r="AE154" s="1711"/>
      <c r="AF154" s="1711"/>
      <c r="AG154" s="1711"/>
      <c r="AH154" s="1711"/>
      <c r="AI154" s="1711"/>
    </row>
    <row r="155" spans="1:35" ht="13">
      <c r="A155" s="1711"/>
      <c r="B155" s="2550" t="s">
        <v>3142</v>
      </c>
      <c r="C155" s="1711"/>
      <c r="D155" s="2609">
        <f>SUM(D152:D154)</f>
        <v>0.14000000000000001</v>
      </c>
      <c r="E155" s="2613">
        <f>SUM(E152:E154)</f>
        <v>1640660</v>
      </c>
      <c r="F155" s="2602" t="s">
        <v>184</v>
      </c>
      <c r="G155" s="2574">
        <f>SUM(G152:G154)</f>
        <v>1640660</v>
      </c>
      <c r="H155" s="2574"/>
      <c r="I155" s="1711"/>
      <c r="J155" s="2574">
        <f>SUM(J152:J154)</f>
        <v>0</v>
      </c>
      <c r="K155" s="2574"/>
      <c r="L155" s="2563"/>
      <c r="M155" s="2574">
        <f>SUM(M152:M154)</f>
        <v>0</v>
      </c>
      <c r="N155" s="2574"/>
      <c r="O155" s="1711"/>
      <c r="P155" s="2574">
        <f>SUM(P152:P154)</f>
        <v>1640660</v>
      </c>
      <c r="Q155" s="2574"/>
      <c r="R155" s="1711"/>
      <c r="S155" s="2574">
        <f>SUM(S152:S154)</f>
        <v>0</v>
      </c>
      <c r="T155" s="2574"/>
      <c r="U155" s="1711"/>
      <c r="V155" s="2598">
        <f>SUM(V152:V154)</f>
        <v>0</v>
      </c>
      <c r="W155" s="2599"/>
      <c r="X155" s="2599"/>
      <c r="Y155" s="1711"/>
      <c r="Z155" s="1711"/>
      <c r="AA155" s="1711"/>
      <c r="AB155" s="1711"/>
      <c r="AC155" s="1711"/>
      <c r="AD155" s="1711"/>
      <c r="AE155" s="1711"/>
      <c r="AF155" s="1711"/>
      <c r="AG155" s="1711"/>
      <c r="AH155" s="1711"/>
      <c r="AI155" s="1711"/>
    </row>
    <row r="156" spans="1:35" ht="13">
      <c r="A156" s="2546"/>
      <c r="B156" s="2546"/>
      <c r="C156" s="2546"/>
      <c r="D156" s="2546"/>
      <c r="E156" s="2546"/>
      <c r="F156" s="2546"/>
      <c r="G156" s="2546"/>
      <c r="H156" s="2546"/>
      <c r="I156" s="2546"/>
      <c r="J156" s="2546"/>
      <c r="K156" s="2546"/>
      <c r="L156" s="2546"/>
      <c r="M156" s="2546"/>
      <c r="N156" s="2546"/>
      <c r="O156" s="2546"/>
      <c r="P156" s="2546"/>
      <c r="Q156" s="2546"/>
      <c r="R156" s="2546"/>
      <c r="S156" s="2546"/>
      <c r="T156" s="2546"/>
      <c r="U156" s="1711"/>
      <c r="V156" s="2598"/>
      <c r="W156" s="1711"/>
      <c r="X156" s="1711"/>
      <c r="Y156" s="1711"/>
      <c r="Z156" s="1711"/>
      <c r="AA156" s="1711"/>
      <c r="AB156" s="1711"/>
      <c r="AC156" s="1711"/>
      <c r="AD156" s="1711"/>
      <c r="AE156" s="1711"/>
      <c r="AF156" s="1711"/>
      <c r="AG156" s="1711"/>
      <c r="AH156" s="1711"/>
      <c r="AI156" s="1711"/>
    </row>
    <row r="157" spans="1:35" ht="13">
      <c r="A157" s="2546"/>
      <c r="B157" s="1711"/>
      <c r="C157" s="2614" t="s">
        <v>4383</v>
      </c>
      <c r="D157" s="1711"/>
      <c r="E157" s="2546"/>
      <c r="F157" s="2546"/>
      <c r="G157" s="2615">
        <f>G142+G150+G155</f>
        <v>13359673</v>
      </c>
      <c r="H157" s="2615"/>
      <c r="I157" s="2546"/>
      <c r="J157" s="2546"/>
      <c r="K157" s="2546"/>
      <c r="L157" s="2546"/>
      <c r="M157" s="2546"/>
      <c r="N157" s="2546"/>
      <c r="O157" s="2546"/>
      <c r="P157" s="2546"/>
      <c r="Q157" s="2546"/>
      <c r="R157" s="2546"/>
      <c r="S157" s="2546"/>
      <c r="T157" s="2546"/>
      <c r="U157" s="1711"/>
      <c r="V157" s="2598"/>
      <c r="W157" s="1711"/>
      <c r="X157" s="1711"/>
      <c r="Y157" s="1711"/>
      <c r="Z157" s="1711"/>
      <c r="AA157" s="1711"/>
      <c r="AB157" s="1711"/>
      <c r="AC157" s="1711"/>
      <c r="AD157" s="1711"/>
      <c r="AE157" s="1711"/>
      <c r="AF157" s="1711"/>
      <c r="AG157" s="1711"/>
      <c r="AH157" s="1711"/>
      <c r="AI157" s="1711"/>
    </row>
    <row r="158" spans="1:35" ht="13">
      <c r="A158" s="2545"/>
      <c r="B158" s="2545"/>
      <c r="C158" s="2545"/>
      <c r="D158" s="2545"/>
      <c r="E158" s="2545"/>
      <c r="F158" s="2545"/>
      <c r="G158" s="2545"/>
      <c r="H158" s="2545"/>
      <c r="I158" s="2545"/>
      <c r="J158" s="2545"/>
      <c r="K158" s="2545"/>
      <c r="L158" s="2545"/>
      <c r="M158" s="2545"/>
      <c r="N158" s="2545"/>
      <c r="O158" s="2545"/>
      <c r="P158" s="2545"/>
      <c r="Q158" s="2545"/>
      <c r="R158" s="2545"/>
      <c r="S158" s="2545"/>
      <c r="T158" s="2545"/>
      <c r="U158" s="1711"/>
      <c r="V158" s="1711"/>
      <c r="W158" s="1711"/>
      <c r="X158" s="1711"/>
      <c r="Y158" s="1711"/>
      <c r="Z158" s="1711"/>
      <c r="AA158" s="1711"/>
      <c r="AB158" s="1711"/>
      <c r="AC158" s="1711"/>
      <c r="AD158" s="1711"/>
      <c r="AE158" s="1711"/>
      <c r="AF158" s="1711"/>
      <c r="AG158" s="1711"/>
      <c r="AH158" s="1711"/>
      <c r="AI158" s="1711"/>
    </row>
    <row r="159" spans="1:35" ht="13">
      <c r="A159" s="1711"/>
      <c r="B159" s="2545" t="s">
        <v>5123</v>
      </c>
      <c r="C159" s="1711"/>
      <c r="D159" s="1711"/>
      <c r="E159" s="1711"/>
      <c r="F159" s="1711"/>
      <c r="G159" s="1711"/>
      <c r="H159" s="1711"/>
      <c r="I159" s="1711"/>
      <c r="J159" s="2563"/>
      <c r="K159" s="2574"/>
      <c r="L159" s="1711"/>
      <c r="M159" s="2563"/>
      <c r="N159" s="2574"/>
      <c r="O159" s="2603" t="str">
        <f>B159</f>
        <v>OTHER CONSTRUCTION HARD COSTS (Non-GC work scope items done by Owner)</v>
      </c>
      <c r="P159" s="2563"/>
      <c r="Q159" s="2574"/>
      <c r="R159" s="1711"/>
      <c r="S159" s="2563"/>
      <c r="T159" s="2574"/>
      <c r="U159" s="1711"/>
      <c r="V159" s="2598"/>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550" t="s">
        <v>4168</v>
      </c>
      <c r="C160" s="2410" t="str">
        <f>'Part III-A-Uses of Funds'!C46</f>
        <v>&lt;&lt; Enter description here; provide detail &amp; justification in tab Part III-b &gt;&gt;</v>
      </c>
      <c r="D160" s="359"/>
      <c r="E160" s="359"/>
      <c r="F160" s="359"/>
      <c r="G160" s="2574">
        <f>'Part III-A-Uses of Funds'!G46</f>
        <v>0</v>
      </c>
      <c r="H160" s="2574"/>
      <c r="I160" s="1711"/>
      <c r="J160" s="2574">
        <f>'Part III-A-Uses of Funds'!J46</f>
        <v>0</v>
      </c>
      <c r="K160" s="2574"/>
      <c r="L160" s="2563"/>
      <c r="M160" s="2574">
        <f>'Part III-A-Uses of Funds'!M46</f>
        <v>0</v>
      </c>
      <c r="N160" s="2574"/>
      <c r="O160" s="1711"/>
      <c r="P160" s="2574">
        <f>'Part III-A-Uses of Funds'!P46</f>
        <v>0</v>
      </c>
      <c r="Q160" s="2574"/>
      <c r="R160" s="1711"/>
      <c r="S160" s="2574">
        <f>'Part III-A-Uses of Funds'!S46</f>
        <v>0</v>
      </c>
      <c r="T160" s="2574"/>
      <c r="U160" s="377"/>
      <c r="V160" s="2598"/>
      <c r="W160" s="2599"/>
      <c r="X160" s="2599"/>
      <c r="Y160" s="377"/>
      <c r="Z160" s="377"/>
      <c r="AA160" s="377"/>
      <c r="AB160" s="377"/>
      <c r="AC160" s="377"/>
      <c r="AD160" s="377"/>
      <c r="AE160" s="377"/>
      <c r="AF160" s="377"/>
      <c r="AG160" s="377"/>
      <c r="AH160" s="377"/>
      <c r="AI160" s="377"/>
    </row>
    <row r="161" spans="1:35" ht="13">
      <c r="A161" s="2546"/>
      <c r="B161" s="2546"/>
      <c r="C161" s="2546"/>
      <c r="D161" s="2546"/>
      <c r="E161" s="2546"/>
      <c r="F161" s="2546"/>
      <c r="G161" s="2546"/>
      <c r="H161" s="2546"/>
      <c r="I161" s="2546"/>
      <c r="J161" s="2546"/>
      <c r="K161" s="2546"/>
      <c r="L161" s="2546"/>
      <c r="M161" s="2546"/>
      <c r="N161" s="2546"/>
      <c r="O161" s="2546"/>
      <c r="P161" s="2546"/>
      <c r="Q161" s="2546"/>
      <c r="R161" s="2546"/>
      <c r="S161" s="2546"/>
      <c r="T161" s="2546"/>
      <c r="U161" s="1711"/>
      <c r="V161" s="2598"/>
      <c r="W161" s="2599"/>
      <c r="X161" s="2599"/>
      <c r="Y161" s="1711"/>
      <c r="Z161" s="1711"/>
      <c r="AA161" s="1711"/>
      <c r="AB161" s="1711"/>
      <c r="AC161" s="1711"/>
      <c r="AD161" s="1711"/>
      <c r="AE161" s="1711"/>
      <c r="AF161" s="1711"/>
      <c r="AG161" s="1711"/>
      <c r="AH161" s="1711"/>
      <c r="AI161" s="1711"/>
    </row>
    <row r="162" spans="1:35" ht="12.75" customHeight="1">
      <c r="A162" s="1711"/>
      <c r="B162" s="2616" t="s">
        <v>5124</v>
      </c>
      <c r="C162" s="2617"/>
      <c r="D162" s="1711"/>
      <c r="E162" s="2545" t="s">
        <v>2472</v>
      </c>
      <c r="F162" s="2618">
        <f>C163/'Part V-Revenues &amp; Expenses'!$P$74</f>
        <v>116171.06956521739</v>
      </c>
      <c r="G162" s="2619" t="s">
        <v>5125</v>
      </c>
      <c r="H162" s="1711"/>
      <c r="I162" s="1711"/>
      <c r="J162" s="2620">
        <f>C163/'Part V-Revenues &amp; Expenses'!$P$76</f>
        <v>115169.5948275862</v>
      </c>
      <c r="K162" s="2620"/>
      <c r="L162" s="1711"/>
      <c r="M162" s="2621" t="s">
        <v>4369</v>
      </c>
      <c r="N162" s="2621"/>
      <c r="O162" s="1711"/>
      <c r="P162" s="2620">
        <f>C163/'Part V-Revenues &amp; Expenses'!$K$197</f>
        <v>104.32109977120636</v>
      </c>
      <c r="Q162" s="2620"/>
      <c r="R162" s="1711"/>
      <c r="S162" s="2622" t="s">
        <v>4371</v>
      </c>
      <c r="T162" s="2622"/>
      <c r="U162" s="1711"/>
      <c r="V162" s="2598"/>
      <c r="W162" s="2599"/>
      <c r="X162" s="2599"/>
      <c r="Y162" s="1711"/>
      <c r="Z162" s="1711"/>
      <c r="AA162" s="1711"/>
      <c r="AB162" s="1711"/>
      <c r="AC162" s="1711"/>
      <c r="AD162" s="1711"/>
      <c r="AE162" s="1711"/>
      <c r="AF162" s="1711"/>
      <c r="AG162" s="1711"/>
      <c r="AH162" s="1711"/>
      <c r="AI162" s="1711"/>
    </row>
    <row r="163" spans="1:35" ht="13">
      <c r="A163" s="1711"/>
      <c r="B163" s="2623" t="s">
        <v>4382</v>
      </c>
      <c r="C163" s="2624">
        <f>G142+G150+G155+G160</f>
        <v>13359673</v>
      </c>
      <c r="D163" s="1711"/>
      <c r="E163" s="2545"/>
      <c r="F163" s="2618">
        <f>C163/'Part V-Revenues &amp; Expenses'!$P$188</f>
        <v>138.96928245989972</v>
      </c>
      <c r="G163" s="2622" t="s">
        <v>5126</v>
      </c>
      <c r="H163" s="1711"/>
      <c r="I163" s="1711"/>
      <c r="J163" s="2620">
        <f>C163/'Part V-Revenues &amp; Expenses'!$P$190</f>
        <v>137.60658591351998</v>
      </c>
      <c r="K163" s="2620"/>
      <c r="L163" s="1711"/>
      <c r="M163" s="2622" t="s">
        <v>4370</v>
      </c>
      <c r="N163" s="2622"/>
      <c r="O163" s="1711"/>
      <c r="P163" s="1711"/>
      <c r="Q163" s="1711"/>
      <c r="R163" s="1711"/>
      <c r="S163" s="1711"/>
      <c r="T163" s="1711"/>
      <c r="U163" s="1711"/>
      <c r="V163" s="2598"/>
      <c r="W163" s="2599"/>
      <c r="X163" s="2599"/>
      <c r="Y163" s="1711"/>
      <c r="Z163" s="1711"/>
      <c r="AA163" s="1711"/>
      <c r="AB163" s="1711"/>
      <c r="AC163" s="1711"/>
      <c r="AD163" s="1711"/>
      <c r="AE163" s="1711"/>
      <c r="AF163" s="1711"/>
      <c r="AG163" s="1711"/>
      <c r="AH163" s="1711"/>
      <c r="AI163" s="1711"/>
    </row>
    <row r="164" spans="1:35" ht="13">
      <c r="A164" s="2546"/>
      <c r="B164" s="2546"/>
      <c r="C164" s="2546"/>
      <c r="D164" s="2546"/>
      <c r="E164" s="2546"/>
      <c r="F164" s="2546"/>
      <c r="G164" s="2546"/>
      <c r="H164" s="2546"/>
      <c r="I164" s="2546"/>
      <c r="J164" s="2546"/>
      <c r="K164" s="2546"/>
      <c r="L164" s="2546"/>
      <c r="M164" s="2546"/>
      <c r="N164" s="2546"/>
      <c r="O164" s="2546"/>
      <c r="P164" s="2546"/>
      <c r="Q164" s="2546"/>
      <c r="R164" s="2546"/>
      <c r="S164" s="2546"/>
      <c r="T164" s="2546"/>
      <c r="U164" s="1711"/>
      <c r="V164" s="2598"/>
      <c r="W164" s="1711"/>
      <c r="X164" s="1711"/>
      <c r="Y164" s="1711"/>
      <c r="Z164" s="1711"/>
      <c r="AA164" s="1711"/>
      <c r="AB164" s="1711"/>
      <c r="AC164" s="1711"/>
      <c r="AD164" s="1711"/>
      <c r="AE164" s="1711"/>
      <c r="AF164" s="1711"/>
      <c r="AG164" s="1711"/>
      <c r="AH164" s="1711"/>
      <c r="AI164" s="1711"/>
    </row>
    <row r="165" spans="1:35" ht="17.25" customHeight="1">
      <c r="A165" s="2595" t="s">
        <v>572</v>
      </c>
      <c r="B165" s="2595" t="s">
        <v>5127</v>
      </c>
      <c r="C165" s="1711"/>
      <c r="D165" s="1711"/>
      <c r="E165" s="1711"/>
      <c r="F165" s="1711"/>
      <c r="G165" s="1711"/>
      <c r="H165" s="1711"/>
      <c r="I165" s="1711"/>
      <c r="J165" s="2545" t="s">
        <v>259</v>
      </c>
      <c r="K165" s="2545"/>
      <c r="L165" s="2574"/>
      <c r="M165" s="2596" t="s">
        <v>459</v>
      </c>
      <c r="N165" s="2596"/>
      <c r="O165" s="1711"/>
      <c r="P165" s="2545" t="s">
        <v>260</v>
      </c>
      <c r="Q165" s="2545"/>
      <c r="R165" s="1711"/>
      <c r="S165" s="2545" t="s">
        <v>261</v>
      </c>
      <c r="T165" s="2545"/>
      <c r="U165" s="1711"/>
      <c r="V165" s="2598"/>
      <c r="W165" s="2597" t="str">
        <f>B165</f>
        <v>DEVELOPMENT BUDGET (cont'd)</v>
      </c>
      <c r="X165" s="1711"/>
      <c r="Y165" s="1711"/>
      <c r="Z165" s="1711"/>
      <c r="AA165" s="1711"/>
      <c r="AB165" s="1711"/>
      <c r="AC165" s="1711"/>
      <c r="AD165" s="1711"/>
      <c r="AE165" s="1711"/>
      <c r="AF165" s="1711"/>
      <c r="AG165" s="1711"/>
      <c r="AH165" s="1711"/>
      <c r="AI165" s="1711"/>
    </row>
    <row r="166" spans="1:35" ht="13">
      <c r="A166" s="1711"/>
      <c r="B166" s="1711"/>
      <c r="C166" s="1711"/>
      <c r="D166" s="1711"/>
      <c r="E166" s="1711"/>
      <c r="F166" s="1711"/>
      <c r="G166" s="2545" t="s">
        <v>95</v>
      </c>
      <c r="H166" s="2545"/>
      <c r="I166" s="1711"/>
      <c r="J166" s="2545"/>
      <c r="K166" s="2545"/>
      <c r="L166" s="2574"/>
      <c r="M166" s="2596"/>
      <c r="N166" s="2596"/>
      <c r="O166" s="1711"/>
      <c r="P166" s="2545"/>
      <c r="Q166" s="2545"/>
      <c r="R166" s="1711"/>
      <c r="S166" s="2545"/>
      <c r="T166" s="2545"/>
      <c r="U166" s="1711"/>
      <c r="V166" s="2598"/>
      <c r="W166" s="376" t="s">
        <v>2441</v>
      </c>
      <c r="X166" s="376"/>
      <c r="Y166" s="1711"/>
      <c r="Z166" s="1711"/>
      <c r="AA166" s="1711"/>
      <c r="AB166" s="1711"/>
      <c r="AC166" s="1711"/>
      <c r="AD166" s="1711"/>
      <c r="AE166" s="1711"/>
      <c r="AF166" s="1711"/>
      <c r="AG166" s="1711"/>
      <c r="AH166" s="1711"/>
      <c r="AI166" s="1711"/>
    </row>
    <row r="167" spans="1:35" ht="13">
      <c r="A167" s="2546"/>
      <c r="B167" s="2546"/>
      <c r="C167" s="2546"/>
      <c r="D167" s="2546"/>
      <c r="E167" s="2546"/>
      <c r="F167" s="2546"/>
      <c r="G167" s="2546"/>
      <c r="H167" s="2546"/>
      <c r="I167" s="2546"/>
      <c r="J167" s="2546"/>
      <c r="K167" s="2546"/>
      <c r="L167" s="2546"/>
      <c r="M167" s="2546"/>
      <c r="N167" s="2546"/>
      <c r="O167" s="2546"/>
      <c r="P167" s="2546"/>
      <c r="Q167" s="2546"/>
      <c r="R167" s="2546"/>
      <c r="S167" s="2546"/>
      <c r="T167" s="2546"/>
      <c r="U167" s="1711"/>
      <c r="V167" s="2598"/>
      <c r="W167" s="1711"/>
      <c r="X167" s="1711"/>
      <c r="Y167" s="1711"/>
      <c r="Z167" s="1711"/>
      <c r="AA167" s="1711"/>
      <c r="AB167" s="1711"/>
      <c r="AC167" s="1711"/>
      <c r="AD167" s="1711"/>
      <c r="AE167" s="1711"/>
      <c r="AF167" s="1711"/>
      <c r="AG167" s="1711"/>
      <c r="AH167" s="1711"/>
      <c r="AI167" s="1711"/>
    </row>
    <row r="168" spans="1:35" ht="13">
      <c r="A168" s="1711"/>
      <c r="B168" s="2545" t="s">
        <v>4190</v>
      </c>
      <c r="C168" s="1711"/>
      <c r="D168" s="1711"/>
      <c r="E168" s="1711"/>
      <c r="F168" s="1248" t="s">
        <v>3323</v>
      </c>
      <c r="G168" s="2545" t="str">
        <f>IF(G169&gt;E169,"Check Contingency Amount!!!!","")</f>
        <v/>
      </c>
      <c r="H168" s="1711"/>
      <c r="I168" s="1711"/>
      <c r="J168" s="2563"/>
      <c r="K168" s="2574"/>
      <c r="L168" s="1711"/>
      <c r="M168" s="2563"/>
      <c r="N168" s="2574"/>
      <c r="O168" s="2603" t="str">
        <f>B168</f>
        <v>CONSTRUCTION CONTINGENCY (CC)</v>
      </c>
      <c r="P168" s="2563"/>
      <c r="Q168" s="2574"/>
      <c r="R168" s="1711"/>
      <c r="S168" s="2563"/>
      <c r="T168" s="2574"/>
      <c r="U168" s="1711"/>
      <c r="V168" s="2598"/>
      <c r="W168" s="1711" t="str">
        <f>B168</f>
        <v>CONSTRUCTION CONTINGENCY (CC)</v>
      </c>
      <c r="X168" s="1711"/>
      <c r="Y168" s="1711"/>
      <c r="Z168" s="1711"/>
      <c r="AA168" s="1711"/>
      <c r="AB168" s="1711"/>
      <c r="AC168" s="1711"/>
      <c r="AD168" s="1711"/>
      <c r="AE168" s="1711"/>
      <c r="AF168" s="1711"/>
      <c r="AG168" s="1711"/>
      <c r="AH168" s="1711"/>
      <c r="AI168" s="1711"/>
    </row>
    <row r="169" spans="1:35" ht="13">
      <c r="A169" s="377"/>
      <c r="B169" s="1711" t="s">
        <v>1816</v>
      </c>
      <c r="C169" s="377"/>
      <c r="D169" s="2604" t="s">
        <v>3322</v>
      </c>
      <c r="E169" s="2625">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1335967.3</v>
      </c>
      <c r="F169" s="2582">
        <f>G169/C163</f>
        <v>9.999997754436056E-2</v>
      </c>
      <c r="G169" s="2574">
        <f>'Part III-A-Uses of Funds'!G55</f>
        <v>1335967</v>
      </c>
      <c r="H169" s="2574"/>
      <c r="I169" s="1711"/>
      <c r="J169" s="2574">
        <f>'Part III-A-Uses of Funds'!J55</f>
        <v>0</v>
      </c>
      <c r="K169" s="2574"/>
      <c r="L169" s="2563"/>
      <c r="M169" s="2574">
        <f>'Part III-A-Uses of Funds'!M55</f>
        <v>0</v>
      </c>
      <c r="N169" s="2574"/>
      <c r="O169" s="1711"/>
      <c r="P169" s="2574">
        <f>'Part III-A-Uses of Funds'!P55</f>
        <v>1335967</v>
      </c>
      <c r="Q169" s="2574"/>
      <c r="R169" s="1711"/>
      <c r="S169" s="2574">
        <f>'Part III-A-Uses of Funds'!S55</f>
        <v>0</v>
      </c>
      <c r="T169" s="2574"/>
      <c r="U169" s="377"/>
      <c r="V169" s="2598"/>
      <c r="W169" s="2599"/>
      <c r="X169" s="2599"/>
      <c r="Y169" s="377"/>
      <c r="Z169" s="377"/>
      <c r="AA169" s="377"/>
      <c r="AB169" s="377"/>
      <c r="AC169" s="377"/>
      <c r="AD169" s="377"/>
      <c r="AE169" s="377"/>
      <c r="AF169" s="377"/>
      <c r="AG169" s="377"/>
      <c r="AH169" s="377"/>
      <c r="AI169" s="377"/>
    </row>
    <row r="170" spans="1:35" ht="13">
      <c r="A170" s="2546"/>
      <c r="B170" s="2546"/>
      <c r="C170" s="2546"/>
      <c r="D170" s="2546"/>
      <c r="E170" s="2546"/>
      <c r="F170" s="2546"/>
      <c r="G170" s="2546"/>
      <c r="H170" s="2546"/>
      <c r="I170" s="2546"/>
      <c r="J170" s="2546"/>
      <c r="K170" s="2546"/>
      <c r="L170" s="2546"/>
      <c r="M170" s="2546"/>
      <c r="N170" s="2546"/>
      <c r="O170" s="2546"/>
      <c r="P170" s="2546"/>
      <c r="Q170" s="2546"/>
      <c r="R170" s="2546"/>
      <c r="S170" s="2546"/>
      <c r="T170" s="2546"/>
      <c r="U170" s="1711"/>
      <c r="V170" s="2598"/>
      <c r="W170" s="2599"/>
      <c r="X170" s="2599"/>
      <c r="Y170" s="1711"/>
      <c r="Z170" s="1711"/>
      <c r="AA170" s="1711"/>
      <c r="AB170" s="1711"/>
      <c r="AC170" s="1711"/>
      <c r="AD170" s="1711"/>
      <c r="AE170" s="1711"/>
      <c r="AF170" s="1711"/>
      <c r="AG170" s="1711"/>
      <c r="AH170" s="1711"/>
      <c r="AI170" s="1711"/>
    </row>
    <row r="171" spans="1:35" ht="12.75" customHeight="1">
      <c r="A171" s="1711"/>
      <c r="B171" s="2626" t="s">
        <v>4191</v>
      </c>
      <c r="C171" s="2617"/>
      <c r="D171" s="1711"/>
      <c r="E171" s="2545" t="s">
        <v>4192</v>
      </c>
      <c r="F171" s="2618">
        <f>B172/'Part V-Revenues &amp; Expenses'!$P$74</f>
        <v>127788.17391304347</v>
      </c>
      <c r="G171" s="2619" t="s">
        <v>5125</v>
      </c>
      <c r="H171" s="1711"/>
      <c r="I171" s="1711"/>
      <c r="J171" s="2620">
        <f>B172/'Part V-Revenues &amp; Expenses'!$P$76</f>
        <v>126686.55172413793</v>
      </c>
      <c r="K171" s="2620"/>
      <c r="L171" s="1711"/>
      <c r="M171" s="2621" t="s">
        <v>4369</v>
      </c>
      <c r="N171" s="2621"/>
      <c r="O171" s="1711"/>
      <c r="P171" s="2620">
        <f>B172/'Part V-Revenues &amp; Expenses'!$K$197</f>
        <v>114.75320740573</v>
      </c>
      <c r="Q171" s="2620"/>
      <c r="R171" s="1711"/>
      <c r="S171" s="2622" t="s">
        <v>4371</v>
      </c>
      <c r="T171" s="2622"/>
      <c r="U171" s="1711"/>
      <c r="V171" s="2598"/>
      <c r="W171" s="2599"/>
      <c r="X171" s="2599"/>
      <c r="Y171" s="1711"/>
      <c r="Z171" s="1711"/>
      <c r="AA171" s="1711"/>
      <c r="AB171" s="1711"/>
      <c r="AC171" s="1711"/>
      <c r="AD171" s="1711"/>
      <c r="AE171" s="1711"/>
      <c r="AF171" s="1711"/>
      <c r="AG171" s="1711"/>
      <c r="AH171" s="1711"/>
      <c r="AI171" s="1711"/>
    </row>
    <row r="172" spans="1:35" ht="13">
      <c r="A172" s="1711"/>
      <c r="B172" s="2624">
        <f>C163+G169</f>
        <v>14695640</v>
      </c>
      <c r="C172" s="2624"/>
      <c r="D172" s="1711"/>
      <c r="E172" s="2545"/>
      <c r="F172" s="2618">
        <f>B172/'Part V-Revenues &amp; Expenses'!$P$188</f>
        <v>152.8662075852456</v>
      </c>
      <c r="G172" s="2622" t="s">
        <v>5126</v>
      </c>
      <c r="H172" s="1711"/>
      <c r="I172" s="1711"/>
      <c r="J172" s="2620">
        <f>B172/'Part V-Revenues &amp; Expenses'!$P$190</f>
        <v>151.3672414148281</v>
      </c>
      <c r="K172" s="2620"/>
      <c r="L172" s="1711"/>
      <c r="M172" s="2622" t="s">
        <v>4370</v>
      </c>
      <c r="N172" s="2622"/>
      <c r="O172" s="1711"/>
      <c r="P172" s="1711"/>
      <c r="Q172" s="1711"/>
      <c r="R172" s="1711"/>
      <c r="S172" s="1711"/>
      <c r="T172" s="1711"/>
      <c r="U172" s="1711"/>
      <c r="V172" s="2598"/>
      <c r="W172" s="2599"/>
      <c r="X172" s="2599"/>
      <c r="Y172" s="1711"/>
      <c r="Z172" s="1711"/>
      <c r="AA172" s="1711"/>
      <c r="AB172" s="1711"/>
      <c r="AC172" s="1711"/>
      <c r="AD172" s="1711"/>
      <c r="AE172" s="1711"/>
      <c r="AF172" s="1711"/>
      <c r="AG172" s="1711"/>
      <c r="AH172" s="1711"/>
      <c r="AI172" s="1711"/>
    </row>
    <row r="173" spans="1:35" ht="13">
      <c r="A173" s="2546"/>
      <c r="B173" s="2546"/>
      <c r="C173" s="2546"/>
      <c r="D173" s="2546"/>
      <c r="E173" s="2546"/>
      <c r="F173" s="2546"/>
      <c r="G173" s="2546"/>
      <c r="H173" s="2546"/>
      <c r="I173" s="2546"/>
      <c r="J173" s="2546"/>
      <c r="K173" s="2546"/>
      <c r="L173" s="2546"/>
      <c r="M173" s="2546"/>
      <c r="N173" s="2546"/>
      <c r="O173" s="2546"/>
      <c r="P173" s="2546"/>
      <c r="Q173" s="2546"/>
      <c r="R173" s="2546"/>
      <c r="S173" s="2546"/>
      <c r="T173" s="2546"/>
      <c r="U173" s="1711"/>
      <c r="V173" s="2598"/>
      <c r="W173" s="2599"/>
      <c r="X173" s="2599"/>
      <c r="Y173" s="1711"/>
      <c r="Z173" s="1711"/>
      <c r="AA173" s="1711"/>
      <c r="AB173" s="1711"/>
      <c r="AC173" s="1711"/>
      <c r="AD173" s="1711"/>
      <c r="AE173" s="1711"/>
      <c r="AF173" s="1711"/>
      <c r="AG173" s="1711"/>
      <c r="AH173" s="1711"/>
      <c r="AI173" s="1711"/>
    </row>
    <row r="174" spans="1:35" ht="13">
      <c r="A174" s="1711"/>
      <c r="B174" s="2545" t="s">
        <v>674</v>
      </c>
      <c r="C174" s="1711"/>
      <c r="D174" s="1711"/>
      <c r="E174" s="1711"/>
      <c r="F174" s="1711"/>
      <c r="G174" s="1711"/>
      <c r="H174" s="1711"/>
      <c r="I174" s="1711"/>
      <c r="J174" s="2563"/>
      <c r="K174" s="2574"/>
      <c r="L174" s="1711"/>
      <c r="M174" s="2563"/>
      <c r="N174" s="2574"/>
      <c r="O174" s="2603" t="str">
        <f>B174</f>
        <v>CONSTRUCTION PERIOD FINANCING</v>
      </c>
      <c r="P174" s="2563"/>
      <c r="Q174" s="2574"/>
      <c r="R174" s="1711"/>
      <c r="S174" s="2563"/>
      <c r="T174" s="2574"/>
      <c r="U174" s="1711"/>
      <c r="V174" s="2598"/>
      <c r="W174" s="1711" t="str">
        <f>B174</f>
        <v>CONSTRUCTION PERIOD FINANCING</v>
      </c>
      <c r="X174" s="1711"/>
      <c r="Y174" s="1711"/>
      <c r="Z174" s="1711"/>
      <c r="AA174" s="1711"/>
      <c r="AB174" s="1711"/>
      <c r="AC174" s="1711"/>
      <c r="AD174" s="1711"/>
      <c r="AE174" s="1711"/>
      <c r="AF174" s="1711"/>
      <c r="AG174" s="1711"/>
      <c r="AH174" s="1711"/>
      <c r="AI174" s="1711"/>
    </row>
    <row r="175" spans="1:35" ht="13">
      <c r="A175" s="1711"/>
      <c r="B175" s="1711" t="s">
        <v>3143</v>
      </c>
      <c r="C175" s="1711"/>
      <c r="D175" s="1711"/>
      <c r="E175" s="1711"/>
      <c r="F175" s="1711"/>
      <c r="G175" s="2574">
        <f>'Part III-A-Uses of Funds'!G61</f>
        <v>0</v>
      </c>
      <c r="H175" s="2574"/>
      <c r="I175" s="1711"/>
      <c r="J175" s="2574">
        <f>'Part III-A-Uses of Funds'!J61</f>
        <v>0</v>
      </c>
      <c r="K175" s="2574"/>
      <c r="L175" s="2563"/>
      <c r="M175" s="2574">
        <f>'Part III-A-Uses of Funds'!M61</f>
        <v>0</v>
      </c>
      <c r="N175" s="2574"/>
      <c r="O175" s="1711"/>
      <c r="P175" s="2574">
        <f>'Part III-A-Uses of Funds'!P61</f>
        <v>0</v>
      </c>
      <c r="Q175" s="2574"/>
      <c r="R175" s="1711"/>
      <c r="S175" s="2574">
        <f>'Part III-A-Uses of Funds'!S61</f>
        <v>0</v>
      </c>
      <c r="T175" s="2574"/>
      <c r="U175" s="1711"/>
      <c r="V175" s="2598"/>
      <c r="W175" s="2599"/>
      <c r="X175" s="2599"/>
      <c r="Y175" s="1711"/>
      <c r="Z175" s="1711"/>
      <c r="AA175" s="1711"/>
      <c r="AB175" s="1711"/>
      <c r="AC175" s="1711"/>
      <c r="AD175" s="1711"/>
      <c r="AE175" s="1711"/>
      <c r="AF175" s="1711"/>
      <c r="AG175" s="1711"/>
      <c r="AH175" s="1711"/>
      <c r="AI175" s="1711"/>
    </row>
    <row r="176" spans="1:35" ht="13">
      <c r="A176" s="1711"/>
      <c r="B176" s="1711" t="s">
        <v>3144</v>
      </c>
      <c r="C176" s="1711"/>
      <c r="D176" s="1711"/>
      <c r="E176" s="1711"/>
      <c r="F176" s="1711"/>
      <c r="G176" s="2574">
        <f>'Part III-A-Uses of Funds'!G62</f>
        <v>0</v>
      </c>
      <c r="H176" s="2574"/>
      <c r="I176" s="1711"/>
      <c r="J176" s="2574">
        <f>'Part III-A-Uses of Funds'!J62</f>
        <v>0</v>
      </c>
      <c r="K176" s="2574"/>
      <c r="L176" s="2563"/>
      <c r="M176" s="2574">
        <f>'Part III-A-Uses of Funds'!M62</f>
        <v>0</v>
      </c>
      <c r="N176" s="2574"/>
      <c r="O176" s="1711"/>
      <c r="P176" s="2574">
        <f>'Part III-A-Uses of Funds'!P62</f>
        <v>0</v>
      </c>
      <c r="Q176" s="2574"/>
      <c r="R176" s="1711"/>
      <c r="S176" s="2574">
        <f>'Part III-A-Uses of Funds'!S62</f>
        <v>0</v>
      </c>
      <c r="T176" s="2574"/>
      <c r="U176" s="1711"/>
      <c r="V176" s="2598"/>
      <c r="W176" s="2599"/>
      <c r="X176" s="2599"/>
      <c r="Y176" s="1711"/>
      <c r="Z176" s="1711"/>
      <c r="AA176" s="1711"/>
      <c r="AB176" s="1711"/>
      <c r="AC176" s="1711"/>
      <c r="AD176" s="1711"/>
      <c r="AE176" s="1711"/>
      <c r="AF176" s="1711"/>
      <c r="AG176" s="1711"/>
      <c r="AH176" s="1711"/>
      <c r="AI176" s="1711"/>
    </row>
    <row r="177" spans="1:35" ht="13">
      <c r="A177" s="1711"/>
      <c r="B177" s="1711" t="s">
        <v>2160</v>
      </c>
      <c r="C177" s="1711"/>
      <c r="D177" s="1711"/>
      <c r="E177" s="1711"/>
      <c r="F177" s="1711"/>
      <c r="G177" s="2574">
        <f>'Part III-A-Uses of Funds'!G63</f>
        <v>167813</v>
      </c>
      <c r="H177" s="2574"/>
      <c r="I177" s="1711"/>
      <c r="J177" s="2574">
        <f>'Part III-A-Uses of Funds'!J63</f>
        <v>0</v>
      </c>
      <c r="K177" s="2574"/>
      <c r="L177" s="2563"/>
      <c r="M177" s="2574">
        <f>'Part III-A-Uses of Funds'!M63</f>
        <v>0</v>
      </c>
      <c r="N177" s="2574"/>
      <c r="O177" s="1711"/>
      <c r="P177" s="2574">
        <f>'Part III-A-Uses of Funds'!P63</f>
        <v>167813</v>
      </c>
      <c r="Q177" s="2574"/>
      <c r="R177" s="1711"/>
      <c r="S177" s="2574">
        <f>'Part III-A-Uses of Funds'!S63</f>
        <v>0</v>
      </c>
      <c r="T177" s="2574"/>
      <c r="U177" s="1711"/>
      <c r="V177" s="2598"/>
      <c r="W177" s="2599"/>
      <c r="X177" s="2599"/>
      <c r="Y177" s="1711"/>
      <c r="Z177" s="1711"/>
      <c r="AA177" s="1711"/>
      <c r="AB177" s="1711"/>
      <c r="AC177" s="1711"/>
      <c r="AD177" s="1711"/>
      <c r="AE177" s="1711"/>
      <c r="AF177" s="1711"/>
      <c r="AG177" s="1711"/>
      <c r="AH177" s="1711"/>
      <c r="AI177" s="1711"/>
    </row>
    <row r="178" spans="1:35" ht="13">
      <c r="A178" s="1711"/>
      <c r="B178" s="1711" t="s">
        <v>2161</v>
      </c>
      <c r="C178" s="1711"/>
      <c r="D178" s="1711"/>
      <c r="E178" s="1711"/>
      <c r="F178" s="1711"/>
      <c r="G178" s="2574">
        <f>'Part III-A-Uses of Funds'!G64</f>
        <v>2145393</v>
      </c>
      <c r="H178" s="2574"/>
      <c r="I178" s="1711"/>
      <c r="J178" s="2574">
        <f>'Part III-A-Uses of Funds'!J64</f>
        <v>0</v>
      </c>
      <c r="K178" s="2574"/>
      <c r="L178" s="2563"/>
      <c r="M178" s="2574">
        <f>'Part III-A-Uses of Funds'!M64</f>
        <v>0</v>
      </c>
      <c r="N178" s="2574"/>
      <c r="O178" s="1711"/>
      <c r="P178" s="2574">
        <f>'Part III-A-Uses of Funds'!P64</f>
        <v>1072696</v>
      </c>
      <c r="Q178" s="2574"/>
      <c r="R178" s="1711"/>
      <c r="S178" s="2574">
        <f>'Part III-A-Uses of Funds'!S64</f>
        <v>1072697</v>
      </c>
      <c r="T178" s="2574"/>
      <c r="U178" s="1711"/>
      <c r="V178" s="2598"/>
      <c r="W178" s="2599"/>
      <c r="X178" s="2599"/>
      <c r="Y178" s="1711"/>
      <c r="Z178" s="1711"/>
      <c r="AA178" s="1711"/>
      <c r="AB178" s="1711"/>
      <c r="AC178" s="1711"/>
      <c r="AD178" s="1711"/>
      <c r="AE178" s="1711"/>
      <c r="AF178" s="1711"/>
      <c r="AG178" s="1711"/>
      <c r="AH178" s="1711"/>
      <c r="AI178" s="1711"/>
    </row>
    <row r="179" spans="1:35" ht="13">
      <c r="A179" s="1711"/>
      <c r="B179" s="1711" t="s">
        <v>2162</v>
      </c>
      <c r="C179" s="1711"/>
      <c r="D179" s="1711"/>
      <c r="E179" s="1711"/>
      <c r="F179" s="1711"/>
      <c r="G179" s="2574">
        <f>'Part III-A-Uses of Funds'!G65</f>
        <v>45000</v>
      </c>
      <c r="H179" s="2574"/>
      <c r="I179" s="1711"/>
      <c r="J179" s="2574">
        <f>'Part III-A-Uses of Funds'!J65</f>
        <v>0</v>
      </c>
      <c r="K179" s="2574"/>
      <c r="L179" s="2563"/>
      <c r="M179" s="2574">
        <f>'Part III-A-Uses of Funds'!M65</f>
        <v>0</v>
      </c>
      <c r="N179" s="2574"/>
      <c r="O179" s="1711"/>
      <c r="P179" s="2574">
        <f>'Part III-A-Uses of Funds'!P65</f>
        <v>45000</v>
      </c>
      <c r="Q179" s="2574"/>
      <c r="R179" s="1711"/>
      <c r="S179" s="2574">
        <f>'Part III-A-Uses of Funds'!S65</f>
        <v>0</v>
      </c>
      <c r="T179" s="2574"/>
      <c r="U179" s="1711"/>
      <c r="V179" s="2598"/>
      <c r="W179" s="2599"/>
      <c r="X179" s="2599"/>
      <c r="Y179" s="1711"/>
      <c r="Z179" s="1711"/>
      <c r="AA179" s="1711"/>
      <c r="AB179" s="1711"/>
      <c r="AC179" s="1711"/>
      <c r="AD179" s="1711"/>
      <c r="AE179" s="1711"/>
      <c r="AF179" s="1711"/>
      <c r="AG179" s="1711"/>
      <c r="AH179" s="1711"/>
      <c r="AI179" s="1711"/>
    </row>
    <row r="180" spans="1:35" ht="13">
      <c r="A180" s="1711"/>
      <c r="B180" s="1711" t="s">
        <v>2443</v>
      </c>
      <c r="C180" s="1711"/>
      <c r="D180" s="1711"/>
      <c r="E180" s="1711"/>
      <c r="F180" s="1711"/>
      <c r="G180" s="2574">
        <f>'Part III-A-Uses of Funds'!G66</f>
        <v>33250</v>
      </c>
      <c r="H180" s="2574"/>
      <c r="I180" s="1711"/>
      <c r="J180" s="2574">
        <f>'Part III-A-Uses of Funds'!J66</f>
        <v>0</v>
      </c>
      <c r="K180" s="2574"/>
      <c r="L180" s="2563"/>
      <c r="M180" s="2574">
        <f>'Part III-A-Uses of Funds'!M66</f>
        <v>0</v>
      </c>
      <c r="N180" s="2574"/>
      <c r="O180" s="1711"/>
      <c r="P180" s="2574">
        <f>'Part III-A-Uses of Funds'!P66</f>
        <v>33250</v>
      </c>
      <c r="Q180" s="2574"/>
      <c r="R180" s="1711"/>
      <c r="S180" s="2574">
        <f>'Part III-A-Uses of Funds'!S66</f>
        <v>0</v>
      </c>
      <c r="T180" s="2574"/>
      <c r="U180" s="1711"/>
      <c r="V180" s="2598"/>
      <c r="W180" s="2599"/>
      <c r="X180" s="2599"/>
      <c r="Y180" s="1711"/>
      <c r="Z180" s="1711"/>
      <c r="AA180" s="1711"/>
      <c r="AB180" s="1711"/>
      <c r="AC180" s="1711"/>
      <c r="AD180" s="1711"/>
      <c r="AE180" s="1711"/>
      <c r="AF180" s="1711"/>
      <c r="AG180" s="1711"/>
      <c r="AH180" s="1711"/>
      <c r="AI180" s="1711"/>
    </row>
    <row r="181" spans="1:35" ht="13">
      <c r="A181" s="1711"/>
      <c r="B181" s="1711" t="s">
        <v>675</v>
      </c>
      <c r="C181" s="1711"/>
      <c r="D181" s="1711"/>
      <c r="E181" s="1711"/>
      <c r="F181" s="1711"/>
      <c r="G181" s="2574">
        <f>'Part III-A-Uses of Funds'!G67</f>
        <v>0</v>
      </c>
      <c r="H181" s="2574"/>
      <c r="I181" s="1711"/>
      <c r="J181" s="2574">
        <f>'Part III-A-Uses of Funds'!J67</f>
        <v>0</v>
      </c>
      <c r="K181" s="2574"/>
      <c r="L181" s="2563"/>
      <c r="M181" s="2574">
        <f>'Part III-A-Uses of Funds'!M67</f>
        <v>0</v>
      </c>
      <c r="N181" s="2574"/>
      <c r="O181" s="1711"/>
      <c r="P181" s="2574">
        <f>'Part III-A-Uses of Funds'!P67</f>
        <v>0</v>
      </c>
      <c r="Q181" s="2574"/>
      <c r="R181" s="1711"/>
      <c r="S181" s="2574">
        <f>'Part III-A-Uses of Funds'!S67</f>
        <v>0</v>
      </c>
      <c r="T181" s="2574"/>
      <c r="U181" s="1711"/>
      <c r="V181" s="2598"/>
      <c r="W181" s="2599"/>
      <c r="X181" s="2599"/>
      <c r="Y181" s="1711"/>
      <c r="Z181" s="1711"/>
      <c r="AA181" s="1711"/>
      <c r="AB181" s="1711"/>
      <c r="AC181" s="1711"/>
      <c r="AD181" s="1711"/>
      <c r="AE181" s="1711"/>
      <c r="AF181" s="1711"/>
      <c r="AG181" s="1711"/>
      <c r="AH181" s="1711"/>
      <c r="AI181" s="1711"/>
    </row>
    <row r="182" spans="1:35" ht="13">
      <c r="A182" s="1711"/>
      <c r="B182" s="1711" t="s">
        <v>2163</v>
      </c>
      <c r="C182" s="1711"/>
      <c r="D182" s="1711"/>
      <c r="E182" s="1711"/>
      <c r="F182" s="1711"/>
      <c r="G182" s="2574">
        <f>'Part III-A-Uses of Funds'!G68</f>
        <v>60000</v>
      </c>
      <c r="H182" s="2574"/>
      <c r="I182" s="1711"/>
      <c r="J182" s="2574">
        <f>'Part III-A-Uses of Funds'!J68</f>
        <v>0</v>
      </c>
      <c r="K182" s="2574"/>
      <c r="L182" s="2563"/>
      <c r="M182" s="2574">
        <f>'Part III-A-Uses of Funds'!M68</f>
        <v>0</v>
      </c>
      <c r="N182" s="2574"/>
      <c r="O182" s="1711"/>
      <c r="P182" s="2574">
        <f>'Part III-A-Uses of Funds'!P68</f>
        <v>60000</v>
      </c>
      <c r="Q182" s="2574"/>
      <c r="R182" s="1711"/>
      <c r="S182" s="2574">
        <f>'Part III-A-Uses of Funds'!S68</f>
        <v>0</v>
      </c>
      <c r="T182" s="2574"/>
      <c r="U182" s="1711"/>
      <c r="V182" s="2598"/>
      <c r="W182" s="2599"/>
      <c r="X182" s="2599"/>
      <c r="Y182" s="1711"/>
      <c r="Z182" s="1711"/>
      <c r="AA182" s="1711"/>
      <c r="AB182" s="1711"/>
      <c r="AC182" s="1711"/>
      <c r="AD182" s="1711"/>
      <c r="AE182" s="1711"/>
      <c r="AF182" s="1711"/>
      <c r="AG182" s="1711"/>
      <c r="AH182" s="1711"/>
      <c r="AI182" s="1711"/>
    </row>
    <row r="183" spans="1:35" ht="13">
      <c r="A183" s="1711"/>
      <c r="B183" s="1711" t="s">
        <v>1198</v>
      </c>
      <c r="C183" s="1711"/>
      <c r="D183" s="1711"/>
      <c r="E183" s="1711"/>
      <c r="F183" s="1711"/>
      <c r="G183" s="2574">
        <f>'Part III-A-Uses of Funds'!G69</f>
        <v>100000</v>
      </c>
      <c r="H183" s="2574"/>
      <c r="I183" s="1711"/>
      <c r="J183" s="2574">
        <f>'Part III-A-Uses of Funds'!J69</f>
        <v>0</v>
      </c>
      <c r="K183" s="2574"/>
      <c r="L183" s="2563"/>
      <c r="M183" s="2574">
        <f>'Part III-A-Uses of Funds'!M69</f>
        <v>0</v>
      </c>
      <c r="N183" s="2574"/>
      <c r="O183" s="1711"/>
      <c r="P183" s="2574">
        <f>'Part III-A-Uses of Funds'!P69</f>
        <v>90000</v>
      </c>
      <c r="Q183" s="2574"/>
      <c r="R183" s="1711"/>
      <c r="S183" s="2574">
        <f>'Part III-A-Uses of Funds'!S69</f>
        <v>10000</v>
      </c>
      <c r="T183" s="2574"/>
      <c r="U183" s="1711"/>
      <c r="V183" s="2598"/>
      <c r="W183" s="2599"/>
      <c r="X183" s="2599"/>
      <c r="Y183" s="1711"/>
      <c r="Z183" s="1711"/>
      <c r="AA183" s="1711"/>
      <c r="AB183" s="1711"/>
      <c r="AC183" s="1711"/>
      <c r="AD183" s="1711"/>
      <c r="AE183" s="1711"/>
      <c r="AF183" s="1711"/>
      <c r="AG183" s="1711"/>
      <c r="AH183" s="1711"/>
      <c r="AI183" s="1711"/>
    </row>
    <row r="184" spans="1:35" ht="13">
      <c r="A184" s="1711"/>
      <c r="B184" s="2627" t="s">
        <v>1084</v>
      </c>
      <c r="C184" s="1711"/>
      <c r="D184" s="2628"/>
      <c r="E184" s="2628"/>
      <c r="F184" s="2629"/>
      <c r="G184" s="2574">
        <f>'Part III-A-Uses of Funds'!G70</f>
        <v>72142</v>
      </c>
      <c r="H184" s="2574"/>
      <c r="I184" s="1711"/>
      <c r="J184" s="2574">
        <f>'Part III-A-Uses of Funds'!J70</f>
        <v>0</v>
      </c>
      <c r="K184" s="2574"/>
      <c r="L184" s="2563"/>
      <c r="M184" s="2574">
        <f>'Part III-A-Uses of Funds'!M70</f>
        <v>0</v>
      </c>
      <c r="N184" s="2574"/>
      <c r="O184" s="1711"/>
      <c r="P184" s="2574">
        <f>'Part III-A-Uses of Funds'!P70</f>
        <v>72142</v>
      </c>
      <c r="Q184" s="2574"/>
      <c r="R184" s="1711"/>
      <c r="S184" s="2574">
        <f>'Part III-A-Uses of Funds'!S70</f>
        <v>0</v>
      </c>
      <c r="T184" s="2574"/>
      <c r="U184" s="1711"/>
      <c r="V184" s="2598"/>
      <c r="W184" s="2599"/>
      <c r="X184" s="2599"/>
      <c r="Y184" s="1711"/>
      <c r="Z184" s="1711"/>
      <c r="AA184" s="1711"/>
      <c r="AB184" s="1711"/>
      <c r="AC184" s="1711"/>
      <c r="AD184" s="1711"/>
      <c r="AE184" s="1711"/>
      <c r="AF184" s="1711"/>
      <c r="AG184" s="1711"/>
      <c r="AH184" s="1711"/>
      <c r="AI184" s="1711"/>
    </row>
    <row r="185" spans="1:35" ht="15.75" customHeight="1">
      <c r="A185" s="2600" t="str">
        <f>IF(AND(G185&gt;0,OR(C185="",C185="&lt;Enter detailed description here; use Comments section if needed&gt;")),"X","")</f>
        <v/>
      </c>
      <c r="B185" s="2550" t="s">
        <v>4170</v>
      </c>
      <c r="C185" s="2410" t="str">
        <f>'Part III-A-Uses of Funds'!C71</f>
        <v>Bond Cost of Issuance</v>
      </c>
      <c r="D185" s="2410"/>
      <c r="E185" s="2410"/>
      <c r="F185" s="2410"/>
      <c r="G185" s="2574">
        <f>'Part III-A-Uses of Funds'!G71</f>
        <v>201190</v>
      </c>
      <c r="H185" s="2574"/>
      <c r="I185" s="1711"/>
      <c r="J185" s="2574">
        <f>'Part III-A-Uses of Funds'!J71</f>
        <v>0</v>
      </c>
      <c r="K185" s="2574"/>
      <c r="L185" s="2563"/>
      <c r="M185" s="2574">
        <f>'Part III-A-Uses of Funds'!M71</f>
        <v>0</v>
      </c>
      <c r="N185" s="2574"/>
      <c r="O185" s="1711"/>
      <c r="P185" s="2574">
        <f>'Part III-A-Uses of Funds'!P71</f>
        <v>134127</v>
      </c>
      <c r="Q185" s="2574"/>
      <c r="R185" s="1711"/>
      <c r="S185" s="2574">
        <f>'Part III-A-Uses of Funds'!S71</f>
        <v>67063</v>
      </c>
      <c r="T185" s="2574"/>
      <c r="U185" s="2554" t="str">
        <f>IF(AND(G185&gt;0,OR(C185="",C185="&lt;Enter detailed description here; use Comments section if needed&gt;")),"NO DESCRIPTION PROVIDED - please enter detailed description in Other box at left; use Comments section below if needed.","")</f>
        <v/>
      </c>
      <c r="V185" s="2598"/>
      <c r="W185" s="2599"/>
      <c r="X185" s="2599"/>
      <c r="Y185" s="1711"/>
      <c r="Z185" s="1711"/>
      <c r="AA185" s="1711"/>
      <c r="AB185" s="1711"/>
      <c r="AC185" s="1711"/>
      <c r="AD185" s="1711"/>
      <c r="AE185" s="1711"/>
      <c r="AF185" s="1711"/>
      <c r="AG185" s="1711"/>
      <c r="AH185" s="1711"/>
      <c r="AI185" s="1711"/>
    </row>
    <row r="186" spans="1:35" ht="16.5" customHeight="1">
      <c r="A186" s="2600" t="str">
        <f>IF(AND(G186&gt;0,OR(C186="",C186="&lt;Enter detailed description here; use Comments section if needed&gt;")),"X","")</f>
        <v/>
      </c>
      <c r="B186" s="2550" t="s">
        <v>4171</v>
      </c>
      <c r="C186" s="2410" t="str">
        <f>'Part III-A-Uses of Funds'!C72</f>
        <v>&lt;&lt; Enter description here; provide detail &amp; justification in tab Part III-b &gt;&gt;</v>
      </c>
      <c r="D186" s="2410"/>
      <c r="E186" s="2410"/>
      <c r="F186" s="2410"/>
      <c r="G186" s="2574">
        <f>'Part III-A-Uses of Funds'!G72</f>
        <v>0</v>
      </c>
      <c r="H186" s="2574"/>
      <c r="I186" s="1711"/>
      <c r="J186" s="2574">
        <f>'Part III-A-Uses of Funds'!J72</f>
        <v>0</v>
      </c>
      <c r="K186" s="2574"/>
      <c r="L186" s="2563"/>
      <c r="M186" s="2574">
        <f>'Part III-A-Uses of Funds'!M72</f>
        <v>0</v>
      </c>
      <c r="N186" s="2574"/>
      <c r="O186" s="1711"/>
      <c r="P186" s="2574">
        <f>'Part III-A-Uses of Funds'!P72</f>
        <v>0</v>
      </c>
      <c r="Q186" s="2574"/>
      <c r="R186" s="1711"/>
      <c r="S186" s="2574">
        <f>'Part III-A-Uses of Funds'!S72</f>
        <v>0</v>
      </c>
      <c r="T186" s="2574"/>
      <c r="U186" s="2554" t="str">
        <f>IF(AND(G186&gt;0,OR(C186="",C186="&lt;Enter detailed description here; use Comments section if needed&gt;")),"NO DESCRIPTION PROVIDED - please enter detailed description in Other box at left; use Comments section below if needed.","")</f>
        <v/>
      </c>
      <c r="V186" s="2598"/>
      <c r="W186" s="2599"/>
      <c r="X186" s="2599"/>
      <c r="Y186" s="1711"/>
      <c r="Z186" s="1711"/>
      <c r="AA186" s="1711"/>
      <c r="AB186" s="1711"/>
      <c r="AC186" s="1711"/>
      <c r="AD186" s="1711"/>
      <c r="AE186" s="1711"/>
      <c r="AF186" s="1711"/>
      <c r="AG186" s="1711"/>
      <c r="AH186" s="1711"/>
      <c r="AI186" s="1711"/>
    </row>
    <row r="187" spans="1:35" ht="13">
      <c r="A187" s="1711"/>
      <c r="B187" s="1711"/>
      <c r="C187" s="1711"/>
      <c r="D187" s="1711"/>
      <c r="E187" s="1711"/>
      <c r="F187" s="2602" t="s">
        <v>184</v>
      </c>
      <c r="G187" s="2574">
        <f>SUM(G175:G186)</f>
        <v>2824788</v>
      </c>
      <c r="H187" s="2574"/>
      <c r="I187" s="1711"/>
      <c r="J187" s="2574">
        <f>SUM(J175:J186)</f>
        <v>0</v>
      </c>
      <c r="K187" s="2574"/>
      <c r="L187" s="2563"/>
      <c r="M187" s="2574">
        <f>SUM(M175:M186)</f>
        <v>0</v>
      </c>
      <c r="N187" s="2574"/>
      <c r="O187" s="1711"/>
      <c r="P187" s="2574">
        <f>SUM(P175:P186)</f>
        <v>1675028</v>
      </c>
      <c r="Q187" s="2574"/>
      <c r="R187" s="1711"/>
      <c r="S187" s="2574">
        <f>SUM(S175:S186)</f>
        <v>1149760</v>
      </c>
      <c r="T187" s="2574"/>
      <c r="U187" s="1711"/>
      <c r="V187" s="2598">
        <f>SUM(V175:V186)</f>
        <v>0</v>
      </c>
      <c r="W187" s="2599"/>
      <c r="X187" s="2599"/>
      <c r="Y187" s="1711"/>
      <c r="Z187" s="1711"/>
      <c r="AA187" s="1711"/>
      <c r="AB187" s="1711"/>
      <c r="AC187" s="1711"/>
      <c r="AD187" s="1711"/>
      <c r="AE187" s="1711"/>
      <c r="AF187" s="1711"/>
      <c r="AG187" s="1711"/>
      <c r="AH187" s="1711"/>
      <c r="AI187" s="1711"/>
    </row>
    <row r="188" spans="1:35" ht="13">
      <c r="A188" s="1711"/>
      <c r="B188" s="2545" t="s">
        <v>448</v>
      </c>
      <c r="C188" s="1711"/>
      <c r="D188" s="1711"/>
      <c r="E188" s="1711"/>
      <c r="F188" s="1711"/>
      <c r="G188" s="2574"/>
      <c r="H188" s="2574"/>
      <c r="I188" s="1711"/>
      <c r="J188" s="2574"/>
      <c r="K188" s="2574"/>
      <c r="L188" s="1711"/>
      <c r="M188" s="2574"/>
      <c r="N188" s="2574"/>
      <c r="O188" s="2603" t="str">
        <f>B188</f>
        <v>PROFESSIONAL SERVICES</v>
      </c>
      <c r="P188" s="2574"/>
      <c r="Q188" s="2574"/>
      <c r="R188" s="1711"/>
      <c r="S188" s="2574"/>
      <c r="T188" s="2574"/>
      <c r="U188" s="1711"/>
      <c r="V188" s="2598"/>
      <c r="W188" s="1711" t="str">
        <f>B188</f>
        <v>PROFESSIONAL SERVICES</v>
      </c>
      <c r="X188" s="1711"/>
      <c r="Y188" s="1711"/>
      <c r="Z188" s="1711"/>
      <c r="AA188" s="1711"/>
      <c r="AB188" s="1711"/>
      <c r="AC188" s="1711"/>
      <c r="AD188" s="1711"/>
      <c r="AE188" s="1711"/>
      <c r="AF188" s="1711"/>
      <c r="AG188" s="1711"/>
      <c r="AH188" s="1711"/>
      <c r="AI188" s="1711"/>
    </row>
    <row r="189" spans="1:35" ht="13">
      <c r="A189" s="1711"/>
      <c r="B189" s="1711" t="s">
        <v>449</v>
      </c>
      <c r="C189" s="1711"/>
      <c r="D189" s="1711"/>
      <c r="E189" s="1711"/>
      <c r="F189" s="1711"/>
      <c r="G189" s="2574">
        <f>'Part III-A-Uses of Funds'!G75</f>
        <v>670446</v>
      </c>
      <c r="H189" s="2574"/>
      <c r="I189" s="1711"/>
      <c r="J189" s="2574">
        <f>'Part III-A-Uses of Funds'!J75</f>
        <v>0</v>
      </c>
      <c r="K189" s="2574"/>
      <c r="L189" s="2563"/>
      <c r="M189" s="2574">
        <f>'Part III-A-Uses of Funds'!M75</f>
        <v>0</v>
      </c>
      <c r="N189" s="2574"/>
      <c r="O189" s="1711"/>
      <c r="P189" s="2574">
        <f>'Part III-A-Uses of Funds'!P75</f>
        <v>670446</v>
      </c>
      <c r="Q189" s="2574"/>
      <c r="R189" s="1711"/>
      <c r="S189" s="2574">
        <f>'Part III-A-Uses of Funds'!S75</f>
        <v>0</v>
      </c>
      <c r="T189" s="2574"/>
      <c r="U189" s="1711"/>
      <c r="V189" s="2598"/>
      <c r="W189" s="2599"/>
      <c r="X189" s="2599"/>
      <c r="Y189" s="1711"/>
      <c r="Z189" s="1711"/>
      <c r="AA189" s="1711"/>
      <c r="AB189" s="1711"/>
      <c r="AC189" s="1711"/>
      <c r="AD189" s="1711"/>
      <c r="AE189" s="1711"/>
      <c r="AF189" s="1711"/>
      <c r="AG189" s="1711"/>
      <c r="AH189" s="1711"/>
      <c r="AI189" s="1711"/>
    </row>
    <row r="190" spans="1:35" ht="13">
      <c r="A190" s="1711"/>
      <c r="B190" s="1711" t="s">
        <v>450</v>
      </c>
      <c r="C190" s="1711"/>
      <c r="D190" s="1711"/>
      <c r="E190" s="1711"/>
      <c r="F190" s="1711"/>
      <c r="G190" s="2574">
        <f>'Part III-A-Uses of Funds'!G76</f>
        <v>205632</v>
      </c>
      <c r="H190" s="2574"/>
      <c r="I190" s="1711"/>
      <c r="J190" s="2574">
        <f>'Part III-A-Uses of Funds'!J76</f>
        <v>0</v>
      </c>
      <c r="K190" s="2574"/>
      <c r="L190" s="2563"/>
      <c r="M190" s="2574">
        <f>'Part III-A-Uses of Funds'!M76</f>
        <v>0</v>
      </c>
      <c r="N190" s="2574"/>
      <c r="O190" s="1711"/>
      <c r="P190" s="2574">
        <f>'Part III-A-Uses of Funds'!P76</f>
        <v>205632</v>
      </c>
      <c r="Q190" s="2574"/>
      <c r="R190" s="1711"/>
      <c r="S190" s="2574">
        <f>'Part III-A-Uses of Funds'!S76</f>
        <v>0</v>
      </c>
      <c r="T190" s="2574"/>
      <c r="U190" s="1711"/>
      <c r="V190" s="2598"/>
      <c r="W190" s="2599"/>
      <c r="X190" s="2599"/>
      <c r="Y190" s="1711"/>
      <c r="Z190" s="1711"/>
      <c r="AA190" s="1711"/>
      <c r="AB190" s="1711"/>
      <c r="AC190" s="1711"/>
      <c r="AD190" s="1711"/>
      <c r="AE190" s="1711"/>
      <c r="AF190" s="1711"/>
      <c r="AG190" s="1711"/>
      <c r="AH190" s="1711"/>
      <c r="AI190" s="1711"/>
    </row>
    <row r="191" spans="1:35" ht="13">
      <c r="A191" s="1711"/>
      <c r="B191" s="1711" t="s">
        <v>1060</v>
      </c>
      <c r="C191" s="1711"/>
      <c r="D191" s="2555"/>
      <c r="E191" s="2630"/>
      <c r="F191" s="2545"/>
      <c r="G191" s="2574">
        <f>'Part III-A-Uses of Funds'!G77</f>
        <v>30750</v>
      </c>
      <c r="H191" s="2574"/>
      <c r="I191" s="1711"/>
      <c r="J191" s="2574">
        <f>'Part III-A-Uses of Funds'!J77</f>
        <v>0</v>
      </c>
      <c r="K191" s="2574"/>
      <c r="L191" s="2563"/>
      <c r="M191" s="2574">
        <f>'Part III-A-Uses of Funds'!M77</f>
        <v>0</v>
      </c>
      <c r="N191" s="2574"/>
      <c r="O191" s="1711"/>
      <c r="P191" s="2574">
        <f>'Part III-A-Uses of Funds'!P77</f>
        <v>30750</v>
      </c>
      <c r="Q191" s="2574"/>
      <c r="R191" s="1711"/>
      <c r="S191" s="2574">
        <f>'Part III-A-Uses of Funds'!S77</f>
        <v>0</v>
      </c>
      <c r="T191" s="2574"/>
      <c r="U191" s="1711"/>
      <c r="V191" s="2598"/>
      <c r="W191" s="2599"/>
      <c r="X191" s="2599"/>
      <c r="Y191" s="1711"/>
      <c r="Z191" s="1711"/>
      <c r="AA191" s="1711"/>
      <c r="AB191" s="1711"/>
      <c r="AC191" s="1711"/>
      <c r="AD191" s="1711"/>
      <c r="AE191" s="1711"/>
      <c r="AF191" s="1711"/>
      <c r="AG191" s="1711"/>
      <c r="AH191" s="1711"/>
      <c r="AI191" s="1711"/>
    </row>
    <row r="192" spans="1:35" ht="13">
      <c r="A192" s="1711"/>
      <c r="B192" s="1711" t="s">
        <v>1061</v>
      </c>
      <c r="C192" s="1711"/>
      <c r="D192" s="1711"/>
      <c r="E192" s="1711"/>
      <c r="F192" s="1711"/>
      <c r="G192" s="2574">
        <f>'Part III-A-Uses of Funds'!G78</f>
        <v>4500</v>
      </c>
      <c r="H192" s="2574"/>
      <c r="I192" s="1711"/>
      <c r="J192" s="2574">
        <f>'Part III-A-Uses of Funds'!J78</f>
        <v>0</v>
      </c>
      <c r="K192" s="2574"/>
      <c r="L192" s="2563"/>
      <c r="M192" s="2574">
        <f>'Part III-A-Uses of Funds'!M78</f>
        <v>0</v>
      </c>
      <c r="N192" s="2574"/>
      <c r="O192" s="1711"/>
      <c r="P192" s="2574">
        <f>'Part III-A-Uses of Funds'!P78</f>
        <v>4500</v>
      </c>
      <c r="Q192" s="2574"/>
      <c r="R192" s="1711"/>
      <c r="S192" s="2574">
        <f>'Part III-A-Uses of Funds'!S78</f>
        <v>0</v>
      </c>
      <c r="T192" s="2574"/>
      <c r="U192" s="1711"/>
      <c r="V192" s="2598"/>
      <c r="W192" s="2599"/>
      <c r="X192" s="2599"/>
      <c r="Y192" s="1711"/>
      <c r="Z192" s="1711"/>
      <c r="AA192" s="1711"/>
      <c r="AB192" s="1711"/>
      <c r="AC192" s="1711"/>
      <c r="AD192" s="1711"/>
      <c r="AE192" s="1711"/>
      <c r="AF192" s="1711"/>
      <c r="AG192" s="1711"/>
      <c r="AH192" s="1711"/>
      <c r="AI192" s="1711"/>
    </row>
    <row r="193" spans="1:35" ht="13">
      <c r="A193" s="1711"/>
      <c r="B193" s="1711" t="s">
        <v>1062</v>
      </c>
      <c r="C193" s="1711"/>
      <c r="D193" s="1711"/>
      <c r="E193" s="1711"/>
      <c r="F193" s="1711"/>
      <c r="G193" s="2574">
        <f>'Part III-A-Uses of Funds'!G79</f>
        <v>11700</v>
      </c>
      <c r="H193" s="2574"/>
      <c r="I193" s="1711"/>
      <c r="J193" s="2574">
        <f>'Part III-A-Uses of Funds'!J79</f>
        <v>0</v>
      </c>
      <c r="K193" s="2574"/>
      <c r="L193" s="2563"/>
      <c r="M193" s="2574">
        <f>'Part III-A-Uses of Funds'!M79</f>
        <v>0</v>
      </c>
      <c r="N193" s="2574"/>
      <c r="O193" s="1711"/>
      <c r="P193" s="2574">
        <f>'Part III-A-Uses of Funds'!P79</f>
        <v>11700</v>
      </c>
      <c r="Q193" s="2574"/>
      <c r="R193" s="1711"/>
      <c r="S193" s="2574">
        <f>'Part III-A-Uses of Funds'!S79</f>
        <v>0</v>
      </c>
      <c r="T193" s="2574"/>
      <c r="U193" s="1711"/>
      <c r="V193" s="2598"/>
      <c r="W193" s="2599"/>
      <c r="X193" s="2599"/>
      <c r="Y193" s="1711"/>
      <c r="Z193" s="1711"/>
      <c r="AA193" s="1711"/>
      <c r="AB193" s="1711"/>
      <c r="AC193" s="1711"/>
      <c r="AD193" s="1711"/>
      <c r="AE193" s="1711"/>
      <c r="AF193" s="1711"/>
      <c r="AG193" s="1711"/>
      <c r="AH193" s="1711"/>
      <c r="AI193" s="1711"/>
    </row>
    <row r="194" spans="1:35" ht="13">
      <c r="A194" s="1711"/>
      <c r="B194" s="1711" t="s">
        <v>1063</v>
      </c>
      <c r="C194" s="1711"/>
      <c r="D194" s="1711"/>
      <c r="E194" s="1711"/>
      <c r="F194" s="1711"/>
      <c r="G194" s="2574">
        <f>'Part III-A-Uses of Funds'!G80</f>
        <v>107538</v>
      </c>
      <c r="H194" s="2574"/>
      <c r="I194" s="1711"/>
      <c r="J194" s="2574">
        <f>'Part III-A-Uses of Funds'!J80</f>
        <v>0</v>
      </c>
      <c r="K194" s="2574"/>
      <c r="L194" s="2563"/>
      <c r="M194" s="2574">
        <f>'Part III-A-Uses of Funds'!M80</f>
        <v>0</v>
      </c>
      <c r="N194" s="2574"/>
      <c r="O194" s="1711"/>
      <c r="P194" s="2574">
        <f>'Part III-A-Uses of Funds'!P80</f>
        <v>107538</v>
      </c>
      <c r="Q194" s="2574"/>
      <c r="R194" s="1711"/>
      <c r="S194" s="2574">
        <f>'Part III-A-Uses of Funds'!S80</f>
        <v>0</v>
      </c>
      <c r="T194" s="2574"/>
      <c r="U194" s="1711"/>
      <c r="V194" s="2598"/>
      <c r="W194" s="2599"/>
      <c r="X194" s="2599"/>
      <c r="Y194" s="1711"/>
      <c r="Z194" s="1711"/>
      <c r="AA194" s="1711"/>
      <c r="AB194" s="1711"/>
      <c r="AC194" s="1711"/>
      <c r="AD194" s="1711"/>
      <c r="AE194" s="1711"/>
      <c r="AF194" s="1711"/>
      <c r="AG194" s="1711"/>
      <c r="AH194" s="1711"/>
      <c r="AI194" s="1711"/>
    </row>
    <row r="195" spans="1:35" ht="13">
      <c r="A195" s="1711"/>
      <c r="B195" s="1711" t="s">
        <v>451</v>
      </c>
      <c r="C195" s="1711"/>
      <c r="D195" s="1711"/>
      <c r="E195" s="1711"/>
      <c r="F195" s="1711"/>
      <c r="G195" s="2574">
        <f>'Part III-A-Uses of Funds'!G81</f>
        <v>0</v>
      </c>
      <c r="H195" s="2574"/>
      <c r="I195" s="1711"/>
      <c r="J195" s="2574">
        <f>'Part III-A-Uses of Funds'!J81</f>
        <v>0</v>
      </c>
      <c r="K195" s="2574"/>
      <c r="L195" s="2563"/>
      <c r="M195" s="2574">
        <f>'Part III-A-Uses of Funds'!M81</f>
        <v>0</v>
      </c>
      <c r="N195" s="2574"/>
      <c r="O195" s="1711"/>
      <c r="P195" s="2574">
        <f>'Part III-A-Uses of Funds'!P81</f>
        <v>0</v>
      </c>
      <c r="Q195" s="2574"/>
      <c r="R195" s="1711"/>
      <c r="S195" s="2574">
        <f>'Part III-A-Uses of Funds'!S81</f>
        <v>0</v>
      </c>
      <c r="T195" s="2574"/>
      <c r="U195" s="1711"/>
      <c r="V195" s="2598"/>
      <c r="W195" s="2599"/>
      <c r="X195" s="2599"/>
      <c r="Y195" s="1711"/>
      <c r="Z195" s="1711"/>
      <c r="AA195" s="1711"/>
      <c r="AB195" s="1711"/>
      <c r="AC195" s="1711"/>
      <c r="AD195" s="1711"/>
      <c r="AE195" s="1711"/>
      <c r="AF195" s="1711"/>
      <c r="AG195" s="1711"/>
      <c r="AH195" s="1711"/>
      <c r="AI195" s="1711"/>
    </row>
    <row r="196" spans="1:35" ht="13">
      <c r="A196" s="1711"/>
      <c r="B196" s="1711" t="s">
        <v>452</v>
      </c>
      <c r="C196" s="1711"/>
      <c r="D196" s="1711"/>
      <c r="E196" s="1711"/>
      <c r="F196" s="1711"/>
      <c r="G196" s="2574">
        <f>'Part III-A-Uses of Funds'!G82</f>
        <v>195000</v>
      </c>
      <c r="H196" s="2574"/>
      <c r="I196" s="1711"/>
      <c r="J196" s="2574">
        <f>'Part III-A-Uses of Funds'!J82</f>
        <v>0</v>
      </c>
      <c r="K196" s="2574"/>
      <c r="L196" s="2563"/>
      <c r="M196" s="2574">
        <f>'Part III-A-Uses of Funds'!M82</f>
        <v>0</v>
      </c>
      <c r="N196" s="2574"/>
      <c r="O196" s="1711"/>
      <c r="P196" s="2574">
        <f>'Part III-A-Uses of Funds'!P82</f>
        <v>117000</v>
      </c>
      <c r="Q196" s="2574"/>
      <c r="R196" s="1711"/>
      <c r="S196" s="2574">
        <f>'Part III-A-Uses of Funds'!S82</f>
        <v>78000</v>
      </c>
      <c r="T196" s="2574"/>
      <c r="U196" s="1711"/>
      <c r="V196" s="2598"/>
      <c r="W196" s="2599"/>
      <c r="X196" s="2599"/>
      <c r="Y196" s="1711"/>
      <c r="Z196" s="1711"/>
      <c r="AA196" s="1711"/>
      <c r="AB196" s="1711"/>
      <c r="AC196" s="1711"/>
      <c r="AD196" s="1711"/>
      <c r="AE196" s="1711"/>
      <c r="AF196" s="1711"/>
      <c r="AG196" s="1711"/>
      <c r="AH196" s="1711"/>
      <c r="AI196" s="1711"/>
    </row>
    <row r="197" spans="1:35" ht="13">
      <c r="A197" s="1711"/>
      <c r="B197" s="1711" t="s">
        <v>1894</v>
      </c>
      <c r="C197" s="1711"/>
      <c r="D197" s="1711"/>
      <c r="E197" s="1711"/>
      <c r="F197" s="1711"/>
      <c r="G197" s="2574">
        <f>'Part III-A-Uses of Funds'!G83</f>
        <v>22100</v>
      </c>
      <c r="H197" s="2574"/>
      <c r="I197" s="1711"/>
      <c r="J197" s="2574">
        <f>'Part III-A-Uses of Funds'!J83</f>
        <v>0</v>
      </c>
      <c r="K197" s="2574"/>
      <c r="L197" s="2563"/>
      <c r="M197" s="2574">
        <f>'Part III-A-Uses of Funds'!M83</f>
        <v>0</v>
      </c>
      <c r="N197" s="2574"/>
      <c r="O197" s="1711"/>
      <c r="P197" s="2574">
        <f>'Part III-A-Uses of Funds'!P83</f>
        <v>0</v>
      </c>
      <c r="Q197" s="2574"/>
      <c r="R197" s="1711"/>
      <c r="S197" s="2574">
        <f>'Part III-A-Uses of Funds'!S83</f>
        <v>22100</v>
      </c>
      <c r="T197" s="2574"/>
      <c r="U197" s="1711"/>
      <c r="V197" s="2598"/>
      <c r="W197" s="2599"/>
      <c r="X197" s="2599"/>
      <c r="Y197" s="1711"/>
      <c r="Z197" s="1711"/>
      <c r="AA197" s="1711"/>
      <c r="AB197" s="1711"/>
      <c r="AC197" s="1711"/>
      <c r="AD197" s="1711"/>
      <c r="AE197" s="1711"/>
      <c r="AF197" s="1711"/>
      <c r="AG197" s="1711"/>
      <c r="AH197" s="1711"/>
      <c r="AI197" s="1711"/>
    </row>
    <row r="198" spans="1:35" ht="13">
      <c r="A198" s="1711"/>
      <c r="B198" s="1711" t="s">
        <v>1199</v>
      </c>
      <c r="C198" s="1711"/>
      <c r="D198" s="1711"/>
      <c r="E198" s="1711"/>
      <c r="F198" s="1711"/>
      <c r="G198" s="2574">
        <f>'Part III-A-Uses of Funds'!G84</f>
        <v>10000</v>
      </c>
      <c r="H198" s="2574"/>
      <c r="I198" s="1711"/>
      <c r="J198" s="2574">
        <f>'Part III-A-Uses of Funds'!J84</f>
        <v>0</v>
      </c>
      <c r="K198" s="2574"/>
      <c r="L198" s="2563"/>
      <c r="M198" s="2574">
        <f>'Part III-A-Uses of Funds'!M84</f>
        <v>0</v>
      </c>
      <c r="N198" s="2574"/>
      <c r="O198" s="1711"/>
      <c r="P198" s="2574">
        <f>'Part III-A-Uses of Funds'!P84</f>
        <v>10000</v>
      </c>
      <c r="Q198" s="2574"/>
      <c r="R198" s="1711"/>
      <c r="S198" s="2574">
        <f>'Part III-A-Uses of Funds'!S84</f>
        <v>0</v>
      </c>
      <c r="T198" s="2574"/>
      <c r="U198" s="1711"/>
      <c r="V198" s="2598"/>
      <c r="W198" s="2599"/>
      <c r="X198" s="2599"/>
      <c r="Y198" s="1711"/>
      <c r="Z198" s="1711"/>
      <c r="AA198" s="1711"/>
      <c r="AB198" s="1711"/>
      <c r="AC198" s="1711"/>
      <c r="AD198" s="1711"/>
      <c r="AE198" s="1711"/>
      <c r="AF198" s="1711"/>
      <c r="AG198" s="1711"/>
      <c r="AH198" s="1711"/>
      <c r="AI198" s="1711"/>
    </row>
    <row r="199" spans="1:35" ht="16.5" customHeight="1">
      <c r="A199" s="2600" t="str">
        <f>IF(AND(G199&gt;0,OR(C199="",C199="&lt;Enter detailed description here; use Comments section if needed&gt;")),"X","")</f>
        <v/>
      </c>
      <c r="B199" s="2550" t="s">
        <v>4172</v>
      </c>
      <c r="C199" s="2410" t="str">
        <f>'Part III-A-Uses of Funds'!C85</f>
        <v>Historic Designation Consultant</v>
      </c>
      <c r="D199" s="2410"/>
      <c r="E199" s="2410"/>
      <c r="F199" s="2410"/>
      <c r="G199" s="2574">
        <f>'Part III-A-Uses of Funds'!G85</f>
        <v>45013</v>
      </c>
      <c r="H199" s="2574"/>
      <c r="I199" s="1711"/>
      <c r="J199" s="2574">
        <f>'Part III-A-Uses of Funds'!J85</f>
        <v>0</v>
      </c>
      <c r="K199" s="2574"/>
      <c r="L199" s="2563"/>
      <c r="M199" s="2574">
        <f>'Part III-A-Uses of Funds'!M85</f>
        <v>0</v>
      </c>
      <c r="N199" s="2574"/>
      <c r="O199" s="1711"/>
      <c r="P199" s="2574">
        <f>'Part III-A-Uses of Funds'!P85</f>
        <v>45013</v>
      </c>
      <c r="Q199" s="2574"/>
      <c r="R199" s="1711"/>
      <c r="S199" s="2574">
        <f>'Part III-A-Uses of Funds'!S85</f>
        <v>0</v>
      </c>
      <c r="T199" s="2574"/>
      <c r="U199" s="2554" t="str">
        <f>IF(AND(G199&gt;0,OR(C199="",C199="&lt;Enter detailed description here; use Comments section if needed&gt;")),"NO DESCRIPTION PROVIDED - please enter detailed description in Other box at left; use Comments section below if needed.","")</f>
        <v/>
      </c>
      <c r="V199" s="2598"/>
      <c r="W199" s="2599"/>
      <c r="X199" s="2599"/>
      <c r="Y199" s="1711"/>
      <c r="Z199" s="1711"/>
      <c r="AA199" s="1711"/>
      <c r="AB199" s="1711"/>
      <c r="AC199" s="1711"/>
      <c r="AD199" s="1711"/>
      <c r="AE199" s="1711"/>
      <c r="AF199" s="1711"/>
      <c r="AG199" s="1711"/>
      <c r="AH199" s="1711"/>
      <c r="AI199" s="1711"/>
    </row>
    <row r="200" spans="1:35" ht="13">
      <c r="A200" s="1711"/>
      <c r="B200" s="1711"/>
      <c r="C200" s="1711"/>
      <c r="D200" s="1711"/>
      <c r="E200" s="1711"/>
      <c r="F200" s="2602" t="s">
        <v>184</v>
      </c>
      <c r="G200" s="2574">
        <f>SUM(G189:G199)</f>
        <v>1302679</v>
      </c>
      <c r="H200" s="2574"/>
      <c r="I200" s="1711"/>
      <c r="J200" s="2574">
        <f>SUM(J189:J199)</f>
        <v>0</v>
      </c>
      <c r="K200" s="2574"/>
      <c r="L200" s="2563"/>
      <c r="M200" s="2574">
        <f>SUM(M189:M199)</f>
        <v>0</v>
      </c>
      <c r="N200" s="2574"/>
      <c r="O200" s="1711"/>
      <c r="P200" s="2574">
        <f>SUM(P189:P199)</f>
        <v>1202579</v>
      </c>
      <c r="Q200" s="2574"/>
      <c r="R200" s="1711"/>
      <c r="S200" s="2574">
        <f>SUM(S189:S199)</f>
        <v>100100</v>
      </c>
      <c r="T200" s="2574"/>
      <c r="U200" s="1711"/>
      <c r="V200" s="2598">
        <f>SUM(V189:V199)</f>
        <v>0</v>
      </c>
      <c r="W200" s="2599"/>
      <c r="X200" s="2599"/>
      <c r="Y200" s="1711"/>
      <c r="Z200" s="1711"/>
      <c r="AA200" s="1711"/>
      <c r="AB200" s="1711"/>
      <c r="AC200" s="1711"/>
      <c r="AD200" s="1711"/>
      <c r="AE200" s="1711"/>
      <c r="AF200" s="1711"/>
      <c r="AG200" s="1711"/>
      <c r="AH200" s="1711"/>
      <c r="AI200" s="1711"/>
    </row>
    <row r="201" spans="1:35" ht="13">
      <c r="A201" s="1711"/>
      <c r="B201" s="2545" t="s">
        <v>1191</v>
      </c>
      <c r="C201" s="1711"/>
      <c r="D201" s="2631" t="s">
        <v>3146</v>
      </c>
      <c r="E201" s="2632">
        <f>G206/'Part V-Revenues &amp; Expenses'!$P$76</f>
        <v>437.62931034482756</v>
      </c>
      <c r="F201" s="1711"/>
      <c r="G201" s="1711"/>
      <c r="H201" s="1711"/>
      <c r="I201" s="1711"/>
      <c r="J201" s="2563"/>
      <c r="K201" s="2563"/>
      <c r="L201" s="377"/>
      <c r="M201" s="2563"/>
      <c r="N201" s="2563"/>
      <c r="O201" s="2603" t="str">
        <f>B201</f>
        <v>LOCAL GOVERNMENT FEES</v>
      </c>
      <c r="P201" s="2563"/>
      <c r="Q201" s="2563"/>
      <c r="R201" s="377"/>
      <c r="S201" s="2563"/>
      <c r="T201" s="2563"/>
      <c r="U201" s="377"/>
      <c r="V201" s="2598"/>
      <c r="W201" s="1711" t="str">
        <f>B201</f>
        <v>LOCAL GOVERNMENT FEES</v>
      </c>
      <c r="X201" s="377"/>
      <c r="Y201" s="377"/>
      <c r="Z201" s="377"/>
      <c r="AA201" s="377"/>
      <c r="AB201" s="377"/>
      <c r="AC201" s="377"/>
      <c r="AD201" s="377"/>
      <c r="AE201" s="377"/>
      <c r="AF201" s="377"/>
      <c r="AG201" s="377"/>
      <c r="AH201" s="377"/>
      <c r="AI201" s="377"/>
    </row>
    <row r="202" spans="1:35" ht="13">
      <c r="A202" s="1711"/>
      <c r="B202" s="1711" t="s">
        <v>1192</v>
      </c>
      <c r="C202" s="1711"/>
      <c r="D202" s="1711"/>
      <c r="E202" s="1711"/>
      <c r="F202" s="1711"/>
      <c r="G202" s="2574">
        <f>'Part III-A-Uses of Funds'!G88</f>
        <v>50765</v>
      </c>
      <c r="H202" s="2574"/>
      <c r="I202" s="1711"/>
      <c r="J202" s="2574">
        <f>'Part III-A-Uses of Funds'!J88</f>
        <v>0</v>
      </c>
      <c r="K202" s="2574"/>
      <c r="L202" s="2563"/>
      <c r="M202" s="2574">
        <f>'Part III-A-Uses of Funds'!M88</f>
        <v>0</v>
      </c>
      <c r="N202" s="2574"/>
      <c r="O202" s="1711"/>
      <c r="P202" s="2574">
        <f>'Part III-A-Uses of Funds'!P88</f>
        <v>50765</v>
      </c>
      <c r="Q202" s="2574"/>
      <c r="R202" s="1711"/>
      <c r="S202" s="2574">
        <f>'Part III-A-Uses of Funds'!S88</f>
        <v>0</v>
      </c>
      <c r="T202" s="2574"/>
      <c r="U202" s="1711"/>
      <c r="V202" s="2598"/>
      <c r="W202" s="2599"/>
      <c r="X202" s="2599"/>
      <c r="Y202" s="1711"/>
      <c r="Z202" s="1711"/>
      <c r="AA202" s="1711"/>
      <c r="AB202" s="1711"/>
      <c r="AC202" s="1711"/>
      <c r="AD202" s="1711"/>
      <c r="AE202" s="1711"/>
      <c r="AF202" s="1711"/>
      <c r="AG202" s="1711"/>
      <c r="AH202" s="1711"/>
      <c r="AI202" s="1711"/>
    </row>
    <row r="203" spans="1:35" ht="13">
      <c r="A203" s="1711"/>
      <c r="B203" s="1711" t="s">
        <v>1193</v>
      </c>
      <c r="C203" s="1711"/>
      <c r="D203" s="1711"/>
      <c r="E203" s="1711"/>
      <c r="F203" s="1711"/>
      <c r="G203" s="2574">
        <f>'Part III-A-Uses of Funds'!G89</f>
        <v>0</v>
      </c>
      <c r="H203" s="2574"/>
      <c r="I203" s="1711"/>
      <c r="J203" s="2574">
        <f>'Part III-A-Uses of Funds'!J89</f>
        <v>0</v>
      </c>
      <c r="K203" s="2574"/>
      <c r="L203" s="2563"/>
      <c r="M203" s="2574">
        <f>'Part III-A-Uses of Funds'!M89</f>
        <v>0</v>
      </c>
      <c r="N203" s="2574"/>
      <c r="O203" s="1711"/>
      <c r="P203" s="2574">
        <f>'Part III-A-Uses of Funds'!P89</f>
        <v>0</v>
      </c>
      <c r="Q203" s="2574"/>
      <c r="R203" s="1711"/>
      <c r="S203" s="2574">
        <f>'Part III-A-Uses of Funds'!S89</f>
        <v>0</v>
      </c>
      <c r="T203" s="2574"/>
      <c r="U203" s="1711"/>
      <c r="V203" s="2598"/>
      <c r="W203" s="2599"/>
      <c r="X203" s="2599"/>
      <c r="Y203" s="1711"/>
      <c r="Z203" s="1711"/>
      <c r="AA203" s="1711"/>
      <c r="AB203" s="1711"/>
      <c r="AC203" s="1711"/>
      <c r="AD203" s="1711"/>
      <c r="AE203" s="1711"/>
      <c r="AF203" s="1711"/>
      <c r="AG203" s="1711"/>
      <c r="AH203" s="1711"/>
      <c r="AI203" s="1711"/>
    </row>
    <row r="204" spans="1:35" ht="13">
      <c r="A204" s="1711"/>
      <c r="B204" s="1711" t="s">
        <v>1194</v>
      </c>
      <c r="C204" s="1711"/>
      <c r="D204" s="2633" t="s">
        <v>1322</v>
      </c>
      <c r="E204" s="2634"/>
      <c r="F204" s="1711"/>
      <c r="G204" s="2574">
        <f>'Part III-A-Uses of Funds'!G90</f>
        <v>0</v>
      </c>
      <c r="H204" s="2574"/>
      <c r="I204" s="1711"/>
      <c r="J204" s="2574">
        <f>'Part III-A-Uses of Funds'!J90</f>
        <v>0</v>
      </c>
      <c r="K204" s="2574"/>
      <c r="L204" s="2563"/>
      <c r="M204" s="2574">
        <f>'Part III-A-Uses of Funds'!M90</f>
        <v>0</v>
      </c>
      <c r="N204" s="2574"/>
      <c r="O204" s="1711"/>
      <c r="P204" s="2574">
        <f>'Part III-A-Uses of Funds'!P90</f>
        <v>0</v>
      </c>
      <c r="Q204" s="2574"/>
      <c r="R204" s="1711"/>
      <c r="S204" s="2574">
        <f>'Part III-A-Uses of Funds'!S90</f>
        <v>0</v>
      </c>
      <c r="T204" s="2574"/>
      <c r="U204" s="1711"/>
      <c r="V204" s="2598"/>
      <c r="W204" s="2599"/>
      <c r="X204" s="2599"/>
      <c r="Y204" s="1711"/>
      <c r="Z204" s="1711"/>
      <c r="AA204" s="1711"/>
      <c r="AB204" s="1711"/>
      <c r="AC204" s="1711"/>
      <c r="AD204" s="1711"/>
      <c r="AE204" s="1711"/>
      <c r="AF204" s="1711"/>
      <c r="AG204" s="1711"/>
      <c r="AH204" s="1711"/>
      <c r="AI204" s="1711"/>
    </row>
    <row r="205" spans="1:35" ht="13">
      <c r="A205" s="1711"/>
      <c r="B205" s="1711" t="s">
        <v>1195</v>
      </c>
      <c r="C205" s="1711"/>
      <c r="D205" s="2633" t="s">
        <v>1322</v>
      </c>
      <c r="E205" s="2634"/>
      <c r="F205" s="1711"/>
      <c r="G205" s="2574">
        <f>'Part III-A-Uses of Funds'!G91</f>
        <v>0</v>
      </c>
      <c r="H205" s="2574"/>
      <c r="I205" s="1711"/>
      <c r="J205" s="2574">
        <f>'Part III-A-Uses of Funds'!J91</f>
        <v>0</v>
      </c>
      <c r="K205" s="2574"/>
      <c r="L205" s="2563"/>
      <c r="M205" s="2574">
        <f>'Part III-A-Uses of Funds'!M91</f>
        <v>0</v>
      </c>
      <c r="N205" s="2574"/>
      <c r="O205" s="1711"/>
      <c r="P205" s="2574">
        <f>'Part III-A-Uses of Funds'!P91</f>
        <v>0</v>
      </c>
      <c r="Q205" s="2574"/>
      <c r="R205" s="1711"/>
      <c r="S205" s="2574">
        <f>'Part III-A-Uses of Funds'!S91</f>
        <v>0</v>
      </c>
      <c r="T205" s="2574"/>
      <c r="U205" s="1711"/>
      <c r="V205" s="2598"/>
      <c r="W205" s="2599"/>
      <c r="X205" s="2599"/>
      <c r="Y205" s="1711"/>
      <c r="Z205" s="1711"/>
      <c r="AA205" s="1711"/>
      <c r="AB205" s="1711"/>
      <c r="AC205" s="1711"/>
      <c r="AD205" s="1711"/>
      <c r="AE205" s="1711"/>
      <c r="AF205" s="1711"/>
      <c r="AG205" s="1711"/>
      <c r="AH205" s="1711"/>
      <c r="AI205" s="1711"/>
    </row>
    <row r="206" spans="1:35" ht="13">
      <c r="A206" s="1711"/>
      <c r="B206" s="1711"/>
      <c r="C206" s="1711"/>
      <c r="D206" s="1711"/>
      <c r="E206" s="1711"/>
      <c r="F206" s="2602" t="s">
        <v>184</v>
      </c>
      <c r="G206" s="2574">
        <f>SUM(G202:G205)</f>
        <v>50765</v>
      </c>
      <c r="H206" s="2574"/>
      <c r="I206" s="1711"/>
      <c r="J206" s="2574">
        <f>SUM(J202:J205)</f>
        <v>0</v>
      </c>
      <c r="K206" s="2574"/>
      <c r="L206" s="2563"/>
      <c r="M206" s="2574">
        <f>SUM(M202:M205)</f>
        <v>0</v>
      </c>
      <c r="N206" s="2574"/>
      <c r="O206" s="1711"/>
      <c r="P206" s="2574">
        <f>SUM(P202:P205)</f>
        <v>50765</v>
      </c>
      <c r="Q206" s="2574"/>
      <c r="R206" s="1711"/>
      <c r="S206" s="2574">
        <f>SUM(S202:S205)</f>
        <v>0</v>
      </c>
      <c r="T206" s="2574"/>
      <c r="U206" s="1711"/>
      <c r="V206" s="2598">
        <f>SUM(V202:V205)</f>
        <v>0</v>
      </c>
      <c r="W206" s="2599"/>
      <c r="X206" s="2599"/>
      <c r="Y206" s="1711"/>
      <c r="Z206" s="1711"/>
      <c r="AA206" s="1711"/>
      <c r="AB206" s="1711"/>
      <c r="AC206" s="1711"/>
      <c r="AD206" s="1711"/>
      <c r="AE206" s="1711"/>
      <c r="AF206" s="1711"/>
      <c r="AG206" s="1711"/>
      <c r="AH206" s="1711"/>
      <c r="AI206" s="1711"/>
    </row>
    <row r="207" spans="1:35" ht="13">
      <c r="A207" s="2546"/>
      <c r="B207" s="2546"/>
      <c r="C207" s="2546"/>
      <c r="D207" s="2546"/>
      <c r="E207" s="2546"/>
      <c r="F207" s="2546"/>
      <c r="G207" s="2546"/>
      <c r="H207" s="2546"/>
      <c r="I207" s="2546"/>
      <c r="J207" s="2546"/>
      <c r="K207" s="2546"/>
      <c r="L207" s="2546"/>
      <c r="M207" s="2546"/>
      <c r="N207" s="2546"/>
      <c r="O207" s="2546"/>
      <c r="P207" s="2546"/>
      <c r="Q207" s="2546"/>
      <c r="R207" s="2546"/>
      <c r="S207" s="2546"/>
      <c r="T207" s="2546"/>
      <c r="U207" s="1711"/>
      <c r="V207" s="2598"/>
      <c r="W207" s="1711"/>
      <c r="X207" s="1711"/>
      <c r="Y207" s="1711"/>
      <c r="Z207" s="1711"/>
      <c r="AA207" s="1711"/>
      <c r="AB207" s="1711"/>
      <c r="AC207" s="1711"/>
      <c r="AD207" s="1711"/>
      <c r="AE207" s="1711"/>
      <c r="AF207" s="1711"/>
      <c r="AG207" s="1711"/>
      <c r="AH207" s="1711"/>
      <c r="AI207" s="1711"/>
    </row>
    <row r="208" spans="1:35" ht="17.25" customHeight="1">
      <c r="A208" s="2595" t="s">
        <v>572</v>
      </c>
      <c r="B208" s="2595" t="s">
        <v>5128</v>
      </c>
      <c r="C208" s="1711"/>
      <c r="D208" s="1711"/>
      <c r="E208" s="1711"/>
      <c r="F208" s="1711"/>
      <c r="G208" s="1711"/>
      <c r="H208" s="1711"/>
      <c r="I208" s="1711"/>
      <c r="J208" s="2545" t="s">
        <v>259</v>
      </c>
      <c r="K208" s="2545"/>
      <c r="L208" s="2574"/>
      <c r="M208" s="2596" t="s">
        <v>459</v>
      </c>
      <c r="N208" s="2596"/>
      <c r="O208" s="1711"/>
      <c r="P208" s="2545" t="s">
        <v>260</v>
      </c>
      <c r="Q208" s="2545"/>
      <c r="R208" s="1711"/>
      <c r="S208" s="2545" t="s">
        <v>261</v>
      </c>
      <c r="T208" s="2545"/>
      <c r="U208" s="1711"/>
      <c r="V208" s="2597" t="str">
        <f>B208</f>
        <v>DEVELOPMENT BUDGET  (cont'd)</v>
      </c>
      <c r="W208" s="1711"/>
      <c r="X208" s="1711"/>
      <c r="Y208" s="1711"/>
      <c r="Z208" s="1711"/>
      <c r="AA208" s="1711"/>
      <c r="AB208" s="1711"/>
      <c r="AC208" s="1711"/>
      <c r="AD208" s="1711"/>
      <c r="AE208" s="1711"/>
      <c r="AF208" s="1711"/>
      <c r="AG208" s="1711"/>
      <c r="AH208" s="1711"/>
      <c r="AI208" s="1711"/>
    </row>
    <row r="209" spans="1:35" ht="13">
      <c r="A209" s="1711"/>
      <c r="B209" s="1711"/>
      <c r="C209" s="1711"/>
      <c r="D209" s="1711"/>
      <c r="E209" s="1711"/>
      <c r="F209" s="1711"/>
      <c r="G209" s="2545" t="s">
        <v>95</v>
      </c>
      <c r="H209" s="2545"/>
      <c r="I209" s="1711"/>
      <c r="J209" s="2545"/>
      <c r="K209" s="2545"/>
      <c r="L209" s="2574"/>
      <c r="M209" s="2596"/>
      <c r="N209" s="2596"/>
      <c r="O209" s="1711"/>
      <c r="P209" s="2545"/>
      <c r="Q209" s="2545"/>
      <c r="R209" s="1711"/>
      <c r="S209" s="2545"/>
      <c r="T209" s="2545"/>
      <c r="U209" s="1711"/>
      <c r="V209" s="376" t="s">
        <v>2441</v>
      </c>
      <c r="W209" s="1711"/>
      <c r="X209" s="376"/>
      <c r="Y209" s="1711"/>
      <c r="Z209" s="1711"/>
      <c r="AA209" s="1711"/>
      <c r="AB209" s="1711"/>
      <c r="AC209" s="1711"/>
      <c r="AD209" s="1711"/>
      <c r="AE209" s="1711"/>
      <c r="AF209" s="1711"/>
      <c r="AG209" s="1711"/>
      <c r="AH209" s="1711"/>
      <c r="AI209" s="1711"/>
    </row>
    <row r="210" spans="1:35" ht="13">
      <c r="A210" s="1711"/>
      <c r="B210" s="2545" t="s">
        <v>676</v>
      </c>
      <c r="C210" s="1711"/>
      <c r="D210" s="1711"/>
      <c r="E210" s="1711"/>
      <c r="F210" s="1711"/>
      <c r="G210" s="1711"/>
      <c r="H210" s="1711"/>
      <c r="I210" s="1711"/>
      <c r="J210" s="2563"/>
      <c r="K210" s="2563"/>
      <c r="L210" s="1711"/>
      <c r="M210" s="2563"/>
      <c r="N210" s="2563"/>
      <c r="O210" s="2603" t="str">
        <f>B210</f>
        <v>PERMANENT FINANCING FEES</v>
      </c>
      <c r="P210" s="2563"/>
      <c r="Q210" s="2563"/>
      <c r="R210" s="1711"/>
      <c r="S210" s="2563"/>
      <c r="T210" s="2563"/>
      <c r="U210" s="1711"/>
      <c r="V210" s="2598"/>
      <c r="W210" s="1711" t="str">
        <f>B210</f>
        <v>PERMANENT FINANCING FEES</v>
      </c>
      <c r="X210" s="1711"/>
      <c r="Y210" s="1711"/>
      <c r="Z210" s="1711"/>
      <c r="AA210" s="1711"/>
      <c r="AB210" s="1711"/>
      <c r="AC210" s="1711"/>
      <c r="AD210" s="1711"/>
      <c r="AE210" s="1711"/>
      <c r="AF210" s="1711"/>
      <c r="AG210" s="1711"/>
      <c r="AH210" s="1711"/>
      <c r="AI210" s="1711"/>
    </row>
    <row r="211" spans="1:35" ht="13">
      <c r="A211" s="1711"/>
      <c r="B211" s="1711" t="s">
        <v>1196</v>
      </c>
      <c r="C211" s="1711"/>
      <c r="D211" s="1711"/>
      <c r="E211" s="1711"/>
      <c r="F211" s="1711"/>
      <c r="G211" s="2574">
        <f>'Part III-A-Uses of Funds'!G97</f>
        <v>145610</v>
      </c>
      <c r="H211" s="2574"/>
      <c r="I211" s="1711"/>
      <c r="J211" s="2574"/>
      <c r="K211" s="2574"/>
      <c r="L211" s="2563"/>
      <c r="M211" s="2574"/>
      <c r="N211" s="2574"/>
      <c r="O211" s="1711"/>
      <c r="P211" s="2574"/>
      <c r="Q211" s="2574"/>
      <c r="R211" s="1711"/>
      <c r="S211" s="2574">
        <f>'Part III-A-Uses of Funds'!S97</f>
        <v>145610</v>
      </c>
      <c r="T211" s="2574"/>
      <c r="U211" s="1711"/>
      <c r="V211" s="2598"/>
      <c r="W211" s="2599"/>
      <c r="X211" s="2599"/>
      <c r="Y211" s="1711"/>
      <c r="Z211" s="1711"/>
      <c r="AA211" s="1711"/>
      <c r="AB211" s="1711"/>
      <c r="AC211" s="1711"/>
      <c r="AD211" s="1711"/>
      <c r="AE211" s="1711"/>
      <c r="AF211" s="1711"/>
      <c r="AG211" s="1711"/>
      <c r="AH211" s="1711"/>
      <c r="AI211" s="1711"/>
    </row>
    <row r="212" spans="1:35" ht="13">
      <c r="A212" s="1711"/>
      <c r="B212" s="1711" t="s">
        <v>1197</v>
      </c>
      <c r="C212" s="1711"/>
      <c r="D212" s="1711"/>
      <c r="E212" s="1711"/>
      <c r="F212" s="1711"/>
      <c r="G212" s="2574">
        <f>'Part III-A-Uses of Funds'!G98</f>
        <v>85000</v>
      </c>
      <c r="H212" s="2574"/>
      <c r="I212" s="1711"/>
      <c r="J212" s="2574"/>
      <c r="K212" s="2574"/>
      <c r="L212" s="2563"/>
      <c r="M212" s="2574"/>
      <c r="N212" s="2574"/>
      <c r="O212" s="1711"/>
      <c r="P212" s="2574"/>
      <c r="Q212" s="2574"/>
      <c r="R212" s="1711"/>
      <c r="S212" s="2574">
        <f>'Part III-A-Uses of Funds'!S98</f>
        <v>85000</v>
      </c>
      <c r="T212" s="2574"/>
      <c r="U212" s="1711"/>
      <c r="V212" s="2598"/>
      <c r="W212" s="2599"/>
      <c r="X212" s="2599"/>
      <c r="Y212" s="1711"/>
      <c r="Z212" s="1711"/>
      <c r="AA212" s="1711"/>
      <c r="AB212" s="1711"/>
      <c r="AC212" s="1711"/>
      <c r="AD212" s="1711"/>
      <c r="AE212" s="1711"/>
      <c r="AF212" s="1711"/>
      <c r="AG212" s="1711"/>
      <c r="AH212" s="1711"/>
      <c r="AI212" s="1711"/>
    </row>
    <row r="213" spans="1:35" ht="13">
      <c r="A213" s="1711"/>
      <c r="B213" s="1711" t="s">
        <v>1198</v>
      </c>
      <c r="C213" s="1711"/>
      <c r="D213" s="1711"/>
      <c r="E213" s="1711"/>
      <c r="F213" s="1711"/>
      <c r="G213" s="2574">
        <f>'Part III-A-Uses of Funds'!G99</f>
        <v>0</v>
      </c>
      <c r="H213" s="2574"/>
      <c r="I213" s="1711"/>
      <c r="J213" s="2574"/>
      <c r="K213" s="2574"/>
      <c r="L213" s="2563"/>
      <c r="M213" s="2574"/>
      <c r="N213" s="2574"/>
      <c r="O213" s="1711"/>
      <c r="P213" s="2574"/>
      <c r="Q213" s="2574"/>
      <c r="R213" s="1711"/>
      <c r="S213" s="2574">
        <f>'Part III-A-Uses of Funds'!S99</f>
        <v>0</v>
      </c>
      <c r="T213" s="2574"/>
      <c r="U213" s="1711"/>
      <c r="V213" s="2598"/>
      <c r="W213" s="2599"/>
      <c r="X213" s="2599"/>
      <c r="Y213" s="1711"/>
      <c r="Z213" s="1711"/>
      <c r="AA213" s="1711"/>
      <c r="AB213" s="1711"/>
      <c r="AC213" s="1711"/>
      <c r="AD213" s="1711"/>
      <c r="AE213" s="1711"/>
      <c r="AF213" s="1711"/>
      <c r="AG213" s="1711"/>
      <c r="AH213" s="1711"/>
      <c r="AI213" s="1711"/>
    </row>
    <row r="214" spans="1:35" ht="13">
      <c r="A214" s="1711"/>
      <c r="B214" s="1711" t="s">
        <v>1200</v>
      </c>
      <c r="C214" s="1711"/>
      <c r="D214" s="1711"/>
      <c r="E214" s="1711"/>
      <c r="F214" s="1711"/>
      <c r="G214" s="2574">
        <f>'Part III-A-Uses of Funds'!G100</f>
        <v>0</v>
      </c>
      <c r="H214" s="2574"/>
      <c r="I214" s="1711"/>
      <c r="J214" s="2574"/>
      <c r="K214" s="2574"/>
      <c r="L214" s="2563"/>
      <c r="M214" s="2574"/>
      <c r="N214" s="2574"/>
      <c r="O214" s="1711"/>
      <c r="P214" s="2574"/>
      <c r="Q214" s="2574"/>
      <c r="R214" s="1711"/>
      <c r="S214" s="2574">
        <f>'Part III-A-Uses of Funds'!S100</f>
        <v>0</v>
      </c>
      <c r="T214" s="2574"/>
      <c r="U214" s="1711"/>
      <c r="V214" s="2598"/>
      <c r="W214" s="2599"/>
      <c r="X214" s="2599"/>
      <c r="Y214" s="1711"/>
      <c r="Z214" s="1711"/>
      <c r="AA214" s="1711"/>
      <c r="AB214" s="1711"/>
      <c r="AC214" s="1711"/>
      <c r="AD214" s="1711"/>
      <c r="AE214" s="1711"/>
      <c r="AF214" s="1711"/>
      <c r="AG214" s="1711"/>
      <c r="AH214" s="1711"/>
      <c r="AI214" s="1711"/>
    </row>
    <row r="215" spans="1:35" ht="13">
      <c r="A215" s="1711"/>
      <c r="B215" s="1711" t="s">
        <v>2115</v>
      </c>
      <c r="C215" s="1711"/>
      <c r="D215" s="1711"/>
      <c r="E215" s="1711"/>
      <c r="F215" s="1711"/>
      <c r="G215" s="2574"/>
      <c r="H215" s="2574"/>
      <c r="I215" s="1711"/>
      <c r="J215" s="2574"/>
      <c r="K215" s="2574"/>
      <c r="L215" s="2563"/>
      <c r="M215" s="2574"/>
      <c r="N215" s="2574"/>
      <c r="O215" s="1711"/>
      <c r="P215" s="2574"/>
      <c r="Q215" s="2574"/>
      <c r="R215" s="1711"/>
      <c r="S215" s="2574"/>
      <c r="T215" s="2574"/>
      <c r="U215" s="1711"/>
      <c r="V215" s="2598"/>
      <c r="W215" s="2599"/>
      <c r="X215" s="2599"/>
      <c r="Y215" s="1711"/>
      <c r="Z215" s="1711"/>
      <c r="AA215" s="1711"/>
      <c r="AB215" s="1711"/>
      <c r="AC215" s="1711"/>
      <c r="AD215" s="1711"/>
      <c r="AE215" s="1711"/>
      <c r="AF215" s="1711"/>
      <c r="AG215" s="1711"/>
      <c r="AH215" s="1711"/>
      <c r="AI215" s="1711"/>
    </row>
    <row r="216" spans="1:35" ht="16.5" customHeight="1">
      <c r="A216" s="2600" t="str">
        <f>IF(AND(G216&gt;0,OR(C216="",C216="&lt;Enter detailed description here; use Comments section if needed&gt;")),"X","")</f>
        <v/>
      </c>
      <c r="B216" s="2550" t="s">
        <v>4173</v>
      </c>
      <c r="C216" s="2410" t="str">
        <f>'Part III-A-Uses of Funds'!C102</f>
        <v>&lt;&lt; Enter description here; provide detail &amp; justification in tab Part III-b &gt;&gt;</v>
      </c>
      <c r="D216" s="2410"/>
      <c r="E216" s="2410"/>
      <c r="F216" s="2410"/>
      <c r="G216" s="2574"/>
      <c r="H216" s="2574"/>
      <c r="I216" s="1711"/>
      <c r="J216" s="2574"/>
      <c r="K216" s="2574"/>
      <c r="L216" s="2563"/>
      <c r="M216" s="2574"/>
      <c r="N216" s="2574"/>
      <c r="O216" s="1711"/>
      <c r="P216" s="2574"/>
      <c r="Q216" s="2574"/>
      <c r="R216" s="1711"/>
      <c r="S216" s="2574"/>
      <c r="T216" s="2574"/>
      <c r="U216" s="2554" t="str">
        <f>IF(AND(G216&gt;0,OR(C216="",C216="&lt;Enter detailed description here; use Comments section if needed&gt;")),"NO DESCRIPTION PROVIDED - please enter detailed description in Other box at left; use Comments section below if needed.","")</f>
        <v/>
      </c>
      <c r="V216" s="2598"/>
      <c r="W216" s="2599"/>
      <c r="X216" s="2599"/>
      <c r="Y216" s="1711"/>
      <c r="Z216" s="1711"/>
      <c r="AA216" s="1711"/>
      <c r="AB216" s="1711"/>
      <c r="AC216" s="1711"/>
      <c r="AD216" s="1711"/>
      <c r="AE216" s="1711"/>
      <c r="AF216" s="1711"/>
      <c r="AG216" s="1711"/>
      <c r="AH216" s="1711"/>
      <c r="AI216" s="1711"/>
    </row>
    <row r="217" spans="1:35" ht="13">
      <c r="A217" s="1711"/>
      <c r="B217" s="1711"/>
      <c r="C217" s="1711"/>
      <c r="D217" s="1711"/>
      <c r="E217" s="1711"/>
      <c r="F217" s="2602" t="s">
        <v>184</v>
      </c>
      <c r="G217" s="2574">
        <f>SUM(G211:G216)</f>
        <v>230610</v>
      </c>
      <c r="H217" s="2574"/>
      <c r="I217" s="1711"/>
      <c r="J217" s="2574"/>
      <c r="K217" s="2574"/>
      <c r="L217" s="2563"/>
      <c r="M217" s="2574"/>
      <c r="N217" s="2574"/>
      <c r="O217" s="1711"/>
      <c r="P217" s="2574"/>
      <c r="Q217" s="2574"/>
      <c r="R217" s="1711"/>
      <c r="S217" s="2574">
        <f>SUM(S211:S216)</f>
        <v>230610</v>
      </c>
      <c r="T217" s="2574"/>
      <c r="U217" s="1711"/>
      <c r="V217" s="2598">
        <f>SUM(V211:V216)</f>
        <v>0</v>
      </c>
      <c r="W217" s="2599"/>
      <c r="X217" s="2599"/>
      <c r="Y217" s="1711"/>
      <c r="Z217" s="1711"/>
      <c r="AA217" s="1711"/>
      <c r="AB217" s="1711"/>
      <c r="AC217" s="1711"/>
      <c r="AD217" s="1711"/>
      <c r="AE217" s="1711"/>
      <c r="AF217" s="1711"/>
      <c r="AG217" s="1711"/>
      <c r="AH217" s="1711"/>
      <c r="AI217" s="1711"/>
    </row>
    <row r="218" spans="1:35" ht="13">
      <c r="A218" s="1711"/>
      <c r="B218" s="2545" t="s">
        <v>677</v>
      </c>
      <c r="C218" s="1711"/>
      <c r="D218" s="1711"/>
      <c r="E218" s="1711"/>
      <c r="F218" s="1711"/>
      <c r="G218" s="1711"/>
      <c r="H218" s="1711"/>
      <c r="I218" s="1711"/>
      <c r="J218" s="2563"/>
      <c r="K218" s="2563"/>
      <c r="L218" s="1711"/>
      <c r="M218" s="2563"/>
      <c r="N218" s="2563"/>
      <c r="O218" s="2603" t="str">
        <f>B218</f>
        <v>DCA-RELATED COSTS</v>
      </c>
      <c r="P218" s="2563"/>
      <c r="Q218" s="2563"/>
      <c r="R218" s="1711"/>
      <c r="S218" s="2563"/>
      <c r="T218" s="2563"/>
      <c r="U218" s="1711"/>
      <c r="V218" s="2598"/>
      <c r="W218" s="1711" t="str">
        <f>B218</f>
        <v>DCA-RELATED COSTS</v>
      </c>
      <c r="X218" s="1711"/>
      <c r="Y218" s="1711"/>
      <c r="Z218" s="1711"/>
      <c r="AA218" s="2550" t="s">
        <v>3799</v>
      </c>
      <c r="AB218" s="2550"/>
      <c r="AC218" s="2550"/>
      <c r="AD218" s="2635"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4964</v>
      </c>
      <c r="C219" s="1711"/>
      <c r="D219" s="1711"/>
      <c r="E219" s="1711"/>
      <c r="F219" s="1711"/>
      <c r="G219" s="2574">
        <f>'Part III-A-Uses of Funds'!G105</f>
        <v>0</v>
      </c>
      <c r="H219" s="2574"/>
      <c r="I219" s="1711"/>
      <c r="J219" s="2563"/>
      <c r="K219" s="2563"/>
      <c r="L219" s="2563"/>
      <c r="M219" s="2563"/>
      <c r="N219" s="2563"/>
      <c r="O219" s="1711"/>
      <c r="P219" s="2563"/>
      <c r="Q219" s="2563"/>
      <c r="R219" s="1711"/>
      <c r="S219" s="2574">
        <f>'Part III-A-Uses of Funds'!S105</f>
        <v>0</v>
      </c>
      <c r="T219" s="2574"/>
      <c r="U219" s="1711"/>
      <c r="V219" s="2598"/>
      <c r="W219" s="2599"/>
      <c r="X219" s="2599"/>
      <c r="Y219" s="1711" t="s">
        <v>4587</v>
      </c>
      <c r="Z219" s="1711"/>
      <c r="AA219" s="402" t="s">
        <v>4535</v>
      </c>
      <c r="AB219" s="2550"/>
      <c r="AC219" s="2550"/>
      <c r="AD219" s="2636" t="str">
        <f>'Part V-Revenues &amp; Expenses'!$O$62</f>
        <v>40% of Units at 60% of AMI</v>
      </c>
      <c r="AE219" s="2637"/>
      <c r="AF219" s="2637"/>
      <c r="AG219" s="1711"/>
      <c r="AH219" s="1711"/>
      <c r="AI219" s="1711"/>
    </row>
    <row r="220" spans="1:35" ht="13">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574">
        <f>'Part III-A-Uses of Funds'!G106</f>
        <v>8000</v>
      </c>
      <c r="H220" s="2574"/>
      <c r="I220" s="1711"/>
      <c r="J220" s="2563"/>
      <c r="K220" s="2563"/>
      <c r="L220" s="2638"/>
      <c r="M220" s="2563"/>
      <c r="N220" s="2563"/>
      <c r="O220" s="1711"/>
      <c r="P220" s="2563"/>
      <c r="Q220" s="2563"/>
      <c r="R220" s="1711"/>
      <c r="S220" s="2574">
        <f>'Part III-A-Uses of Funds'!S106</f>
        <v>8000</v>
      </c>
      <c r="T220" s="2574"/>
      <c r="U220" s="1711"/>
      <c r="V220" s="2598"/>
      <c r="W220" s="2599"/>
      <c r="X220" s="2599"/>
      <c r="Y220" s="1711"/>
      <c r="Z220" s="1711"/>
      <c r="AA220" s="2622" t="s">
        <v>3068</v>
      </c>
      <c r="AB220" s="2622"/>
      <c r="AC220" s="2622"/>
      <c r="AD220" s="2639">
        <f>'Part V-Revenues &amp; Expenses'!$P$76</f>
        <v>116</v>
      </c>
      <c r="AE220" s="1711"/>
      <c r="AF220" s="1711"/>
      <c r="AG220" s="1711"/>
      <c r="AH220" s="1711"/>
      <c r="AI220" s="1711"/>
    </row>
    <row r="221" spans="1:35" ht="13">
      <c r="A221" s="1711"/>
      <c r="B221" s="1711" t="s">
        <v>4965</v>
      </c>
      <c r="C221" s="1711"/>
      <c r="D221" s="1711"/>
      <c r="E221" s="1711"/>
      <c r="F221" s="1711"/>
      <c r="G221" s="2574">
        <f>'Part III-A-Uses of Funds'!G107</f>
        <v>14000</v>
      </c>
      <c r="H221" s="2574"/>
      <c r="I221" s="1711"/>
      <c r="J221" s="2563"/>
      <c r="K221" s="2563"/>
      <c r="L221" s="2638"/>
      <c r="M221" s="2563"/>
      <c r="N221" s="2563"/>
      <c r="O221" s="1711"/>
      <c r="P221" s="2563"/>
      <c r="Q221" s="2563"/>
      <c r="R221" s="1711"/>
      <c r="S221" s="2574">
        <f>'Part III-A-Uses of Funds'!S107</f>
        <v>14000</v>
      </c>
      <c r="T221" s="2574"/>
      <c r="U221" s="1711"/>
      <c r="V221" s="2598"/>
      <c r="W221" s="2599"/>
      <c r="X221" s="2599"/>
      <c r="Y221" s="1711"/>
      <c r="Z221" s="1711"/>
      <c r="AA221" s="2640" t="s">
        <v>4592</v>
      </c>
      <c r="AB221" s="2550"/>
      <c r="AC221" s="2550"/>
      <c r="AD221" s="2550"/>
      <c r="AE221" s="1711"/>
      <c r="AF221" s="2641" t="s">
        <v>4593</v>
      </c>
      <c r="AG221" s="1711"/>
      <c r="AH221" s="1711"/>
      <c r="AI221" s="1711"/>
    </row>
    <row r="222" spans="1:35" ht="13">
      <c r="A222" s="1711"/>
      <c r="B222" s="1711" t="s">
        <v>485</v>
      </c>
      <c r="C222" s="1711"/>
      <c r="D222" s="1711"/>
      <c r="E222" s="2642">
        <f>ROUNDUP('DCA Underwriting Assumptions'!$Q$70*J306,0)</f>
        <v>118279</v>
      </c>
      <c r="F222" s="2642"/>
      <c r="G222" s="2574">
        <f>'Part III-A-Uses of Funds'!G108</f>
        <v>118279</v>
      </c>
      <c r="H222" s="2574"/>
      <c r="I222" s="1711"/>
      <c r="J222" s="2643" t="str">
        <f>IF(E222&gt;G222,"WARNING!  LIHTC Allocation Fee proposed is below minimum required.","")</f>
        <v/>
      </c>
      <c r="K222" s="2563"/>
      <c r="L222" s="2563"/>
      <c r="M222" s="2563"/>
      <c r="N222" s="2563"/>
      <c r="O222" s="1711"/>
      <c r="P222" s="2563"/>
      <c r="Q222" s="2563"/>
      <c r="R222" s="1711"/>
      <c r="S222" s="2574">
        <f>'Part III-A-Uses of Funds'!S108</f>
        <v>118279</v>
      </c>
      <c r="T222" s="2574"/>
      <c r="U222" s="1711"/>
      <c r="V222" s="2598"/>
      <c r="W222" s="2599"/>
      <c r="X222" s="2599"/>
      <c r="Y222" s="1711"/>
      <c r="Z222" s="1711"/>
      <c r="AA222" s="2550" t="s">
        <v>4588</v>
      </c>
      <c r="AB222" s="2550"/>
      <c r="AC222" s="2550"/>
      <c r="AD222" s="2644">
        <f>'Part V-Revenues &amp; Expenses'!P273+'Part V-Revenues &amp; Expenses'!P274</f>
        <v>0</v>
      </c>
      <c r="AE222" s="1711"/>
      <c r="AF222" s="2645">
        <f>AD222*'DCA Underwriting Assumptions'!$Q$77</f>
        <v>0</v>
      </c>
      <c r="AG222" s="1711"/>
      <c r="AH222" s="1711"/>
      <c r="AI222" s="1711"/>
    </row>
    <row r="223" spans="1:35" ht="13">
      <c r="A223" s="1711"/>
      <c r="B223" s="1711" t="s">
        <v>701</v>
      </c>
      <c r="C223" s="1711"/>
      <c r="D223" s="1711"/>
      <c r="E223" s="2642">
        <f>AF225+AF229</f>
        <v>92800</v>
      </c>
      <c r="F223" s="2642"/>
      <c r="G223" s="2574">
        <f>'Part III-A-Uses of Funds'!G109</f>
        <v>92800</v>
      </c>
      <c r="H223" s="2574"/>
      <c r="I223" s="2646" t="str">
        <f>IF(E223&gt;G223,"WARNING!  LIHTC Compliance Fee proposed is below minimum required.","")</f>
        <v/>
      </c>
      <c r="J223" s="2646"/>
      <c r="K223" s="2646"/>
      <c r="L223" s="2646"/>
      <c r="M223" s="2646"/>
      <c r="N223" s="2646"/>
      <c r="O223" s="2646"/>
      <c r="P223" s="2646"/>
      <c r="Q223" s="2646"/>
      <c r="R223" s="2646"/>
      <c r="S223" s="2574">
        <f>'Part III-A-Uses of Funds'!S109</f>
        <v>92800</v>
      </c>
      <c r="T223" s="2574"/>
      <c r="U223" s="1711"/>
      <c r="V223" s="2598"/>
      <c r="W223" s="2599"/>
      <c r="X223" s="2599"/>
      <c r="Y223" s="1711"/>
      <c r="Z223" s="1711"/>
      <c r="AA223" s="2550" t="s">
        <v>4181</v>
      </c>
      <c r="AB223" s="2550"/>
      <c r="AC223" s="2550"/>
      <c r="AD223" s="2644">
        <f>'Part V-Revenues &amp; Expenses'!$P$163+'Part V-Revenues &amp; Expenses'!$P$164</f>
        <v>0</v>
      </c>
      <c r="AE223" s="1711"/>
      <c r="AF223" s="2645">
        <f>AD223*'DCA Underwriting Assumptions'!$Q$77</f>
        <v>0</v>
      </c>
      <c r="AG223" s="1711"/>
      <c r="AH223" s="1711"/>
      <c r="AI223" s="1711"/>
    </row>
    <row r="224" spans="1:35" ht="13">
      <c r="A224" s="1711"/>
      <c r="B224" s="1711" t="s">
        <v>3362</v>
      </c>
      <c r="C224" s="1711"/>
      <c r="D224" s="1711"/>
      <c r="E224" s="1711"/>
      <c r="F224" s="2647"/>
      <c r="G224" s="2574">
        <f>'Part III-A-Uses of Funds'!G110</f>
        <v>4000</v>
      </c>
      <c r="H224" s="2574"/>
      <c r="I224" s="2646"/>
      <c r="J224" s="2646"/>
      <c r="K224" s="2646"/>
      <c r="L224" s="2646"/>
      <c r="M224" s="2646"/>
      <c r="N224" s="2646"/>
      <c r="O224" s="2646"/>
      <c r="P224" s="2646"/>
      <c r="Q224" s="2646"/>
      <c r="R224" s="2646"/>
      <c r="S224" s="2574">
        <f>'Part III-A-Uses of Funds'!S110</f>
        <v>4000</v>
      </c>
      <c r="T224" s="2574"/>
      <c r="U224" s="1711"/>
      <c r="V224" s="2598"/>
      <c r="W224" s="2599"/>
      <c r="X224" s="2599"/>
      <c r="Y224" s="1711"/>
      <c r="Z224" s="1711"/>
      <c r="AA224" s="2550" t="s">
        <v>4589</v>
      </c>
      <c r="AB224" s="2550"/>
      <c r="AC224" s="2550"/>
      <c r="AD224" s="2644">
        <f>'Part V-Revenues &amp; Expenses'!$P$165+'Part V-Revenues &amp; Expenses'!$P$166</f>
        <v>0</v>
      </c>
      <c r="AE224" s="1711"/>
      <c r="AF224" s="2645">
        <f>AD224*'DCA Underwriting Assumptions'!$Q$77</f>
        <v>0</v>
      </c>
      <c r="AG224" s="1711"/>
      <c r="AH224" s="1711"/>
      <c r="AI224" s="1711"/>
    </row>
    <row r="225" spans="1:35" ht="13">
      <c r="A225" s="1711"/>
      <c r="B225" s="1711" t="s">
        <v>4723</v>
      </c>
      <c r="C225" s="1711"/>
      <c r="D225" s="1711"/>
      <c r="E225" s="1711"/>
      <c r="F225" s="2647">
        <f>ROUNDUP('DCA Underwriting Assumptions'!$Q$73,0)</f>
        <v>8000</v>
      </c>
      <c r="G225" s="2574">
        <f>'Part III-A-Uses of Funds'!G111</f>
        <v>8000</v>
      </c>
      <c r="H225" s="2574"/>
      <c r="I225" s="1711"/>
      <c r="J225" s="377"/>
      <c r="K225" s="377"/>
      <c r="L225" s="377"/>
      <c r="M225" s="377"/>
      <c r="N225" s="377"/>
      <c r="O225" s="377"/>
      <c r="P225" s="377"/>
      <c r="Q225" s="377"/>
      <c r="R225" s="1711"/>
      <c r="S225" s="2574">
        <f>'Part III-A-Uses of Funds'!S111</f>
        <v>8000</v>
      </c>
      <c r="T225" s="2574"/>
      <c r="U225" s="1711"/>
      <c r="V225" s="2598"/>
      <c r="W225" s="2599"/>
      <c r="X225" s="2599"/>
      <c r="Y225" s="1711"/>
      <c r="Z225" s="1711"/>
      <c r="AA225" s="2550"/>
      <c r="AB225" s="2610" t="s">
        <v>4590</v>
      </c>
      <c r="AC225" s="2550"/>
      <c r="AD225" s="2648">
        <f>SUM(AD222:AD224)</f>
        <v>0</v>
      </c>
      <c r="AE225" s="1711"/>
      <c r="AF225" s="2649">
        <f>SUM(AF222:AF224)</f>
        <v>0</v>
      </c>
      <c r="AG225" s="1711"/>
      <c r="AH225" s="1711"/>
      <c r="AI225" s="1711"/>
    </row>
    <row r="226" spans="1:35" ht="15.75" customHeight="1">
      <c r="A226" s="2600" t="str">
        <f>IF(AND(G226&gt;0,OR(C226="",C226="&lt;Enter detailed description here; use Comments section if needed&gt;")),"X","")</f>
        <v/>
      </c>
      <c r="B226" s="2550" t="s">
        <v>4169</v>
      </c>
      <c r="C226" s="2410" t="str">
        <f>'Part III-A-Uses of Funds'!C112</f>
        <v>&lt;&lt; Enter description here; provide detail &amp; justification in tab Part III-b &gt;&gt;</v>
      </c>
      <c r="D226" s="2410"/>
      <c r="E226" s="2410"/>
      <c r="F226" s="2410"/>
      <c r="G226" s="2574">
        <f>'Part III-A-Uses of Funds'!G112</f>
        <v>0</v>
      </c>
      <c r="H226" s="2574"/>
      <c r="I226" s="1711"/>
      <c r="J226" s="377"/>
      <c r="K226" s="377"/>
      <c r="L226" s="377"/>
      <c r="M226" s="377"/>
      <c r="N226" s="377"/>
      <c r="O226" s="377"/>
      <c r="P226" s="377"/>
      <c r="Q226" s="377"/>
      <c r="R226" s="1711"/>
      <c r="S226" s="2574">
        <f>'Part III-A-Uses of Funds'!S112</f>
        <v>0</v>
      </c>
      <c r="T226" s="2574"/>
      <c r="U226" s="2554" t="str">
        <f>IF(AND(G226&gt;0,OR(C226="",C226="&lt;Enter detailed description here; use Comments section if needed&gt;")),"NO DESCRIPTION PROVIDED - please enter detailed description in Other box at left; use Comments section below if needed.","")</f>
        <v/>
      </c>
      <c r="V226" s="2598"/>
      <c r="W226" s="2599"/>
      <c r="X226" s="2599"/>
      <c r="Y226" s="1711"/>
      <c r="Z226" s="1711"/>
      <c r="AA226" s="2640" t="s">
        <v>4591</v>
      </c>
      <c r="AB226" s="2550"/>
      <c r="AC226" s="1248"/>
      <c r="AD226" s="2550"/>
      <c r="AE226" s="1711"/>
      <c r="AF226" s="2645"/>
      <c r="AG226" s="1711"/>
      <c r="AH226" s="1711"/>
      <c r="AI226" s="1711"/>
    </row>
    <row r="227" spans="1:35" ht="16.5" customHeight="1">
      <c r="A227" s="2600" t="str">
        <f>IF(AND(G227&gt;0,OR(C227="",C227="&lt;Enter detailed description here; use Comments section if needed&gt;")),"X","")</f>
        <v/>
      </c>
      <c r="B227" s="2550" t="s">
        <v>4169</v>
      </c>
      <c r="C227" s="2410" t="str">
        <f>'Part III-A-Uses of Funds'!C113</f>
        <v>&lt;&lt; Enter description here; provide detail &amp; justification in tab Part III-b &gt;&gt;</v>
      </c>
      <c r="D227" s="2410"/>
      <c r="E227" s="2410"/>
      <c r="F227" s="2410"/>
      <c r="G227" s="2574">
        <f>'Part III-A-Uses of Funds'!G113</f>
        <v>0</v>
      </c>
      <c r="H227" s="2574"/>
      <c r="I227" s="1711"/>
      <c r="J227" s="377"/>
      <c r="K227" s="377"/>
      <c r="L227" s="377"/>
      <c r="M227" s="377"/>
      <c r="N227" s="377"/>
      <c r="O227" s="377"/>
      <c r="P227" s="377"/>
      <c r="Q227" s="377"/>
      <c r="R227" s="1711"/>
      <c r="S227" s="2574">
        <f>'Part III-A-Uses of Funds'!S113</f>
        <v>0</v>
      </c>
      <c r="T227" s="2574"/>
      <c r="U227" s="2554" t="str">
        <f>IF(AND(G227&gt;0,OR(C227="",C227="&lt;Enter detailed description here; use Comments section if needed&gt;")),"NO DESCRIPTION PROVIDED - please enter detailed description in Other box at left; use Comments section below if needed.","")</f>
        <v/>
      </c>
      <c r="V227" s="2598"/>
      <c r="W227" s="2599"/>
      <c r="X227" s="2599"/>
      <c r="Y227" s="1711"/>
      <c r="Z227" s="1711"/>
      <c r="AA227" s="2550" t="s">
        <v>36</v>
      </c>
      <c r="AB227" s="2550"/>
      <c r="AC227" s="1248"/>
      <c r="AD227" s="2644">
        <f>'Part V-Revenues &amp; Expenses'!$P$150</f>
        <v>116</v>
      </c>
      <c r="AE227" s="1711"/>
      <c r="AF227" s="2645">
        <f>IF($AD$105="Income Averaging",AD227*'DCA Underwriting Assumptions'!$Q$75,AD227*'DCA Underwriting Assumptions'!$Q$74)</f>
        <v>92800</v>
      </c>
      <c r="AG227" s="1711"/>
      <c r="AH227" s="1711"/>
      <c r="AI227" s="1711"/>
    </row>
    <row r="228" spans="1:35" ht="13">
      <c r="A228" s="1711"/>
      <c r="B228" s="1711"/>
      <c r="C228" s="1711"/>
      <c r="D228" s="1711"/>
      <c r="E228" s="1711"/>
      <c r="F228" s="2602" t="s">
        <v>184</v>
      </c>
      <c r="G228" s="2574">
        <f>SUM(G219:G227)</f>
        <v>245079</v>
      </c>
      <c r="H228" s="2574"/>
      <c r="I228" s="1711"/>
      <c r="J228" s="2563"/>
      <c r="K228" s="2563"/>
      <c r="L228" s="2563"/>
      <c r="M228" s="2563"/>
      <c r="N228" s="2563"/>
      <c r="O228" s="1711"/>
      <c r="P228" s="2563"/>
      <c r="Q228" s="2563"/>
      <c r="R228" s="1711"/>
      <c r="S228" s="2574">
        <f>SUM(S219:S227)</f>
        <v>245079</v>
      </c>
      <c r="T228" s="2574"/>
      <c r="U228" s="1711"/>
      <c r="V228" s="2598">
        <f>SUM(V219:V227)</f>
        <v>0</v>
      </c>
      <c r="W228" s="2650"/>
      <c r="X228" s="2650"/>
      <c r="Y228" s="1711"/>
      <c r="Z228" s="1711"/>
      <c r="AA228" s="2550" t="s">
        <v>4375</v>
      </c>
      <c r="AB228" s="2550"/>
      <c r="AC228" s="2651"/>
      <c r="AD228" s="2644">
        <f>'Part V-Revenues &amp; Expenses'!$P$161+'Part V-Revenues &amp; Expenses'!$P$162</f>
        <v>0</v>
      </c>
      <c r="AE228" s="1711"/>
      <c r="AF228" s="2645">
        <f>IF($AD$105="Income Averaging",AD228*'DCA Underwriting Assumptions'!$Q$75,AD228*'DCA Underwriting Assumptions'!$Q$74)</f>
        <v>0</v>
      </c>
      <c r="AG228" s="1711"/>
      <c r="AH228" s="1711"/>
      <c r="AI228" s="1711"/>
    </row>
    <row r="229" spans="1:35" ht="13">
      <c r="A229" s="1711"/>
      <c r="B229" s="2545" t="s">
        <v>2116</v>
      </c>
      <c r="C229" s="1711"/>
      <c r="D229" s="1711"/>
      <c r="E229" s="1711"/>
      <c r="F229" s="1711"/>
      <c r="G229" s="1711"/>
      <c r="H229" s="1711"/>
      <c r="I229" s="1711"/>
      <c r="J229" s="2563"/>
      <c r="K229" s="2563"/>
      <c r="L229" s="1711"/>
      <c r="M229" s="2563"/>
      <c r="N229" s="2563"/>
      <c r="O229" s="2603" t="str">
        <f>B229</f>
        <v>EQUITY COSTS</v>
      </c>
      <c r="P229" s="2563"/>
      <c r="Q229" s="2563"/>
      <c r="R229" s="1711"/>
      <c r="S229" s="2563"/>
      <c r="T229" s="2563"/>
      <c r="U229" s="1711"/>
      <c r="V229" s="2598"/>
      <c r="W229" s="1711" t="str">
        <f>B229</f>
        <v>EQUITY COSTS</v>
      </c>
      <c r="X229" s="1711"/>
      <c r="Y229" s="1711"/>
      <c r="Z229" s="1711"/>
      <c r="AA229" s="2550"/>
      <c r="AB229" s="2610" t="s">
        <v>4590</v>
      </c>
      <c r="AC229" s="2550"/>
      <c r="AD229" s="2648">
        <f>SUM(AD227:AD228)</f>
        <v>116</v>
      </c>
      <c r="AE229" s="1711"/>
      <c r="AF229" s="2649">
        <f>SUM(AF227:AF228)</f>
        <v>92800</v>
      </c>
      <c r="AG229" s="1711"/>
      <c r="AH229" s="1711"/>
      <c r="AI229" s="1711"/>
    </row>
    <row r="230" spans="1:35" ht="13">
      <c r="A230" s="1711"/>
      <c r="B230" s="1711" t="s">
        <v>267</v>
      </c>
      <c r="C230" s="1711"/>
      <c r="D230" s="1711"/>
      <c r="E230" s="1711"/>
      <c r="F230" s="1711"/>
      <c r="G230" s="2574">
        <f>'Part III-A-Uses of Funds'!G116</f>
        <v>5000</v>
      </c>
      <c r="H230" s="2574"/>
      <c r="I230" s="1711"/>
      <c r="J230" s="2574"/>
      <c r="K230" s="2574"/>
      <c r="L230" s="2563"/>
      <c r="M230" s="2574"/>
      <c r="N230" s="2574"/>
      <c r="O230" s="1711"/>
      <c r="P230" s="2574"/>
      <c r="Q230" s="2574"/>
      <c r="R230" s="1711"/>
      <c r="S230" s="2574">
        <f>'Part III-A-Uses of Funds'!S116</f>
        <v>5000</v>
      </c>
      <c r="T230" s="2574"/>
      <c r="U230" s="1711"/>
      <c r="V230" s="2598"/>
      <c r="W230" s="2599"/>
      <c r="X230" s="2599"/>
      <c r="Y230" s="1711"/>
      <c r="Z230" s="1711"/>
      <c r="AA230" s="1711"/>
      <c r="AB230" s="1711"/>
      <c r="AC230" s="1711"/>
      <c r="AD230" s="1711"/>
      <c r="AE230" s="1711"/>
      <c r="AF230" s="1711"/>
      <c r="AG230" s="1711"/>
      <c r="AH230" s="1711"/>
      <c r="AI230" s="1711"/>
    </row>
    <row r="231" spans="1:35" ht="13">
      <c r="A231" s="1711"/>
      <c r="B231" s="1711" t="s">
        <v>268</v>
      </c>
      <c r="C231" s="1711"/>
      <c r="D231" s="1711"/>
      <c r="E231" s="1711"/>
      <c r="F231" s="1711"/>
      <c r="G231" s="2574">
        <f>'Part III-A-Uses of Funds'!G117</f>
        <v>0</v>
      </c>
      <c r="H231" s="2574"/>
      <c r="I231" s="1711"/>
      <c r="J231" s="2574"/>
      <c r="K231" s="2574"/>
      <c r="L231" s="2563"/>
      <c r="M231" s="2574"/>
      <c r="N231" s="2574"/>
      <c r="O231" s="1711"/>
      <c r="P231" s="2574"/>
      <c r="Q231" s="2574"/>
      <c r="R231" s="1711"/>
      <c r="S231" s="2574">
        <f>'Part III-A-Uses of Funds'!S117</f>
        <v>0</v>
      </c>
      <c r="T231" s="2574"/>
      <c r="U231" s="1711"/>
      <c r="V231" s="2598"/>
      <c r="W231" s="2599"/>
      <c r="X231" s="2599"/>
      <c r="Y231" s="1711"/>
      <c r="Z231" s="1711"/>
      <c r="AA231" s="1711"/>
      <c r="AB231" s="1711"/>
      <c r="AC231" s="1711"/>
      <c r="AD231" s="1711"/>
      <c r="AE231" s="1711"/>
      <c r="AF231" s="1711"/>
      <c r="AG231" s="1711"/>
      <c r="AH231" s="1711"/>
      <c r="AI231" s="1711"/>
    </row>
    <row r="232" spans="1:35" ht="13">
      <c r="A232" s="1711"/>
      <c r="B232" s="1711" t="s">
        <v>2194</v>
      </c>
      <c r="C232" s="1711"/>
      <c r="D232" s="1711"/>
      <c r="E232" s="1711"/>
      <c r="F232" s="1711"/>
      <c r="G232" s="2574">
        <f>'Part III-A-Uses of Funds'!G118</f>
        <v>55000</v>
      </c>
      <c r="H232" s="2574"/>
      <c r="I232" s="1711"/>
      <c r="J232" s="2574"/>
      <c r="K232" s="2574"/>
      <c r="L232" s="2563"/>
      <c r="M232" s="2574"/>
      <c r="N232" s="2574"/>
      <c r="O232" s="1711"/>
      <c r="P232" s="2574"/>
      <c r="Q232" s="2574"/>
      <c r="R232" s="1711"/>
      <c r="S232" s="2574">
        <f>'Part III-A-Uses of Funds'!S118</f>
        <v>55000</v>
      </c>
      <c r="T232" s="2574"/>
      <c r="U232" s="1711"/>
      <c r="V232" s="2598"/>
      <c r="W232" s="2599"/>
      <c r="X232" s="2599"/>
      <c r="Y232" s="1711"/>
      <c r="Z232" s="1711"/>
      <c r="AA232" s="1711"/>
      <c r="AB232" s="1711"/>
      <c r="AC232" s="1711"/>
      <c r="AD232" s="1711"/>
      <c r="AE232" s="1711"/>
      <c r="AF232" s="1711"/>
      <c r="AG232" s="1711"/>
      <c r="AH232" s="1711"/>
      <c r="AI232" s="1711"/>
    </row>
    <row r="233" spans="1:35" ht="16.5" customHeight="1">
      <c r="A233" s="2600" t="str">
        <f>IF(AND(G233&gt;0,OR(C233="",C233="&lt;Enter detailed description here; use Comments section if needed&gt;")),"X","")</f>
        <v/>
      </c>
      <c r="B233" s="2550" t="s">
        <v>4169</v>
      </c>
      <c r="C233" s="2410" t="str">
        <f>'Part III-A-Uses of Funds'!C119</f>
        <v>&lt;&lt; Enter description here; provide detail &amp; justification in tab Part III-b &gt;&gt;</v>
      </c>
      <c r="D233" s="2410"/>
      <c r="E233" s="2410"/>
      <c r="F233" s="2410"/>
      <c r="G233" s="2574">
        <f>'Part III-A-Uses of Funds'!G119</f>
        <v>0</v>
      </c>
      <c r="H233" s="2574"/>
      <c r="I233" s="1711"/>
      <c r="J233" s="2574"/>
      <c r="K233" s="2574"/>
      <c r="L233" s="2563"/>
      <c r="M233" s="2574"/>
      <c r="N233" s="2574"/>
      <c r="O233" s="1711"/>
      <c r="P233" s="2574"/>
      <c r="Q233" s="2574"/>
      <c r="R233" s="1711"/>
      <c r="S233" s="2574">
        <f>'Part III-A-Uses of Funds'!S119</f>
        <v>0</v>
      </c>
      <c r="T233" s="2574"/>
      <c r="U233" s="2554" t="str">
        <f>IF(AND(G233&gt;0,OR(C233="",C233="&lt;Enter detailed description here; use Comments section if needed&gt;")),"NO DESCRIPTION PROVIDED - please enter detailed description in Other box at left; use Comments section below if needed.","")</f>
        <v/>
      </c>
      <c r="V233" s="2598"/>
      <c r="W233" s="2599"/>
      <c r="X233" s="2599"/>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602" t="s">
        <v>184</v>
      </c>
      <c r="G234" s="2574">
        <f>SUM(G230:G233)</f>
        <v>60000</v>
      </c>
      <c r="H234" s="2574"/>
      <c r="I234" s="1711"/>
      <c r="J234" s="2574"/>
      <c r="K234" s="2574"/>
      <c r="L234" s="2563"/>
      <c r="M234" s="2574"/>
      <c r="N234" s="2574"/>
      <c r="O234" s="1711"/>
      <c r="P234" s="2574"/>
      <c r="Q234" s="2574"/>
      <c r="R234" s="1711"/>
      <c r="S234" s="2574">
        <f>SUM(S230:S233)</f>
        <v>60000</v>
      </c>
      <c r="T234" s="2574"/>
      <c r="U234" s="1711"/>
      <c r="V234" s="2598">
        <f>SUM(V230:V233)</f>
        <v>0</v>
      </c>
      <c r="W234" s="2599"/>
      <c r="X234" s="2599"/>
      <c r="Y234" s="1711"/>
      <c r="Z234" s="1711"/>
      <c r="AA234" s="1711"/>
      <c r="AB234" s="1711"/>
      <c r="AC234" s="402" t="s">
        <v>3796</v>
      </c>
      <c r="AD234" s="402" t="s">
        <v>3797</v>
      </c>
      <c r="AE234" s="402" t="s">
        <v>3800</v>
      </c>
      <c r="AF234" s="2550" t="s">
        <v>3798</v>
      </c>
      <c r="AG234" s="402" t="s">
        <v>3789</v>
      </c>
      <c r="AH234" s="403" t="s">
        <v>4625</v>
      </c>
      <c r="AI234" s="403"/>
    </row>
    <row r="235" spans="1:35" ht="13">
      <c r="A235" s="1711"/>
      <c r="B235" s="2545" t="s">
        <v>269</v>
      </c>
      <c r="C235" s="1711"/>
      <c r="D235" s="1711"/>
      <c r="E235" s="2587" t="s">
        <v>3799</v>
      </c>
      <c r="F235" s="2548"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563"/>
      <c r="K235" s="2574"/>
      <c r="L235" s="1711"/>
      <c r="M235" s="2563"/>
      <c r="N235" s="2574"/>
      <c r="O235" s="2603" t="str">
        <f>B235</f>
        <v>DEVELOPER'S FEE</v>
      </c>
      <c r="P235" s="2563"/>
      <c r="Q235" s="2574"/>
      <c r="R235" s="1711"/>
      <c r="S235" s="2563"/>
      <c r="T235" s="2574"/>
      <c r="U235" s="1711"/>
      <c r="V235" s="2598"/>
      <c r="W235" s="1711" t="str">
        <f>B235</f>
        <v>DEVELOPER'S FEE</v>
      </c>
      <c r="X235" s="1711"/>
      <c r="Y235" s="402" t="s">
        <v>3787</v>
      </c>
      <c r="Z235" s="402"/>
      <c r="AA235" s="1248" t="s">
        <v>3793</v>
      </c>
      <c r="AB235" s="1248" t="s">
        <v>3794</v>
      </c>
      <c r="AC235" s="402"/>
      <c r="AD235" s="402"/>
      <c r="AE235" s="402"/>
      <c r="AF235" s="2550"/>
      <c r="AG235" s="402"/>
      <c r="AH235" s="403"/>
      <c r="AI235" s="403"/>
    </row>
    <row r="236" spans="1:35" ht="13">
      <c r="A236" s="1711"/>
      <c r="B236" s="1711" t="s">
        <v>1719</v>
      </c>
      <c r="C236" s="1711"/>
      <c r="D236" s="1711"/>
      <c r="E236" s="1711"/>
      <c r="F236" s="2580">
        <f>IF($G$127=0,0,G236/$G$127)</f>
        <v>70.844036697247702</v>
      </c>
      <c r="G236" s="2574">
        <f>'Part III-A-Uses of Funds'!G122</f>
        <v>1158300</v>
      </c>
      <c r="H236" s="2574"/>
      <c r="I236" s="1711"/>
      <c r="J236" s="2574">
        <f>'Part III-A-Uses of Funds'!J122</f>
        <v>0</v>
      </c>
      <c r="K236" s="2574"/>
      <c r="L236" s="2563"/>
      <c r="M236" s="2574">
        <f>'Part III-A-Uses of Funds'!M122</f>
        <v>115830</v>
      </c>
      <c r="N236" s="2574"/>
      <c r="O236" s="1711"/>
      <c r="P236" s="2574">
        <f>'Part III-A-Uses of Funds'!P122</f>
        <v>1042470</v>
      </c>
      <c r="Q236" s="2574"/>
      <c r="R236" s="1711"/>
      <c r="S236" s="2574">
        <f>'Part III-A-Uses of Funds'!S122</f>
        <v>0</v>
      </c>
      <c r="T236" s="2574"/>
      <c r="U236" s="1711"/>
      <c r="V236" s="2598"/>
      <c r="W236" s="2599"/>
      <c r="X236" s="2599"/>
      <c r="Z236" s="2652">
        <v>0.09</v>
      </c>
      <c r="AA236" s="2653">
        <f>'DCA Underwriting Assumptions'!$J$82</f>
        <v>1</v>
      </c>
      <c r="AB236" s="2653">
        <f>'DCA Underwriting Assumptions'!$K$82</f>
        <v>50</v>
      </c>
      <c r="AC236" s="2644">
        <f>'DCA Underwriting Assumptions'!$Q$82</f>
        <v>27500</v>
      </c>
      <c r="AD236" s="2644">
        <f>AB236*AC236</f>
        <v>1375000</v>
      </c>
      <c r="AE236" s="2644">
        <f>IF('Part V-Revenues &amp; Expenses'!$P$76&lt;AA237,'Part V-Revenues &amp; Expenses'!$P$76*'Part III-A-Uses of Funds'!AC236,AB236*AC236)</f>
        <v>1375000</v>
      </c>
      <c r="AF236" s="2654">
        <f>SUM(AE236:AE238)</f>
        <v>1845000</v>
      </c>
      <c r="AG236" s="2654">
        <f>'DCA Underwriting Assumptions'!$Q$89</f>
        <v>2285000</v>
      </c>
      <c r="AH236" s="2578">
        <f>MIN(AF236,AG236)</f>
        <v>1845000</v>
      </c>
      <c r="AI236" s="2578"/>
    </row>
    <row r="237" spans="1:35" ht="13">
      <c r="A237" s="1711"/>
      <c r="B237" s="1711" t="s">
        <v>3324</v>
      </c>
      <c r="C237" s="1711"/>
      <c r="D237" s="1711"/>
      <c r="E237" s="1711"/>
      <c r="F237" s="2655"/>
      <c r="G237" s="2651" t="s">
        <v>4606</v>
      </c>
      <c r="H237" s="1711"/>
      <c r="I237" s="1711"/>
      <c r="J237" s="1711"/>
      <c r="K237" s="1711"/>
      <c r="L237" s="1711"/>
      <c r="M237" s="1711"/>
      <c r="N237" s="1711"/>
      <c r="O237" s="1711"/>
      <c r="P237" s="1711"/>
      <c r="Q237" s="1711"/>
      <c r="R237" s="1711"/>
      <c r="S237" s="1711"/>
      <c r="T237" s="1711"/>
      <c r="U237" s="1711"/>
      <c r="V237" s="2598"/>
      <c r="W237" s="2599"/>
      <c r="X237" s="2599"/>
      <c r="Z237" s="1640"/>
      <c r="AA237" s="2653">
        <f>'DCA Underwriting Assumptions'!$J$83</f>
        <v>51</v>
      </c>
      <c r="AB237" s="2653">
        <f>'DCA Underwriting Assumptions'!$K$83</f>
        <v>70</v>
      </c>
      <c r="AC237" s="2644">
        <f>'DCA Underwriting Assumptions'!$Q$83</f>
        <v>22000</v>
      </c>
      <c r="AD237" s="2644">
        <f>(AB237-AB236)*AC237</f>
        <v>440000</v>
      </c>
      <c r="AE237" s="2644">
        <f>IF(AND('Part V-Revenues &amp; Expenses'!$P$76&gt;AB236,'Part V-Revenues &amp; Expenses'!$P$76&lt;AA238),('Part V-Revenues &amp; Expenses'!$P$76-AB236)*'Part III-A-Uses of Funds'!AC237,IF(AND('Part V-Revenues &amp; Expenses'!$P$76&gt;AB236,'Part V-Revenues &amp; Expenses'!$P$76&gt;AB237),(AB237-AB236)*'Part III-A-Uses of Funds'!AC237,0))</f>
        <v>0</v>
      </c>
      <c r="AF237" s="2654"/>
      <c r="AG237" s="2654"/>
      <c r="AH237" s="2578"/>
      <c r="AI237" s="2578"/>
    </row>
    <row r="238" spans="1:35" ht="13">
      <c r="A238" s="1711"/>
      <c r="B238" s="1711" t="s">
        <v>1720</v>
      </c>
      <c r="C238" s="1711"/>
      <c r="D238" s="1711"/>
      <c r="E238" s="1711"/>
      <c r="F238" s="2580">
        <f>IF($G$127=0,0,G238/$G$127)</f>
        <v>0</v>
      </c>
      <c r="G238" s="2574">
        <f>'Part III-A-Uses of Funds'!G124</f>
        <v>0</v>
      </c>
      <c r="H238" s="2574"/>
      <c r="I238" s="1711"/>
      <c r="J238" s="2574">
        <f>'Part III-A-Uses of Funds'!J124</f>
        <v>0</v>
      </c>
      <c r="K238" s="2574"/>
      <c r="L238" s="2563"/>
      <c r="M238" s="2574">
        <f>'Part III-A-Uses of Funds'!M124</f>
        <v>0</v>
      </c>
      <c r="N238" s="2574"/>
      <c r="O238" s="1711"/>
      <c r="P238" s="2574">
        <f>'Part III-A-Uses of Funds'!P124</f>
        <v>0</v>
      </c>
      <c r="Q238" s="2574"/>
      <c r="R238" s="1711"/>
      <c r="S238" s="2574">
        <f>'Part III-A-Uses of Funds'!S124</f>
        <v>0</v>
      </c>
      <c r="T238" s="2574"/>
      <c r="U238" s="1711"/>
      <c r="V238" s="2598"/>
      <c r="W238" s="2599"/>
      <c r="X238" s="2599"/>
      <c r="Z238" s="1640"/>
      <c r="AA238" s="2653">
        <f>'DCA Underwriting Assumptions'!$J$84</f>
        <v>71</v>
      </c>
      <c r="AB238" s="1640"/>
      <c r="AC238" s="2644">
        <f>'DCA Underwriting Assumptions'!$Q$84</f>
        <v>16500</v>
      </c>
      <c r="AD238" s="2644">
        <f>AG236-AD237-AD236</f>
        <v>470000</v>
      </c>
      <c r="AE238" s="2644">
        <f>MIN(AD238,IF('Part V-Revenues &amp; Expenses'!$P$76&gt;AB237,('Part V-Revenues &amp; Expenses'!$P$76-AB237)*AC238,0))</f>
        <v>470000</v>
      </c>
      <c r="AF238" s="2654"/>
      <c r="AG238" s="2654"/>
      <c r="AH238" s="2578"/>
      <c r="AI238" s="2578"/>
    </row>
    <row r="239" spans="1:35" ht="13">
      <c r="A239" s="1711"/>
      <c r="B239" s="1711" t="s">
        <v>3080</v>
      </c>
      <c r="C239" s="1711"/>
      <c r="D239" s="1711"/>
      <c r="E239" s="1711"/>
      <c r="F239" s="2580">
        <f>IF($G$127=0,0,G239/$G$127)</f>
        <v>0</v>
      </c>
      <c r="G239" s="2574">
        <f>'Part III-A-Uses of Funds'!G125</f>
        <v>0</v>
      </c>
      <c r="H239" s="2574"/>
      <c r="I239" s="1711"/>
      <c r="J239" s="2574">
        <f>'Part III-A-Uses of Funds'!J125</f>
        <v>0</v>
      </c>
      <c r="K239" s="2574"/>
      <c r="L239" s="2563"/>
      <c r="M239" s="2574">
        <f>'Part III-A-Uses of Funds'!M125</f>
        <v>0</v>
      </c>
      <c r="N239" s="2574"/>
      <c r="O239" s="1711"/>
      <c r="P239" s="2574">
        <f>'Part III-A-Uses of Funds'!P125</f>
        <v>0</v>
      </c>
      <c r="Q239" s="2574"/>
      <c r="R239" s="1711"/>
      <c r="S239" s="2574">
        <f>'Part III-A-Uses of Funds'!S125</f>
        <v>0</v>
      </c>
      <c r="T239" s="2574"/>
      <c r="U239" s="1711"/>
      <c r="V239" s="2598"/>
      <c r="W239" s="2599"/>
      <c r="X239" s="2599"/>
      <c r="Z239" s="2652">
        <v>0.04</v>
      </c>
      <c r="AA239" s="2653">
        <f>'DCA Underwriting Assumptions'!$J$85</f>
        <v>1</v>
      </c>
      <c r="AB239" s="2653">
        <f>'DCA Underwriting Assumptions'!$K$85</f>
        <v>50</v>
      </c>
      <c r="AC239" s="2644">
        <f>'DCA Underwriting Assumptions'!$Q$85</f>
        <v>27500</v>
      </c>
      <c r="AD239" s="2644">
        <f>AB239*AC239</f>
        <v>1375000</v>
      </c>
      <c r="AE239" s="2644">
        <f>IF('Part V-Revenues &amp; Expenses'!$P$76&lt;AA240,'Part V-Revenues &amp; Expenses'!$P$76*'Part III-A-Uses of Funds'!AC239,AB239*AC239)</f>
        <v>1375000</v>
      </c>
      <c r="AF239" s="2654">
        <f>SUM(AE239:AE241)</f>
        <v>2134000</v>
      </c>
      <c r="AG239" s="2654">
        <f>'DCA Underwriting Assumptions'!$Q$90</f>
        <v>4000000</v>
      </c>
      <c r="AH239" s="2578">
        <f>MIN(AF239,AG239)</f>
        <v>2134000</v>
      </c>
      <c r="AI239" s="2578"/>
    </row>
    <row r="240" spans="1:35" ht="13">
      <c r="A240" s="1711"/>
      <c r="B240" s="1711" t="s">
        <v>1712</v>
      </c>
      <c r="C240" s="1711"/>
      <c r="D240" s="1711"/>
      <c r="E240" s="1711"/>
      <c r="F240" s="2580">
        <f>IF($G$127=0,0,G240/$G$127)</f>
        <v>86.587155963302749</v>
      </c>
      <c r="G240" s="2574">
        <f>'Part III-A-Uses of Funds'!G126</f>
        <v>1415700</v>
      </c>
      <c r="H240" s="2574"/>
      <c r="I240" s="1711"/>
      <c r="J240" s="2574">
        <f>'Part III-A-Uses of Funds'!J126</f>
        <v>0</v>
      </c>
      <c r="K240" s="2574"/>
      <c r="L240" s="2563"/>
      <c r="M240" s="2574">
        <f>'Part III-A-Uses of Funds'!M126</f>
        <v>141570</v>
      </c>
      <c r="N240" s="2574"/>
      <c r="O240" s="1711"/>
      <c r="P240" s="2574">
        <f>'Part III-A-Uses of Funds'!P126</f>
        <v>1274130</v>
      </c>
      <c r="Q240" s="2574"/>
      <c r="R240" s="1711"/>
      <c r="S240" s="2574">
        <f>'Part III-A-Uses of Funds'!S126</f>
        <v>0</v>
      </c>
      <c r="T240" s="2574"/>
      <c r="U240" s="1711"/>
      <c r="V240" s="2598"/>
      <c r="W240" s="2599"/>
      <c r="X240" s="2599"/>
      <c r="Z240" s="1640"/>
      <c r="AA240" s="2653">
        <f>'DCA Underwriting Assumptions'!$J$86</f>
        <v>51</v>
      </c>
      <c r="AB240" s="2653">
        <f>'DCA Underwriting Assumptions'!$K$86</f>
        <v>70</v>
      </c>
      <c r="AC240" s="2644">
        <f>'DCA Underwriting Assumptions'!$Q$86</f>
        <v>22000</v>
      </c>
      <c r="AD240" s="2644">
        <f>(AB240-AB239)*AC240</f>
        <v>440000</v>
      </c>
      <c r="AE240" s="2644">
        <f>IF(AND('Part V-Revenues &amp; Expenses'!$P$76&gt;AB239,'Part V-Revenues &amp; Expenses'!$P$76&lt;AA241),('Part V-Revenues &amp; Expenses'!$P$76-AB239)*'Part III-A-Uses of Funds'!AC240,IF(AND('Part V-Revenues &amp; Expenses'!$P$76&gt;AB239,'Part V-Revenues &amp; Expenses'!$P$76&gt;AB240),(AB240-AB239)*'Part III-A-Uses of Funds'!AC240,0))</f>
        <v>0</v>
      </c>
      <c r="AF240" s="2654"/>
      <c r="AG240" s="2654"/>
      <c r="AH240" s="2578"/>
      <c r="AI240" s="2578"/>
    </row>
    <row r="241" spans="1:35" ht="13">
      <c r="A241" s="2656" t="str">
        <f>IF(G241&gt;E241,"DF over limit!  Round down/Enter nbr.","")</f>
        <v/>
      </c>
      <c r="B241" s="2657"/>
      <c r="C241" s="1711"/>
      <c r="D241" s="2587" t="s">
        <v>3795</v>
      </c>
      <c r="E241" s="2658" t="str">
        <f>IF(AF236+AF239=0,"Fill in Rent Chart!",IF(F235="9%",AH236,IF(F235="4%",AH239,"Select App Type!")))</f>
        <v>Select App Type!</v>
      </c>
      <c r="F241" s="2602" t="s">
        <v>184</v>
      </c>
      <c r="G241" s="2574">
        <f>SUM(G236:G240)</f>
        <v>2574000</v>
      </c>
      <c r="H241" s="2574"/>
      <c r="I241" s="1711"/>
      <c r="J241" s="2574">
        <f>SUM(J236:J240)</f>
        <v>0</v>
      </c>
      <c r="K241" s="2574"/>
      <c r="L241" s="2563"/>
      <c r="M241" s="2574">
        <f>SUM(M236:M240)</f>
        <v>257400</v>
      </c>
      <c r="N241" s="2574"/>
      <c r="O241" s="1711"/>
      <c r="P241" s="2574">
        <f>SUM(P236:P240)</f>
        <v>2316600</v>
      </c>
      <c r="Q241" s="2574"/>
      <c r="R241" s="1711"/>
      <c r="S241" s="2574">
        <f>SUM(S236:S240)</f>
        <v>0</v>
      </c>
      <c r="T241" s="2574"/>
      <c r="U241" s="1711"/>
      <c r="V241" s="2598">
        <f>SUM(V236:V240)</f>
        <v>0</v>
      </c>
      <c r="W241" s="2599"/>
      <c r="X241" s="2599"/>
      <c r="Z241" s="1640"/>
      <c r="AA241" s="2653">
        <f>'DCA Underwriting Assumptions'!$J$87</f>
        <v>71</v>
      </c>
      <c r="AB241" s="1640"/>
      <c r="AC241" s="2644">
        <f>'DCA Underwriting Assumptions'!$Q$87</f>
        <v>16500</v>
      </c>
      <c r="AD241" s="2644">
        <f>AG239-AD240-AD239</f>
        <v>2185000</v>
      </c>
      <c r="AE241" s="2644">
        <f>MIN(AD241,IF('Part V-Revenues &amp; Expenses'!$P$76&gt;AB240,('Part V-Revenues &amp; Expenses'!$P$76-AB240)*AC241,0))</f>
        <v>759000</v>
      </c>
      <c r="AF241" s="2654"/>
      <c r="AG241" s="2654"/>
      <c r="AH241" s="2578"/>
      <c r="AI241" s="2578"/>
    </row>
    <row r="242" spans="1:35" ht="13">
      <c r="A242" s="1711"/>
      <c r="B242" s="2545" t="s">
        <v>1229</v>
      </c>
      <c r="C242" s="1711"/>
      <c r="D242" s="1711"/>
      <c r="E242" s="1711"/>
      <c r="F242" s="1711"/>
      <c r="G242" s="1711"/>
      <c r="H242" s="1711"/>
      <c r="I242" s="1711"/>
      <c r="J242" s="2574"/>
      <c r="K242" s="2574"/>
      <c r="L242" s="1711"/>
      <c r="M242" s="2574"/>
      <c r="N242" s="2574"/>
      <c r="O242" s="2603" t="str">
        <f>B242</f>
        <v>START-UP AND RESERVES</v>
      </c>
      <c r="P242" s="2574"/>
      <c r="Q242" s="2574"/>
      <c r="R242" s="1711"/>
      <c r="S242" s="2574"/>
      <c r="T242" s="2574"/>
      <c r="U242" s="1711"/>
      <c r="V242" s="2598"/>
      <c r="W242" s="1711" t="str">
        <f>B242</f>
        <v>START-UP AND RESERVES</v>
      </c>
      <c r="X242" s="1711"/>
      <c r="Y242" s="790"/>
      <c r="Z242" s="791"/>
      <c r="AA242" s="1711"/>
      <c r="AB242" s="790"/>
      <c r="AE242" s="1711"/>
    </row>
    <row r="243" spans="1:35" ht="13">
      <c r="A243" s="1711"/>
      <c r="B243" s="1711" t="s">
        <v>241</v>
      </c>
      <c r="C243" s="1711"/>
      <c r="D243" s="1711"/>
      <c r="E243" s="1711"/>
      <c r="F243" s="1711"/>
      <c r="G243" s="2574">
        <f>'Part III-A-Uses of Funds'!G129</f>
        <v>20000</v>
      </c>
      <c r="H243" s="2574"/>
      <c r="I243" s="1711"/>
      <c r="J243" s="2638"/>
      <c r="K243" s="2638"/>
      <c r="L243" s="2638"/>
      <c r="M243" s="2638"/>
      <c r="N243" s="2638"/>
      <c r="O243" s="1711"/>
      <c r="P243" s="2638"/>
      <c r="Q243" s="2638"/>
      <c r="R243" s="1711"/>
      <c r="S243" s="2574">
        <f>'Part III-A-Uses of Funds'!S129</f>
        <v>20000</v>
      </c>
      <c r="T243" s="2574"/>
      <c r="U243" s="1711"/>
      <c r="V243" s="2598"/>
      <c r="W243" s="2599"/>
      <c r="X243" s="2599"/>
      <c r="Y243" s="1711"/>
      <c r="Z243" s="791"/>
      <c r="AA243" s="1711"/>
      <c r="AB243" s="790"/>
      <c r="AE243" s="1711"/>
    </row>
    <row r="244" spans="1:35" ht="13">
      <c r="A244" s="1711"/>
      <c r="B244" s="1711" t="s">
        <v>1434</v>
      </c>
      <c r="C244" s="1711"/>
      <c r="D244" s="1711"/>
      <c r="E244" s="1711"/>
      <c r="F244" s="2659">
        <f>+'Part V-Revenues &amp; Expenses'!$Q$250*('DCA Underwriting Assumptions'!$Q$105/12)</f>
        <v>221748.5</v>
      </c>
      <c r="G244" s="2574">
        <f>'Part III-A-Uses of Funds'!G130</f>
        <v>221749</v>
      </c>
      <c r="H244" s="2574"/>
      <c r="I244" s="1711"/>
      <c r="J244" s="2660" t="str">
        <f>IF(E244&gt;G244,"WARNING! Rent-Up Reserves proposed is below minimum - add comment.","")</f>
        <v/>
      </c>
      <c r="K244" s="2660"/>
      <c r="L244" s="2563"/>
      <c r="M244" s="2574"/>
      <c r="N244" s="2574"/>
      <c r="O244" s="1711"/>
      <c r="P244" s="2574"/>
      <c r="Q244" s="2574"/>
      <c r="R244" s="1711"/>
      <c r="S244" s="2574">
        <f>'Part III-A-Uses of Funds'!S130</f>
        <v>221749</v>
      </c>
      <c r="T244" s="2574"/>
      <c r="U244" s="1711"/>
      <c r="V244" s="2598"/>
      <c r="W244" s="2599"/>
      <c r="X244" s="2599"/>
      <c r="Z244" s="2652"/>
      <c r="AA244" s="1711"/>
      <c r="AB244" s="402"/>
      <c r="AC244" s="1711"/>
      <c r="AE244" s="1711"/>
      <c r="AF244" s="1711"/>
    </row>
    <row r="245" spans="1:35" ht="13">
      <c r="A245" s="1711"/>
      <c r="B245" s="1711" t="s">
        <v>631</v>
      </c>
      <c r="C245" s="1711"/>
      <c r="D245" s="1711"/>
      <c r="E245" s="1711"/>
      <c r="F245" s="2659">
        <f>'Part V-Revenues &amp; Expenses'!$Q$250*('DCA Underwriting Assumptions'!$Q$103/12)+('Part VI-Pro Forma'!$B$26+'Part VI-Pro Forma'!$B$27+'Part VI-Pro Forma'!$B$28+'Part VI-Pro Forma'!$B$29)*'DCA Underwriting Assumptions'!$Q$102/(-12)</f>
        <v>684979.47747895948</v>
      </c>
      <c r="G245" s="2574">
        <f>'Part III-A-Uses of Funds'!G131</f>
        <v>684979</v>
      </c>
      <c r="H245" s="2574"/>
      <c r="I245" s="1711"/>
      <c r="J245" s="2660" t="str">
        <f>IF(E245&gt;G245,"WARNING! ODR proposed is below minimum - add comment.","")</f>
        <v/>
      </c>
      <c r="K245" s="2638"/>
      <c r="L245" s="2638"/>
      <c r="M245" s="2638"/>
      <c r="N245" s="2638"/>
      <c r="O245" s="1711"/>
      <c r="P245" s="2638"/>
      <c r="Q245" s="2638"/>
      <c r="R245" s="1711"/>
      <c r="S245" s="2574">
        <f>'Part III-A-Uses of Funds'!S131</f>
        <v>684979</v>
      </c>
      <c r="T245" s="2574"/>
      <c r="U245" s="1711"/>
      <c r="V245" s="2598"/>
      <c r="W245" s="2599"/>
      <c r="X245" s="2599"/>
      <c r="Z245" s="2652"/>
      <c r="AA245" s="1711"/>
      <c r="AB245" s="402"/>
      <c r="AC245" s="1711"/>
      <c r="AE245" s="1711"/>
      <c r="AF245" s="1711"/>
    </row>
    <row r="246" spans="1:35" ht="13">
      <c r="A246" s="1711"/>
      <c r="B246" s="1711" t="s">
        <v>5096</v>
      </c>
      <c r="C246" s="1711"/>
      <c r="D246" s="1711"/>
      <c r="E246" s="2604" t="s">
        <v>5097</v>
      </c>
      <c r="F246" s="2659">
        <f>'Part V-Revenues &amp; Expenses'!$L$266+'Part V-Revenues &amp; Expenses'!$L$267</f>
        <v>268667</v>
      </c>
      <c r="G246" s="2574">
        <f>'Part III-A-Uses of Funds'!G132</f>
        <v>268667</v>
      </c>
      <c r="H246" s="2574"/>
      <c r="I246" s="1711"/>
      <c r="J246" s="2660"/>
      <c r="K246" s="2638"/>
      <c r="L246" s="2638"/>
      <c r="M246" s="2638"/>
      <c r="N246" s="2638"/>
      <c r="O246" s="1711"/>
      <c r="P246" s="2638"/>
      <c r="Q246" s="2638"/>
      <c r="R246" s="1711"/>
      <c r="S246" s="2574">
        <f>'Part III-A-Uses of Funds'!S132</f>
        <v>268667</v>
      </c>
      <c r="T246" s="2574"/>
      <c r="U246" s="1711"/>
      <c r="V246" s="2598"/>
      <c r="W246" s="2599"/>
      <c r="X246" s="2599"/>
      <c r="Z246" s="2652"/>
      <c r="AA246" s="1711"/>
      <c r="AB246" s="402"/>
      <c r="AC246" s="1711"/>
      <c r="AE246" s="1711"/>
      <c r="AF246" s="1711"/>
    </row>
    <row r="247" spans="1:35" ht="13">
      <c r="A247" s="1711"/>
      <c r="B247" s="1711" t="s">
        <v>1169</v>
      </c>
      <c r="C247" s="1711"/>
      <c r="D247" s="1711"/>
      <c r="E247" s="1711" t="s">
        <v>5098</v>
      </c>
      <c r="F247" s="1711"/>
      <c r="G247" s="2574">
        <f>'Part III-A-Uses of Funds'!G133</f>
        <v>116000</v>
      </c>
      <c r="H247" s="2574"/>
      <c r="I247" s="1711"/>
      <c r="J247" s="2638"/>
      <c r="K247" s="2638"/>
      <c r="L247" s="2638"/>
      <c r="M247" s="2638"/>
      <c r="N247" s="2638"/>
      <c r="O247" s="1711"/>
      <c r="P247" s="2638"/>
      <c r="Q247" s="2638"/>
      <c r="R247" s="1711"/>
      <c r="S247" s="2574">
        <f>'Part III-A-Uses of Funds'!S133</f>
        <v>116000</v>
      </c>
      <c r="T247" s="2574"/>
      <c r="U247" s="1711"/>
      <c r="V247" s="2598"/>
      <c r="W247" s="2599"/>
      <c r="X247" s="2599"/>
      <c r="Y247" s="1711"/>
      <c r="Z247" s="1711"/>
      <c r="AA247" s="1711"/>
      <c r="AB247" s="1711"/>
      <c r="AC247" s="1711"/>
      <c r="AD247" s="1711"/>
      <c r="AE247" s="1711"/>
      <c r="AF247" s="1711"/>
      <c r="AG247" s="1711"/>
      <c r="AH247" s="1711"/>
      <c r="AI247" s="1711"/>
    </row>
    <row r="248" spans="1:35" ht="13">
      <c r="A248" s="1711"/>
      <c r="B248" s="1711" t="s">
        <v>1170</v>
      </c>
      <c r="C248" s="1711"/>
      <c r="D248" s="1711"/>
      <c r="E248" s="2604" t="s">
        <v>3054</v>
      </c>
      <c r="F248" s="2659">
        <f>IF('Part V-Revenues &amp; Expenses'!$P$76=0,0,G248/'Part V-Revenues &amp; Expenses'!$P$76)</f>
        <v>2158.6206896551726</v>
      </c>
      <c r="G248" s="2574">
        <f>'Part III-A-Uses of Funds'!G134</f>
        <v>250400</v>
      </c>
      <c r="H248" s="2574"/>
      <c r="I248" s="1711"/>
      <c r="J248" s="2574">
        <f>'Part III-A-Uses of Funds'!J134</f>
        <v>0</v>
      </c>
      <c r="K248" s="2574"/>
      <c r="L248" s="2563"/>
      <c r="M248" s="2574">
        <f>'Part III-A-Uses of Funds'!M134</f>
        <v>0</v>
      </c>
      <c r="N248" s="2574"/>
      <c r="O248" s="1711"/>
      <c r="P248" s="2574">
        <f>'Part III-A-Uses of Funds'!P134</f>
        <v>250400</v>
      </c>
      <c r="Q248" s="2574"/>
      <c r="R248" s="1711"/>
      <c r="S248" s="2574">
        <f>'Part III-A-Uses of Funds'!S134</f>
        <v>0</v>
      </c>
      <c r="T248" s="2574"/>
      <c r="U248" s="1711"/>
      <c r="V248" s="2598"/>
      <c r="W248" s="2599"/>
      <c r="X248" s="2599"/>
      <c r="Y248" s="1711"/>
      <c r="Z248" s="1711"/>
      <c r="AA248" s="1711"/>
      <c r="AB248" s="1711"/>
      <c r="AC248" s="1711"/>
      <c r="AD248" s="1711"/>
      <c r="AE248" s="1711"/>
      <c r="AF248" s="1711"/>
      <c r="AG248" s="1711"/>
      <c r="AH248" s="1711"/>
      <c r="AI248" s="1711"/>
    </row>
    <row r="249" spans="1:35" ht="16.5" customHeight="1">
      <c r="A249" s="2600" t="str">
        <f>IF(AND(G249&gt;0,OR(C249="",C249="&lt;Enter detailed description here; use Comments section if needed&gt;")),"X","")</f>
        <v/>
      </c>
      <c r="B249" s="2550" t="s">
        <v>4169</v>
      </c>
      <c r="C249" s="2410" t="str">
        <f>'Part III-A-Uses of Funds'!C135</f>
        <v>Acquired Reserves</v>
      </c>
      <c r="D249" s="2410"/>
      <c r="E249" s="2410"/>
      <c r="F249" s="2410"/>
      <c r="G249" s="2574">
        <f>'Part III-A-Uses of Funds'!G135</f>
        <v>124716</v>
      </c>
      <c r="H249" s="2574"/>
      <c r="I249" s="1711"/>
      <c r="J249" s="2574">
        <f>'Part III-A-Uses of Funds'!J135</f>
        <v>0</v>
      </c>
      <c r="K249" s="2574"/>
      <c r="L249" s="2563"/>
      <c r="M249" s="2574">
        <f>'Part III-A-Uses of Funds'!M135</f>
        <v>0</v>
      </c>
      <c r="N249" s="2574"/>
      <c r="O249" s="1711"/>
      <c r="P249" s="2574">
        <f>'Part III-A-Uses of Funds'!P135</f>
        <v>0</v>
      </c>
      <c r="Q249" s="2574"/>
      <c r="R249" s="1711"/>
      <c r="S249" s="2574">
        <f>'Part III-A-Uses of Funds'!S135</f>
        <v>124716</v>
      </c>
      <c r="T249" s="2574"/>
      <c r="U249" s="2554" t="str">
        <f>IF(AND(G249&gt;0,OR(C249="",C249="&lt;Enter detailed description here; use Comments section if needed&gt;")),"NO DESCRIPTION PROVIDED - please enter detailed description in Other box at left; use Comments section below if needed.","")</f>
        <v/>
      </c>
      <c r="V249" s="2598"/>
      <c r="W249" s="2599"/>
      <c r="X249" s="2599"/>
      <c r="Y249" s="1711"/>
      <c r="Z249" s="1711"/>
      <c r="AA249" s="1711"/>
      <c r="AB249" s="1711"/>
      <c r="AC249" s="1711"/>
      <c r="AD249" s="1711"/>
      <c r="AE249" s="1711"/>
      <c r="AF249" s="1711"/>
      <c r="AG249" s="1711"/>
      <c r="AH249" s="1711"/>
      <c r="AI249" s="1711"/>
    </row>
    <row r="250" spans="1:35" ht="13">
      <c r="A250" s="1711"/>
      <c r="B250" s="2661"/>
      <c r="C250" s="1711"/>
      <c r="D250" s="1711"/>
      <c r="E250" s="1711"/>
      <c r="F250" s="2602" t="s">
        <v>184</v>
      </c>
      <c r="G250" s="2574">
        <f>SUM(G243:G249)</f>
        <v>1686511</v>
      </c>
      <c r="H250" s="2574"/>
      <c r="I250" s="1711"/>
      <c r="J250" s="2574">
        <f>SUM(J248:J249)</f>
        <v>0</v>
      </c>
      <c r="K250" s="2574"/>
      <c r="L250" s="2563"/>
      <c r="M250" s="2574">
        <f>SUM(M248:M249)</f>
        <v>0</v>
      </c>
      <c r="N250" s="2574"/>
      <c r="O250" s="1711"/>
      <c r="P250" s="2574">
        <f>SUM(P248:P249)</f>
        <v>250400</v>
      </c>
      <c r="Q250" s="2574"/>
      <c r="R250" s="1711"/>
      <c r="S250" s="2574">
        <f>SUM(S243:S249)</f>
        <v>1436111</v>
      </c>
      <c r="T250" s="2574"/>
      <c r="U250" s="1711"/>
      <c r="V250" s="2598">
        <f>SUM(V243:V249)</f>
        <v>0</v>
      </c>
      <c r="W250" s="2599"/>
      <c r="X250" s="2599"/>
      <c r="Y250" s="1711"/>
      <c r="Z250" s="1711"/>
      <c r="AA250" s="1711"/>
      <c r="AB250" s="1711"/>
      <c r="AC250" s="1711"/>
      <c r="AD250" s="1711"/>
      <c r="AE250" s="1711"/>
      <c r="AF250" s="1711"/>
      <c r="AG250" s="1711"/>
      <c r="AH250" s="1711"/>
      <c r="AI250" s="1711"/>
    </row>
    <row r="251" spans="1:35" ht="13">
      <c r="A251" s="1711"/>
      <c r="B251" s="1711"/>
      <c r="C251" s="1711"/>
      <c r="D251" s="1711"/>
      <c r="E251" s="1711"/>
      <c r="F251" s="1711"/>
      <c r="G251" s="1711"/>
      <c r="H251" s="1711"/>
      <c r="I251" s="2662"/>
      <c r="J251" s="1711"/>
      <c r="K251" s="1711"/>
      <c r="L251" s="2662"/>
      <c r="M251" s="1711"/>
      <c r="N251" s="1711"/>
      <c r="O251" s="1711"/>
      <c r="P251" s="1711"/>
      <c r="Q251" s="1711"/>
      <c r="R251" s="1711"/>
      <c r="S251" s="1711"/>
      <c r="T251" s="1711"/>
      <c r="U251" s="1711"/>
      <c r="V251" s="2598"/>
      <c r="W251" s="1711"/>
      <c r="X251" s="1711"/>
      <c r="Y251" s="1711"/>
      <c r="Z251" s="1711"/>
      <c r="AA251" s="1711"/>
      <c r="AB251" s="1711"/>
      <c r="AC251" s="1711"/>
      <c r="AD251" s="1711"/>
      <c r="AE251" s="1711"/>
      <c r="AF251" s="1711"/>
      <c r="AG251" s="1711"/>
      <c r="AH251" s="1711"/>
      <c r="AI251" s="1711"/>
    </row>
    <row r="252" spans="1:35" ht="13">
      <c r="A252" s="1711"/>
      <c r="B252" s="1711"/>
      <c r="C252" s="1711"/>
      <c r="D252" s="2551"/>
      <c r="E252" s="2551"/>
      <c r="F252" s="1711"/>
      <c r="G252" s="1711"/>
      <c r="H252" s="1711"/>
      <c r="I252" s="2663"/>
      <c r="J252" s="2663"/>
      <c r="K252" s="2664"/>
      <c r="L252" s="2551"/>
      <c r="M252" s="1711"/>
      <c r="N252" s="1711"/>
      <c r="O252" s="1711"/>
      <c r="P252" s="1711"/>
      <c r="Q252" s="1711"/>
      <c r="R252" s="1711"/>
      <c r="S252" s="1711"/>
      <c r="T252" s="1711"/>
      <c r="U252" s="1711"/>
      <c r="V252" s="2598"/>
      <c r="W252" s="1711"/>
      <c r="X252" s="1711"/>
      <c r="Y252" s="1711"/>
      <c r="Z252" s="1711"/>
      <c r="AA252" s="1711"/>
      <c r="AB252" s="1711"/>
      <c r="AC252" s="1711"/>
      <c r="AD252" s="1711"/>
      <c r="AE252" s="1711"/>
      <c r="AF252" s="1711"/>
      <c r="AG252" s="1711"/>
      <c r="AH252" s="1711"/>
      <c r="AI252" s="1711"/>
    </row>
    <row r="253" spans="1:35" ht="13">
      <c r="A253" s="2546"/>
      <c r="B253" s="2546"/>
      <c r="C253" s="2546"/>
      <c r="D253" s="2546"/>
      <c r="E253" s="2546"/>
      <c r="F253" s="2546"/>
      <c r="G253" s="2546"/>
      <c r="H253" s="2546"/>
      <c r="I253" s="2546"/>
      <c r="J253" s="2546"/>
      <c r="K253" s="2546"/>
      <c r="L253" s="2546"/>
      <c r="M253" s="2546"/>
      <c r="N253" s="2546"/>
      <c r="O253" s="2546"/>
      <c r="P253" s="2546"/>
      <c r="Q253" s="2546"/>
      <c r="R253" s="2546"/>
      <c r="S253" s="2546"/>
      <c r="T253" s="2546"/>
      <c r="U253" s="1711"/>
      <c r="V253" s="2598"/>
      <c r="W253" s="1711"/>
      <c r="X253" s="1711"/>
      <c r="Y253" s="1711"/>
      <c r="Z253" s="1711"/>
      <c r="AA253" s="1711"/>
      <c r="AB253" s="1711"/>
      <c r="AC253" s="1711"/>
      <c r="AD253" s="1711"/>
      <c r="AE253" s="1711"/>
      <c r="AF253" s="1711"/>
      <c r="AG253" s="1711"/>
      <c r="AH253" s="1711"/>
      <c r="AI253" s="1711"/>
    </row>
    <row r="254" spans="1:35" ht="17.25" customHeight="1">
      <c r="A254" s="2595" t="s">
        <v>572</v>
      </c>
      <c r="B254" s="2595" t="s">
        <v>5128</v>
      </c>
      <c r="C254" s="1711"/>
      <c r="D254" s="1711"/>
      <c r="E254" s="1711"/>
      <c r="F254" s="1711"/>
      <c r="G254" s="1711"/>
      <c r="H254" s="1711"/>
      <c r="I254" s="1711"/>
      <c r="J254" s="2545" t="s">
        <v>259</v>
      </c>
      <c r="K254" s="2545"/>
      <c r="L254" s="2574"/>
      <c r="M254" s="2596" t="s">
        <v>459</v>
      </c>
      <c r="N254" s="2596"/>
      <c r="O254" s="1711"/>
      <c r="P254" s="2545" t="s">
        <v>260</v>
      </c>
      <c r="Q254" s="2545"/>
      <c r="R254" s="1711"/>
      <c r="S254" s="2545" t="s">
        <v>261</v>
      </c>
      <c r="T254" s="2545"/>
      <c r="U254" s="1711"/>
      <c r="V254" s="2597" t="str">
        <f>B254</f>
        <v>DEVELOPMENT BUDGET  (cont'd)</v>
      </c>
      <c r="W254" s="1711"/>
      <c r="X254" s="1711"/>
      <c r="Y254" s="1711"/>
      <c r="Z254" s="1711"/>
      <c r="AA254" s="1711"/>
      <c r="AB254" s="1711"/>
      <c r="AC254" s="1711"/>
      <c r="AD254" s="1711"/>
      <c r="AE254" s="1711"/>
      <c r="AF254" s="1711"/>
      <c r="AG254" s="1711"/>
      <c r="AH254" s="1711"/>
      <c r="AI254" s="1711"/>
    </row>
    <row r="255" spans="1:35" ht="13">
      <c r="A255" s="1711"/>
      <c r="B255" s="1711"/>
      <c r="C255" s="1711"/>
      <c r="D255" s="1711"/>
      <c r="E255" s="1711"/>
      <c r="F255" s="1711"/>
      <c r="G255" s="2545" t="s">
        <v>95</v>
      </c>
      <c r="H255" s="2545"/>
      <c r="I255" s="1711"/>
      <c r="J255" s="2545"/>
      <c r="K255" s="2545"/>
      <c r="L255" s="2574"/>
      <c r="M255" s="2596"/>
      <c r="N255" s="2596"/>
      <c r="O255" s="1711"/>
      <c r="P255" s="2545"/>
      <c r="Q255" s="2545"/>
      <c r="R255" s="1711"/>
      <c r="S255" s="2545"/>
      <c r="T255" s="2545"/>
      <c r="U255" s="1711"/>
      <c r="V255" s="376" t="s">
        <v>2441</v>
      </c>
      <c r="W255" s="1711"/>
      <c r="X255" s="376"/>
      <c r="Y255" s="1711"/>
      <c r="Z255" s="1711"/>
      <c r="AA255" s="1711"/>
      <c r="AB255" s="1711"/>
      <c r="AC255" s="1711"/>
      <c r="AD255" s="1711"/>
      <c r="AE255" s="1711"/>
      <c r="AF255" s="1711"/>
      <c r="AG255" s="1711"/>
      <c r="AH255" s="1711"/>
      <c r="AI255" s="1711"/>
    </row>
    <row r="256" spans="1:35" ht="13">
      <c r="A256" s="1711"/>
      <c r="B256" s="2545" t="s">
        <v>567</v>
      </c>
      <c r="C256" s="2551"/>
      <c r="D256" s="1711"/>
      <c r="E256" s="1711"/>
      <c r="F256" s="1711"/>
      <c r="G256" s="1711"/>
      <c r="H256" s="2663"/>
      <c r="I256" s="2663"/>
      <c r="J256" s="2574"/>
      <c r="K256" s="2574"/>
      <c r="L256" s="1711"/>
      <c r="M256" s="2574"/>
      <c r="N256" s="2574"/>
      <c r="O256" s="2603" t="str">
        <f>B256</f>
        <v>OTHER COSTS</v>
      </c>
      <c r="P256" s="2574"/>
      <c r="Q256" s="2574"/>
      <c r="R256" s="1711"/>
      <c r="S256" s="2574"/>
      <c r="T256" s="2574"/>
      <c r="U256" s="1711"/>
      <c r="V256" s="2598"/>
      <c r="W256" s="1711" t="str">
        <f>B256</f>
        <v>OTHER COSTS</v>
      </c>
      <c r="X256" s="1711"/>
      <c r="Y256" s="1711"/>
      <c r="Z256" s="1711"/>
      <c r="AA256" s="1711"/>
      <c r="AB256" s="1711"/>
      <c r="AC256" s="1711"/>
      <c r="AD256" s="1711"/>
      <c r="AE256" s="1711"/>
      <c r="AF256" s="1711"/>
      <c r="AG256" s="1711"/>
      <c r="AH256" s="1711"/>
      <c r="AI256" s="1711"/>
    </row>
    <row r="257" spans="1:35" ht="13">
      <c r="A257" s="1711"/>
      <c r="B257" s="1711" t="s">
        <v>568</v>
      </c>
      <c r="C257" s="2551"/>
      <c r="D257" s="1711"/>
      <c r="E257" s="1711"/>
      <c r="F257" s="1711"/>
      <c r="G257" s="2574">
        <f>'Part III-A-Uses of Funds'!G143</f>
        <v>315232</v>
      </c>
      <c r="H257" s="2574"/>
      <c r="I257" s="1711"/>
      <c r="J257" s="2574">
        <f>'Part III-A-Uses of Funds'!J143</f>
        <v>0</v>
      </c>
      <c r="K257" s="2574"/>
      <c r="L257" s="2563"/>
      <c r="M257" s="2574">
        <f>'Part III-A-Uses of Funds'!M143</f>
        <v>0</v>
      </c>
      <c r="N257" s="2574"/>
      <c r="O257" s="1711"/>
      <c r="P257" s="2574">
        <f>'Part III-A-Uses of Funds'!P143</f>
        <v>315232</v>
      </c>
      <c r="Q257" s="2574"/>
      <c r="R257" s="1711"/>
      <c r="S257" s="2574">
        <f>'Part III-A-Uses of Funds'!S143</f>
        <v>0</v>
      </c>
      <c r="T257" s="2574"/>
      <c r="U257" s="1711"/>
      <c r="V257" s="2598"/>
      <c r="W257" s="2599"/>
      <c r="X257" s="2599"/>
      <c r="Y257" s="1711"/>
      <c r="Z257" s="1711"/>
      <c r="AA257" s="1711"/>
      <c r="AB257" s="1711"/>
      <c r="AC257" s="1711"/>
      <c r="AD257" s="1711"/>
      <c r="AE257" s="1711"/>
      <c r="AF257" s="1711"/>
      <c r="AG257" s="1711"/>
      <c r="AH257" s="1711"/>
      <c r="AI257" s="1711"/>
    </row>
    <row r="258" spans="1:35" ht="16.5" customHeight="1">
      <c r="A258" s="2600" t="str">
        <f>IF(AND(G258&gt;0,OR(C258="",C258="&lt;Enter detailed description here; use Comments section if needed&gt;")),"X","")</f>
        <v/>
      </c>
      <c r="B258" s="2550" t="s">
        <v>4169</v>
      </c>
      <c r="C258" s="2410" t="str">
        <f>'Part III-A-Uses of Funds'!C144</f>
        <v>&lt;&lt; Enter description here; provide detail &amp; justification in tab Part III-b &gt;&gt;</v>
      </c>
      <c r="D258" s="2410"/>
      <c r="E258" s="2410"/>
      <c r="F258" s="2410"/>
      <c r="G258" s="2574">
        <f>'Part III-A-Uses of Funds'!G144</f>
        <v>0</v>
      </c>
      <c r="H258" s="2574"/>
      <c r="I258" s="1711"/>
      <c r="J258" s="2574">
        <f>'Part III-A-Uses of Funds'!J144</f>
        <v>0</v>
      </c>
      <c r="K258" s="2574"/>
      <c r="L258" s="2563"/>
      <c r="M258" s="2574">
        <f>'Part III-A-Uses of Funds'!M144</f>
        <v>0</v>
      </c>
      <c r="N258" s="2574"/>
      <c r="O258" s="1711"/>
      <c r="P258" s="2574">
        <f>'Part III-A-Uses of Funds'!P144</f>
        <v>0</v>
      </c>
      <c r="Q258" s="2574"/>
      <c r="R258" s="1711"/>
      <c r="S258" s="2574">
        <f>'Part III-A-Uses of Funds'!S144</f>
        <v>0</v>
      </c>
      <c r="T258" s="2574"/>
      <c r="U258" s="2554" t="str">
        <f>IF(AND(G258&gt;0,OR(C258="",C258="&lt;Enter detailed description here; use Comments section if needed&gt;")),"NO DESCRIPTION PROVIDED - please enter detailed description in Other box at left; use Comments section below if needed.","")</f>
        <v/>
      </c>
      <c r="V258" s="2598"/>
      <c r="W258" s="2599"/>
      <c r="X258" s="2599"/>
      <c r="Y258" s="1711"/>
      <c r="Z258" s="1711"/>
      <c r="AA258" s="1711"/>
      <c r="AB258" s="1711"/>
      <c r="AC258" s="1711"/>
      <c r="AD258" s="1711"/>
      <c r="AE258" s="1711"/>
      <c r="AF258" s="1711"/>
      <c r="AG258" s="1711"/>
      <c r="AH258" s="1711"/>
      <c r="AI258" s="1711"/>
    </row>
    <row r="259" spans="1:35" ht="13">
      <c r="A259" s="1711"/>
      <c r="B259" s="1711"/>
      <c r="C259" s="2551"/>
      <c r="D259" s="1711"/>
      <c r="E259" s="1711"/>
      <c r="F259" s="2602" t="s">
        <v>184</v>
      </c>
      <c r="G259" s="2574">
        <f>SUM(G257:G258)</f>
        <v>315232</v>
      </c>
      <c r="H259" s="2574"/>
      <c r="I259" s="1711"/>
      <c r="J259" s="2574">
        <f>SUM(J257:J258)</f>
        <v>0</v>
      </c>
      <c r="K259" s="2574"/>
      <c r="L259" s="2563"/>
      <c r="M259" s="2574">
        <f>SUM(M257:M258)</f>
        <v>0</v>
      </c>
      <c r="N259" s="2574"/>
      <c r="O259" s="1711"/>
      <c r="P259" s="2574">
        <f>SUM(P257:P258)</f>
        <v>315232</v>
      </c>
      <c r="Q259" s="2574"/>
      <c r="R259" s="1711"/>
      <c r="S259" s="2574">
        <f>SUM(S257:S258)</f>
        <v>0</v>
      </c>
      <c r="T259" s="2574"/>
      <c r="U259" s="1711"/>
      <c r="V259" s="2598">
        <f>SUM(V257:V258)</f>
        <v>0</v>
      </c>
      <c r="W259" s="2599"/>
      <c r="X259" s="2599"/>
      <c r="Y259" s="1711"/>
      <c r="Z259" s="1711"/>
      <c r="AA259" s="1711"/>
      <c r="AB259" s="1711"/>
      <c r="AC259" s="1711"/>
      <c r="AD259" s="1711"/>
      <c r="AE259" s="1711"/>
      <c r="AF259" s="1711"/>
      <c r="AG259" s="1711"/>
      <c r="AH259" s="1711"/>
      <c r="AI259" s="1711"/>
    </row>
    <row r="260" spans="1:35" ht="13">
      <c r="A260" s="1711"/>
      <c r="B260" s="1711"/>
      <c r="C260" s="2551"/>
      <c r="D260" s="1711"/>
      <c r="E260" s="1711"/>
      <c r="F260" s="1711"/>
      <c r="G260" s="1711"/>
      <c r="H260" s="2663"/>
      <c r="I260" s="2663"/>
      <c r="J260" s="1711"/>
      <c r="K260" s="1711"/>
      <c r="L260" s="1711"/>
      <c r="M260" s="1711"/>
      <c r="N260" s="1711"/>
      <c r="O260" s="1711"/>
      <c r="P260" s="1711"/>
      <c r="Q260" s="1711"/>
      <c r="R260" s="1711"/>
      <c r="S260" s="1711"/>
      <c r="T260" s="1711"/>
      <c r="U260" s="1711"/>
      <c r="V260" s="2598"/>
      <c r="W260" s="2650"/>
      <c r="X260" s="2650"/>
      <c r="Y260" s="1711"/>
      <c r="Z260" s="1711"/>
      <c r="AA260" s="1711"/>
      <c r="AB260" s="1711"/>
      <c r="AC260" s="1711"/>
      <c r="AD260" s="1711"/>
      <c r="AE260" s="1711"/>
      <c r="AF260" s="1711"/>
      <c r="AG260" s="1711"/>
      <c r="AH260" s="1711"/>
      <c r="AI260" s="1711"/>
    </row>
    <row r="261" spans="1:35" ht="14">
      <c r="A261" s="1711"/>
      <c r="B261" s="2665" t="s">
        <v>5129</v>
      </c>
      <c r="C261" s="1711"/>
      <c r="D261" s="1711"/>
      <c r="E261" s="2604"/>
      <c r="F261" s="2666"/>
      <c r="G261" s="2596">
        <f>G132+G138+G142+G150+G155+G160+G169+G187+G200+G206+G217+G228+G234+G241+G250+G259</f>
        <v>38555004</v>
      </c>
      <c r="H261" s="2596"/>
      <c r="I261" s="1711"/>
      <c r="J261" s="2596">
        <f>J132+J138+J142+J150+J155+J160+J169+J187+J200+J206+J217+J228+J234+J241+J250+J259</f>
        <v>0</v>
      </c>
      <c r="K261" s="2596"/>
      <c r="L261" s="1711"/>
      <c r="M261" s="2596">
        <f>M132+M138+M142+M150+M155+M160+M169+M187+M200+M206+M217+M228+M234+M241+M250+M259</f>
        <v>13692400</v>
      </c>
      <c r="N261" s="2596"/>
      <c r="O261" s="1711"/>
      <c r="P261" s="2596">
        <f>P132+P138+P142+P150+P155+P160+P169+P187+P200+P206+P217+P228+P234+P241+P250+P259</f>
        <v>20655944</v>
      </c>
      <c r="Q261" s="2596"/>
      <c r="R261" s="1711"/>
      <c r="S261" s="2596">
        <f>S132+S138+S142+S150+S155+S160+S169+S187+S200+S206+S217+S228+S234+S241+S250+S259</f>
        <v>4206660</v>
      </c>
      <c r="T261" s="2596"/>
      <c r="U261" s="1711"/>
      <c r="V261" s="2598">
        <f>V132+V138+V142+V150+V155+V160+V169+V187+V200+V206+V217+V228+V234+V241+V250+V259</f>
        <v>0</v>
      </c>
      <c r="W261" s="2599"/>
      <c r="X261" s="2599"/>
      <c r="Y261" s="1711"/>
      <c r="Z261" s="1711"/>
      <c r="AA261" s="1711"/>
      <c r="AB261" s="1711"/>
      <c r="AC261" s="1711"/>
      <c r="AD261" s="1711"/>
      <c r="AE261" s="1711"/>
      <c r="AF261" s="1711"/>
      <c r="AG261" s="1711"/>
      <c r="AH261" s="1711"/>
      <c r="AI261" s="1711"/>
    </row>
    <row r="262" spans="1:35" ht="13">
      <c r="A262" s="1711"/>
      <c r="B262" s="1711"/>
      <c r="C262" s="2551"/>
      <c r="D262" s="1711"/>
      <c r="E262" s="1711"/>
      <c r="F262" s="1711"/>
      <c r="G262" s="1711"/>
      <c r="H262" s="2663"/>
      <c r="I262" s="2663"/>
      <c r="J262" s="1711"/>
      <c r="K262" s="1711"/>
      <c r="L262" s="1711"/>
      <c r="M262" s="1711"/>
      <c r="N262" s="1711"/>
      <c r="O262" s="1711"/>
      <c r="P262" s="1711"/>
      <c r="Q262" s="1711"/>
      <c r="R262" s="1711"/>
      <c r="S262" s="1711"/>
      <c r="T262" s="1711"/>
      <c r="U262" s="1711"/>
      <c r="V262" s="2598"/>
      <c r="W262" s="1711"/>
      <c r="X262" s="1711"/>
      <c r="Y262" s="1711"/>
      <c r="Z262" s="1711"/>
      <c r="AA262" s="1711"/>
      <c r="AB262" s="1711"/>
      <c r="AC262" s="1711"/>
      <c r="AD262" s="1711"/>
      <c r="AE262" s="1711"/>
      <c r="AF262" s="1711"/>
      <c r="AG262" s="1711"/>
      <c r="AH262" s="1711"/>
      <c r="AI262" s="1711"/>
    </row>
    <row r="263" spans="1:35" ht="13">
      <c r="A263" s="1711"/>
      <c r="B263" s="2667" t="s">
        <v>5130</v>
      </c>
      <c r="C263" s="2617"/>
      <c r="D263" s="2668">
        <f>IF('Part V-Revenues &amp; Expenses'!$P$76=0,0,G261/'Part V-Revenues &amp; Expenses'!$P$76)</f>
        <v>332370.72413793101</v>
      </c>
      <c r="E263" s="2668"/>
      <c r="F263" s="2634" t="s">
        <v>2481</v>
      </c>
      <c r="G263" s="2668">
        <f>IF('Part V-Revenues &amp; Expenses'!$K$197=0,0,G261/'Part V-Revenues &amp; Expenses'!$K$197)</f>
        <v>301.06278940833806</v>
      </c>
      <c r="H263" s="2668"/>
      <c r="I263" s="2662"/>
      <c r="J263" s="1711"/>
      <c r="K263" s="1711"/>
      <c r="L263" s="1711"/>
      <c r="M263" s="1711"/>
      <c r="N263" s="1711"/>
      <c r="O263" s="1711"/>
      <c r="P263" s="1711"/>
      <c r="Q263" s="1711"/>
      <c r="R263" s="1711"/>
      <c r="S263" s="1711"/>
      <c r="T263" s="1711"/>
      <c r="U263" s="1711"/>
      <c r="V263" s="2598"/>
      <c r="W263" s="1711"/>
      <c r="X263" s="1711"/>
      <c r="Y263" s="1711"/>
      <c r="Z263" s="1711"/>
      <c r="AA263" s="1711"/>
      <c r="AB263" s="1711"/>
      <c r="AC263" s="1711"/>
      <c r="AD263" s="1711"/>
      <c r="AE263" s="1711"/>
      <c r="AF263" s="1711"/>
      <c r="AG263" s="1711"/>
      <c r="AH263" s="1711"/>
      <c r="AI263" s="1711"/>
    </row>
    <row r="264" spans="1:35" ht="13">
      <c r="A264" s="1711"/>
      <c r="B264" s="2667"/>
      <c r="C264" s="2617"/>
      <c r="D264" s="2669"/>
      <c r="E264" s="2669"/>
      <c r="F264" s="2634"/>
      <c r="G264" s="2668"/>
      <c r="H264" s="2668"/>
      <c r="I264" s="2662"/>
      <c r="J264" s="1711"/>
      <c r="K264" s="1711"/>
      <c r="L264" s="1711"/>
      <c r="M264" s="1711"/>
      <c r="N264" s="1711"/>
      <c r="O264" s="1711"/>
      <c r="P264" s="1711"/>
      <c r="Q264" s="1711"/>
      <c r="R264" s="1711"/>
      <c r="S264" s="1711"/>
      <c r="T264" s="1711"/>
      <c r="U264" s="1711"/>
      <c r="V264" s="2598"/>
      <c r="W264" s="1711"/>
      <c r="X264" s="1711"/>
      <c r="Y264" s="1711"/>
      <c r="Z264" s="1711"/>
      <c r="AA264" s="1711"/>
      <c r="AB264" s="1711"/>
      <c r="AC264" s="1711"/>
      <c r="AD264" s="1711"/>
      <c r="AE264" s="1711"/>
      <c r="AF264" s="1711"/>
      <c r="AG264" s="1711"/>
      <c r="AH264" s="1711"/>
      <c r="AI264" s="1711"/>
    </row>
    <row r="265" spans="1:35" ht="16.5" customHeight="1">
      <c r="A265" s="2595" t="s">
        <v>688</v>
      </c>
      <c r="B265" s="2670" t="s">
        <v>1339</v>
      </c>
      <c r="C265" s="2546"/>
      <c r="D265" s="2563"/>
      <c r="E265" s="2563"/>
      <c r="F265" s="2563"/>
      <c r="G265" s="1711"/>
      <c r="H265" s="1711"/>
      <c r="I265" s="2671"/>
      <c r="J265" s="2545" t="s">
        <v>259</v>
      </c>
      <c r="K265" s="2545"/>
      <c r="L265" s="1711"/>
      <c r="M265" s="2545" t="s">
        <v>94</v>
      </c>
      <c r="N265" s="2545"/>
      <c r="O265" s="1711"/>
      <c r="P265" s="2545" t="s">
        <v>260</v>
      </c>
      <c r="Q265" s="2545"/>
      <c r="R265" s="1711"/>
      <c r="S265" s="1711"/>
      <c r="T265" s="1711"/>
      <c r="U265" s="1711"/>
      <c r="V265" s="2598"/>
      <c r="W265" s="2597" t="str">
        <f>B265</f>
        <v>TAX CREDIT CALCULATION - BASIS METHOD</v>
      </c>
      <c r="X265" s="1711"/>
      <c r="Y265" s="1711"/>
      <c r="Z265" s="1711"/>
      <c r="AA265" s="1711"/>
      <c r="AB265" s="1711"/>
      <c r="AC265" s="1711"/>
      <c r="AD265" s="1711"/>
      <c r="AE265" s="1711"/>
      <c r="AF265" s="1711"/>
      <c r="AG265" s="1711"/>
      <c r="AH265" s="1711"/>
      <c r="AI265" s="1711"/>
    </row>
    <row r="266" spans="1:35" ht="13">
      <c r="A266" s="1711"/>
      <c r="B266" s="2554" t="s">
        <v>1889</v>
      </c>
      <c r="C266" s="1711"/>
      <c r="D266" s="2563"/>
      <c r="E266" s="2563"/>
      <c r="F266" s="1711"/>
      <c r="G266" s="1711"/>
      <c r="H266" s="1711"/>
      <c r="I266" s="2671"/>
      <c r="J266" s="2545"/>
      <c r="K266" s="2545"/>
      <c r="L266" s="2546"/>
      <c r="M266" s="2545"/>
      <c r="N266" s="2545"/>
      <c r="O266" s="1711"/>
      <c r="P266" s="2545"/>
      <c r="Q266" s="2545"/>
      <c r="R266" s="1711"/>
      <c r="S266" s="1711"/>
      <c r="T266" s="1711"/>
      <c r="U266" s="1711"/>
      <c r="V266" s="2598"/>
      <c r="W266" s="1711" t="str">
        <f>B266</f>
        <v>Subtractions From Eligible Basis</v>
      </c>
      <c r="X266" s="376"/>
      <c r="Y266" s="1711"/>
      <c r="Z266" s="1711"/>
      <c r="AA266" s="1711"/>
      <c r="AB266" s="1711"/>
      <c r="AC266" s="1711"/>
      <c r="AD266" s="1711"/>
      <c r="AE266" s="1711"/>
      <c r="AF266" s="1711"/>
      <c r="AG266" s="1711"/>
      <c r="AH266" s="1711"/>
      <c r="AI266" s="1711"/>
    </row>
    <row r="267" spans="1:35" ht="13">
      <c r="A267" s="1711"/>
      <c r="B267" s="1711"/>
      <c r="C267" s="1711"/>
      <c r="D267" s="2551"/>
      <c r="E267" s="2551"/>
      <c r="F267" s="1711"/>
      <c r="G267" s="1711"/>
      <c r="H267" s="1711"/>
      <c r="I267" s="2663"/>
      <c r="J267" s="2663"/>
      <c r="K267" s="2664"/>
      <c r="L267" s="2551"/>
      <c r="M267" s="1711"/>
      <c r="N267" s="1711"/>
      <c r="O267" s="1711"/>
      <c r="P267" s="1711"/>
      <c r="Q267" s="1711"/>
      <c r="R267" s="1711"/>
      <c r="S267" s="1711"/>
      <c r="T267" s="1711"/>
      <c r="U267" s="1711"/>
      <c r="V267" s="2598"/>
      <c r="W267" s="1711"/>
      <c r="X267" s="1711"/>
      <c r="Y267" s="1711"/>
      <c r="Z267" s="1711"/>
      <c r="AA267" s="1711"/>
      <c r="AB267" s="1711"/>
      <c r="AC267" s="1711"/>
      <c r="AD267" s="1711"/>
      <c r="AE267" s="1711"/>
      <c r="AF267" s="1711"/>
      <c r="AG267" s="1711"/>
      <c r="AH267" s="1711"/>
      <c r="AI267" s="1711"/>
    </row>
    <row r="268" spans="1:35" ht="13">
      <c r="A268" s="1711"/>
      <c r="B268" s="2551" t="s">
        <v>138</v>
      </c>
      <c r="C268" s="1711"/>
      <c r="D268" s="1711"/>
      <c r="E268" s="1711"/>
      <c r="F268" s="1711"/>
      <c r="G268" s="1711"/>
      <c r="H268" s="1711"/>
      <c r="I268" s="2671"/>
      <c r="J268" s="2578">
        <f>'Part III-A-Uses of Funds'!J154</f>
        <v>0</v>
      </c>
      <c r="K268" s="2578"/>
      <c r="L268" s="1711"/>
      <c r="M268" s="1711"/>
      <c r="N268" s="1711"/>
      <c r="O268" s="1711"/>
      <c r="P268" s="2578">
        <f>'Part III-A-Uses of Funds'!P154</f>
        <v>0</v>
      </c>
      <c r="Q268" s="2578"/>
      <c r="R268" s="1711"/>
      <c r="S268" s="1711"/>
      <c r="T268" s="1711"/>
      <c r="U268" s="1711"/>
      <c r="V268" s="2598"/>
      <c r="W268" s="2599"/>
      <c r="X268" s="2599"/>
      <c r="Y268" s="1711"/>
      <c r="Z268" s="1711"/>
      <c r="AA268" s="1711"/>
      <c r="AB268" s="1711"/>
      <c r="AC268" s="1711"/>
      <c r="AD268" s="1711"/>
      <c r="AE268" s="1711"/>
      <c r="AF268" s="1711"/>
      <c r="AG268" s="1711"/>
      <c r="AH268" s="1711"/>
      <c r="AI268" s="1711"/>
    </row>
    <row r="269" spans="1:35" ht="13">
      <c r="A269" s="1711"/>
      <c r="B269" s="1711" t="s">
        <v>1993</v>
      </c>
      <c r="C269" s="1711"/>
      <c r="D269" s="1711"/>
      <c r="E269" s="1711"/>
      <c r="F269" s="1711"/>
      <c r="G269" s="1711"/>
      <c r="H269" s="1711"/>
      <c r="I269" s="2671"/>
      <c r="J269" s="2578">
        <f>'Part III-A-Uses of Funds'!J155</f>
        <v>0</v>
      </c>
      <c r="K269" s="2578"/>
      <c r="L269" s="1711"/>
      <c r="M269" s="1711"/>
      <c r="N269" s="1711"/>
      <c r="O269" s="1711"/>
      <c r="P269" s="2578">
        <f>'Part III-A-Uses of Funds'!P155</f>
        <v>0</v>
      </c>
      <c r="Q269" s="2578"/>
      <c r="R269" s="1711"/>
      <c r="S269" s="1711"/>
      <c r="T269" s="1711"/>
      <c r="U269" s="1711"/>
      <c r="V269" s="2598"/>
      <c r="W269" s="2599"/>
      <c r="X269" s="2599"/>
      <c r="Y269" s="1711"/>
      <c r="Z269" s="1711"/>
      <c r="AA269" s="1711"/>
      <c r="AB269" s="1711"/>
      <c r="AC269" s="1711"/>
      <c r="AD269" s="1711"/>
      <c r="AE269" s="1711"/>
      <c r="AF269" s="1711"/>
      <c r="AG269" s="1711"/>
      <c r="AH269" s="1711"/>
      <c r="AI269" s="1711"/>
    </row>
    <row r="270" spans="1:35" ht="13">
      <c r="A270" s="1711"/>
      <c r="B270" s="1711" t="s">
        <v>1722</v>
      </c>
      <c r="C270" s="1711"/>
      <c r="D270" s="1711"/>
      <c r="E270" s="1711"/>
      <c r="F270" s="1711"/>
      <c r="G270" s="1711"/>
      <c r="H270" s="1711"/>
      <c r="I270" s="2671"/>
      <c r="J270" s="2578">
        <f>'Part III-A-Uses of Funds'!J156</f>
        <v>0</v>
      </c>
      <c r="K270" s="2578"/>
      <c r="L270" s="1711"/>
      <c r="M270" s="1711"/>
      <c r="N270" s="1711"/>
      <c r="O270" s="1711"/>
      <c r="P270" s="2578">
        <f>'Part III-A-Uses of Funds'!P156</f>
        <v>0</v>
      </c>
      <c r="Q270" s="2578"/>
      <c r="R270" s="1711"/>
      <c r="S270" s="1711"/>
      <c r="T270" s="1711"/>
      <c r="U270" s="1711"/>
      <c r="V270" s="2598"/>
      <c r="W270" s="2599"/>
      <c r="X270" s="2599"/>
      <c r="Y270" s="1711"/>
      <c r="Z270" s="1711"/>
      <c r="AA270" s="1711"/>
      <c r="AB270" s="1711"/>
      <c r="AC270" s="1711"/>
      <c r="AD270" s="1711"/>
      <c r="AE270" s="1711"/>
      <c r="AF270" s="1711"/>
      <c r="AG270" s="1711"/>
      <c r="AH270" s="1711"/>
      <c r="AI270" s="1711"/>
    </row>
    <row r="271" spans="1:35" ht="13">
      <c r="A271" s="1711"/>
      <c r="B271" s="1711" t="s">
        <v>1723</v>
      </c>
      <c r="C271" s="1711"/>
      <c r="D271" s="1711"/>
      <c r="E271" s="1711"/>
      <c r="F271" s="1711"/>
      <c r="G271" s="1711"/>
      <c r="H271" s="1711"/>
      <c r="I271" s="2671"/>
      <c r="J271" s="2578">
        <f>'Part III-A-Uses of Funds'!J157</f>
        <v>0</v>
      </c>
      <c r="K271" s="2578"/>
      <c r="L271" s="1711"/>
      <c r="M271" s="1711"/>
      <c r="N271" s="1711"/>
      <c r="O271" s="1711"/>
      <c r="P271" s="2578">
        <f>'Part III-A-Uses of Funds'!P157</f>
        <v>0</v>
      </c>
      <c r="Q271" s="2578"/>
      <c r="R271" s="1711"/>
      <c r="S271" s="1711"/>
      <c r="T271" s="1711"/>
      <c r="U271" s="1711"/>
      <c r="V271" s="2598"/>
      <c r="W271" s="2599"/>
      <c r="X271" s="2599"/>
      <c r="Y271" s="1711"/>
      <c r="Z271" s="1711"/>
      <c r="AA271" s="1711"/>
      <c r="AB271" s="1711"/>
      <c r="AC271" s="1711"/>
      <c r="AD271" s="1711"/>
      <c r="AE271" s="1711"/>
      <c r="AF271" s="1711"/>
      <c r="AG271" s="1711"/>
      <c r="AH271" s="1711"/>
      <c r="AI271" s="1711"/>
    </row>
    <row r="272" spans="1:35" ht="13">
      <c r="A272" s="1711"/>
      <c r="B272" s="1711" t="s">
        <v>243</v>
      </c>
      <c r="C272" s="1711"/>
      <c r="D272" s="1711"/>
      <c r="E272" s="1711"/>
      <c r="F272" s="1711"/>
      <c r="G272" s="1711"/>
      <c r="H272" s="1711"/>
      <c r="I272" s="2671"/>
      <c r="J272" s="2578">
        <f>'Part III-A-Uses of Funds'!J158</f>
        <v>0</v>
      </c>
      <c r="K272" s="2578"/>
      <c r="L272" s="1711"/>
      <c r="M272" s="1711"/>
      <c r="N272" s="1711"/>
      <c r="O272" s="1711"/>
      <c r="P272" s="2578">
        <f>'Part III-A-Uses of Funds'!P158</f>
        <v>834612</v>
      </c>
      <c r="Q272" s="2578"/>
      <c r="R272" s="1711"/>
      <c r="S272" s="1711"/>
      <c r="T272" s="1711"/>
      <c r="U272" s="1711"/>
      <c r="V272" s="2598"/>
      <c r="W272" s="2599"/>
      <c r="X272" s="2599"/>
      <c r="Y272" s="1711"/>
      <c r="Z272" s="1711"/>
      <c r="AA272" s="1711"/>
      <c r="AB272" s="1711"/>
      <c r="AC272" s="1711"/>
      <c r="AD272" s="1711"/>
      <c r="AE272" s="1711"/>
      <c r="AF272" s="1711"/>
      <c r="AG272" s="1711"/>
      <c r="AH272" s="1711"/>
      <c r="AI272" s="1711"/>
    </row>
    <row r="273" spans="1:35" ht="13.5" customHeight="1">
      <c r="A273" s="1711"/>
      <c r="B273" s="1711" t="s">
        <v>1494</v>
      </c>
      <c r="C273" s="2410" t="str">
        <f>'Part III-A-Uses of Funds'!C159</f>
        <v>&lt;Enter detailed description here; use Comments section if needed&gt;</v>
      </c>
      <c r="D273" s="1711"/>
      <c r="E273" s="1711"/>
      <c r="F273" s="1711"/>
      <c r="G273" s="1711"/>
      <c r="H273" s="1711"/>
      <c r="I273" s="1711"/>
      <c r="J273" s="2578">
        <f>'Part III-A-Uses of Funds'!J159</f>
        <v>0</v>
      </c>
      <c r="K273" s="2578"/>
      <c r="L273" s="1711"/>
      <c r="M273" s="1711"/>
      <c r="N273" s="1711"/>
      <c r="O273" s="1711"/>
      <c r="P273" s="2578">
        <f>'Part III-A-Uses of Funds'!P159</f>
        <v>0</v>
      </c>
      <c r="Q273" s="2578"/>
      <c r="R273" s="1711"/>
      <c r="S273" s="1711"/>
      <c r="T273" s="1711"/>
      <c r="U273" s="1711"/>
      <c r="V273" s="2598"/>
      <c r="W273" s="2599"/>
      <c r="X273" s="2599"/>
      <c r="Y273" s="1711"/>
      <c r="Z273" s="1711"/>
      <c r="AA273" s="1711"/>
      <c r="AB273" s="1711"/>
      <c r="AC273" s="1711"/>
      <c r="AD273" s="1711"/>
      <c r="AE273" s="1711"/>
      <c r="AF273" s="1711"/>
      <c r="AG273" s="1711"/>
      <c r="AH273" s="1711"/>
      <c r="AI273" s="1711"/>
    </row>
    <row r="274" spans="1:35" ht="13">
      <c r="A274" s="1711"/>
      <c r="B274" s="2545" t="s">
        <v>1724</v>
      </c>
      <c r="C274" s="2672"/>
      <c r="D274" s="1711"/>
      <c r="E274" s="1711"/>
      <c r="F274" s="1711"/>
      <c r="G274" s="1711"/>
      <c r="H274" s="1711"/>
      <c r="I274" s="1711"/>
      <c r="J274" s="2578">
        <f>SUM(J268:K273)</f>
        <v>0</v>
      </c>
      <c r="K274" s="2578"/>
      <c r="L274" s="1711"/>
      <c r="M274" s="1711"/>
      <c r="N274" s="1711"/>
      <c r="O274" s="1711"/>
      <c r="P274" s="2578">
        <f>SUM(P268:Q273)</f>
        <v>834612</v>
      </c>
      <c r="Q274" s="2578"/>
      <c r="R274" s="1711"/>
      <c r="S274" s="1711"/>
      <c r="T274" s="1711"/>
      <c r="U274" s="1711"/>
      <c r="V274" s="2598">
        <f>SUM(V268:V273)</f>
        <v>0</v>
      </c>
      <c r="W274" s="2599"/>
      <c r="X274" s="2599"/>
      <c r="Y274" s="1711"/>
      <c r="Z274" s="1711"/>
      <c r="AA274" s="1711"/>
      <c r="AB274" s="1711"/>
      <c r="AC274" s="1711"/>
      <c r="AD274" s="1711"/>
      <c r="AE274" s="1711"/>
      <c r="AF274" s="1711"/>
      <c r="AG274" s="1711"/>
      <c r="AH274" s="1711"/>
      <c r="AI274" s="1711"/>
    </row>
    <row r="275" spans="1:35" ht="13">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598"/>
      <c r="W275" s="1711"/>
      <c r="X275" s="1711"/>
      <c r="Y275" s="1711"/>
      <c r="Z275" s="1711"/>
      <c r="AA275" s="1711"/>
      <c r="AB275" s="1711"/>
      <c r="AC275" s="1711"/>
      <c r="AD275" s="1711"/>
      <c r="AE275" s="1711"/>
      <c r="AF275" s="1711"/>
      <c r="AG275" s="1711"/>
      <c r="AH275" s="1711"/>
      <c r="AI275" s="1711"/>
    </row>
    <row r="276" spans="1:35" ht="13">
      <c r="A276" s="1711"/>
      <c r="B276" s="2545"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598"/>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579">
        <f>J261</f>
        <v>0</v>
      </c>
      <c r="K277" s="2579"/>
      <c r="L277" s="1711"/>
      <c r="M277" s="2579">
        <f>M261</f>
        <v>13692400</v>
      </c>
      <c r="N277" s="2579"/>
      <c r="O277" s="1711"/>
      <c r="P277" s="2579">
        <f>P261</f>
        <v>20655944</v>
      </c>
      <c r="Q277" s="2579"/>
      <c r="R277" s="2673" t="s">
        <v>4734</v>
      </c>
      <c r="S277" s="2673"/>
      <c r="T277" s="2673"/>
      <c r="U277" s="1711"/>
      <c r="V277" s="2598"/>
      <c r="W277" s="2599"/>
      <c r="X277" s="2599"/>
      <c r="Y277" s="1711"/>
      <c r="Z277" s="1711"/>
      <c r="AA277" s="1711"/>
      <c r="AB277" s="1711"/>
      <c r="AC277" s="1711"/>
      <c r="AD277" s="1711"/>
      <c r="AE277" s="1711"/>
      <c r="AF277" s="1711"/>
      <c r="AG277" s="1711"/>
      <c r="AH277" s="1711"/>
      <c r="AI277" s="1711"/>
    </row>
    <row r="278" spans="1:35" ht="13">
      <c r="A278" s="1711"/>
      <c r="B278" s="1711" t="s">
        <v>2047</v>
      </c>
      <c r="C278" s="1711"/>
      <c r="D278" s="1711"/>
      <c r="E278" s="1711"/>
      <c r="F278" s="1711"/>
      <c r="G278" s="1711"/>
      <c r="H278" s="1711"/>
      <c r="I278" s="1711"/>
      <c r="J278" s="2579">
        <f>J274</f>
        <v>0</v>
      </c>
      <c r="K278" s="2579"/>
      <c r="L278" s="1711"/>
      <c r="M278" s="2579"/>
      <c r="N278" s="2579"/>
      <c r="O278" s="1711"/>
      <c r="P278" s="2579">
        <f>P274</f>
        <v>834612</v>
      </c>
      <c r="Q278" s="2579"/>
      <c r="R278" s="2673"/>
      <c r="S278" s="2673"/>
      <c r="T278" s="2673"/>
      <c r="U278" s="2550"/>
      <c r="V278" s="2598"/>
      <c r="W278" s="2599"/>
      <c r="X278" s="2599"/>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2579">
        <f>J277-J278</f>
        <v>0</v>
      </c>
      <c r="K279" s="2579"/>
      <c r="L279" s="1711"/>
      <c r="M279" s="2579">
        <f>M277</f>
        <v>13692400</v>
      </c>
      <c r="N279" s="2579"/>
      <c r="O279" s="1711"/>
      <c r="P279" s="2579">
        <f>P277-P278</f>
        <v>19821332</v>
      </c>
      <c r="Q279" s="2579"/>
      <c r="R279" s="2550" t="str">
        <f>'Part III-A-Uses of Funds'!R165</f>
        <v>&lt;&lt; Select Category of Eligibility&gt;&gt;</v>
      </c>
      <c r="S279" s="2550"/>
      <c r="T279" s="2550"/>
      <c r="U279" s="2550"/>
      <c r="V279" s="2598"/>
      <c r="W279" s="2599"/>
      <c r="X279" s="2599"/>
      <c r="Y279" s="1711"/>
      <c r="Z279" s="1711"/>
      <c r="AA279" s="1711"/>
      <c r="AB279" s="1711"/>
      <c r="AC279" s="1711"/>
      <c r="AD279" s="1711"/>
      <c r="AE279" s="1711"/>
      <c r="AF279" s="1711"/>
      <c r="AG279" s="1711"/>
      <c r="AH279" s="1711"/>
      <c r="AI279" s="1711"/>
    </row>
    <row r="280" spans="1:35" ht="13">
      <c r="A280" s="1711"/>
      <c r="B280" s="1711" t="s">
        <v>1388</v>
      </c>
      <c r="C280" s="1711"/>
      <c r="D280" s="1711"/>
      <c r="E280" s="1711"/>
      <c r="F280" s="1711"/>
      <c r="G280" s="1524" t="s">
        <v>1591</v>
      </c>
      <c r="H280" s="1711" t="str">
        <f>'Part III-A-Uses of Funds'!H166</f>
        <v>DDA/QCT</v>
      </c>
      <c r="I280" s="1711"/>
      <c r="J280" s="2674">
        <f>'Part III-A-Uses of Funds'!J166</f>
        <v>0</v>
      </c>
      <c r="K280" s="2674"/>
      <c r="L280" s="1711"/>
      <c r="M280" s="2674"/>
      <c r="N280" s="2674"/>
      <c r="O280" s="1711"/>
      <c r="P280" s="2674">
        <f>'Part III-A-Uses of Funds'!P166</f>
        <v>1.3</v>
      </c>
      <c r="Q280" s="2674"/>
      <c r="R280" s="2550"/>
      <c r="S280" s="2550"/>
      <c r="T280" s="2550"/>
      <c r="U280" s="1711"/>
      <c r="V280" s="2598"/>
      <c r="W280" s="2599"/>
      <c r="X280" s="2599"/>
      <c r="Y280" s="1711"/>
      <c r="Z280" s="1711"/>
      <c r="AA280" s="1711"/>
      <c r="AB280" s="1711"/>
      <c r="AC280" s="1711"/>
      <c r="AD280" s="1711"/>
      <c r="AE280" s="1711"/>
      <c r="AF280" s="1711"/>
      <c r="AG280" s="1711"/>
      <c r="AH280" s="1711"/>
      <c r="AI280" s="1711"/>
    </row>
    <row r="281" spans="1:35" ht="13">
      <c r="A281" s="1711"/>
      <c r="B281" s="1711" t="s">
        <v>1898</v>
      </c>
      <c r="C281" s="1711"/>
      <c r="D281" s="1711"/>
      <c r="E281" s="1711"/>
      <c r="F281" s="1711"/>
      <c r="G281" s="1711"/>
      <c r="H281" s="1711"/>
      <c r="I281" s="1711"/>
      <c r="J281" s="2579">
        <f>J279*J280</f>
        <v>0</v>
      </c>
      <c r="K281" s="2579"/>
      <c r="L281" s="1711"/>
      <c r="M281" s="2579">
        <f>+M279</f>
        <v>13692400</v>
      </c>
      <c r="N281" s="2579"/>
      <c r="O281" s="1711"/>
      <c r="P281" s="2579">
        <f>P279*P280</f>
        <v>25767731.600000001</v>
      </c>
      <c r="Q281" s="2579"/>
      <c r="R281" s="2550"/>
      <c r="S281" s="2550"/>
      <c r="T281" s="2550"/>
      <c r="U281" s="1711"/>
      <c r="V281" s="2598"/>
      <c r="W281" s="2599"/>
      <c r="X281" s="2599"/>
      <c r="Y281" s="1711"/>
      <c r="Z281" s="1711"/>
      <c r="AA281" s="1711"/>
      <c r="AB281" s="1711"/>
      <c r="AC281" s="1711"/>
      <c r="AD281" s="1711"/>
      <c r="AE281" s="1711"/>
      <c r="AF281" s="1711"/>
      <c r="AG281" s="1711"/>
      <c r="AH281" s="1711"/>
      <c r="AI281" s="1711"/>
    </row>
    <row r="282" spans="1:35" ht="13">
      <c r="A282" s="1711"/>
      <c r="B282" s="1711" t="s">
        <v>2333</v>
      </c>
      <c r="C282" s="1711"/>
      <c r="D282" s="1711"/>
      <c r="E282" s="1711"/>
      <c r="F282" s="1711"/>
      <c r="G282" s="1711"/>
      <c r="H282" s="1711"/>
      <c r="I282" s="1711"/>
      <c r="J282" s="2675">
        <f>MIN('Part V-Revenues &amp; Expenses'!$P$72/'Part V-Revenues &amp; Expenses'!$P$74,'Part V-Revenues &amp; Expenses'!$P$186/'Part V-Revenues &amp; Expenses'!$P$188)</f>
        <v>0.93669253333888114</v>
      </c>
      <c r="K282" s="2675"/>
      <c r="L282" s="1711"/>
      <c r="M282" s="2675">
        <f>MIN('Part V-Revenues &amp; Expenses'!$P$72/'Part V-Revenues &amp; Expenses'!$P$74,'Part V-Revenues &amp; Expenses'!$P$186/'Part V-Revenues &amp; Expenses'!$P$188)</f>
        <v>0.93669253333888114</v>
      </c>
      <c r="N282" s="2675"/>
      <c r="O282" s="1711"/>
      <c r="P282" s="2675">
        <f>MIN('Part V-Revenues &amp; Expenses'!$P$72/'Part V-Revenues &amp; Expenses'!$P$74,'Part V-Revenues &amp; Expenses'!$P$186/'Part V-Revenues &amp; Expenses'!$P$188)</f>
        <v>0.93669253333888114</v>
      </c>
      <c r="Q282" s="2675"/>
      <c r="R282" s="2676" t="str">
        <f>'Part III-A-Uses of Funds'!R168</f>
        <v>&lt;&lt;Select % of Eligible Basis&gt;&gt;</v>
      </c>
      <c r="S282" s="2676"/>
      <c r="T282" s="2676"/>
      <c r="U282" s="1711"/>
      <c r="V282" s="2598"/>
      <c r="W282" s="2599"/>
      <c r="X282" s="2599"/>
      <c r="Y282" s="1711"/>
      <c r="Z282" s="1711"/>
      <c r="AA282" s="1711"/>
      <c r="AB282" s="1711"/>
      <c r="AC282" s="1711"/>
      <c r="AD282" s="1711"/>
      <c r="AE282" s="1711"/>
      <c r="AF282" s="1711"/>
      <c r="AG282" s="1711"/>
      <c r="AH282" s="1711"/>
      <c r="AI282" s="1711"/>
    </row>
    <row r="283" spans="1:35" ht="13">
      <c r="A283" s="1711"/>
      <c r="B283" s="1711" t="s">
        <v>1890</v>
      </c>
      <c r="C283" s="1711"/>
      <c r="D283" s="1711"/>
      <c r="E283" s="1711"/>
      <c r="F283" s="1711"/>
      <c r="G283" s="1711"/>
      <c r="H283" s="1711"/>
      <c r="I283" s="1711"/>
      <c r="J283" s="2579">
        <f>J281*J282</f>
        <v>0</v>
      </c>
      <c r="K283" s="2579"/>
      <c r="L283" s="1711"/>
      <c r="M283" s="2579">
        <f>M281*M282</f>
        <v>12825568.843489297</v>
      </c>
      <c r="N283" s="2579"/>
      <c r="O283" s="1711"/>
      <c r="P283" s="2579">
        <f>P281*P282</f>
        <v>24136441.790800344</v>
      </c>
      <c r="Q283" s="2579"/>
      <c r="R283" s="1711"/>
      <c r="S283" s="1711"/>
      <c r="T283" s="1711"/>
      <c r="U283" s="1711"/>
      <c r="V283" s="2598"/>
      <c r="W283" s="2599"/>
      <c r="X283" s="2599"/>
      <c r="Y283" s="1711"/>
      <c r="Z283" s="1711"/>
      <c r="AA283" s="1711"/>
      <c r="AB283" s="1711"/>
      <c r="AC283" s="1711"/>
      <c r="AD283" s="1711"/>
      <c r="AE283" s="1711"/>
      <c r="AF283" s="1711"/>
      <c r="AG283" s="1711"/>
      <c r="AH283" s="1711"/>
      <c r="AI283" s="1711"/>
    </row>
    <row r="284" spans="1:35" ht="13">
      <c r="A284" s="1711"/>
      <c r="B284" s="1711" t="s">
        <v>1891</v>
      </c>
      <c r="C284" s="1711"/>
      <c r="D284" s="1711"/>
      <c r="E284" s="1711"/>
      <c r="F284" s="1711"/>
      <c r="G284" s="1711"/>
      <c r="H284" s="1711"/>
      <c r="I284" s="1711"/>
      <c r="J284" s="2674">
        <f>'Part III-A-Uses of Funds'!J170</f>
        <v>0.04</v>
      </c>
      <c r="K284" s="2674"/>
      <c r="L284" s="1711"/>
      <c r="M284" s="2674">
        <f>'Part III-A-Uses of Funds'!M170</f>
        <v>0.04</v>
      </c>
      <c r="N284" s="2674"/>
      <c r="O284" s="1711"/>
      <c r="P284" s="2674">
        <f>'Part III-A-Uses of Funds'!P170</f>
        <v>0.04</v>
      </c>
      <c r="Q284" s="2674"/>
      <c r="R284" s="1711"/>
      <c r="S284" s="1711"/>
      <c r="T284" s="1711"/>
      <c r="U284" s="1711"/>
      <c r="V284" s="2598"/>
      <c r="W284" s="2599"/>
      <c r="X284" s="2599"/>
      <c r="Y284" s="1711"/>
      <c r="Z284" s="1711"/>
      <c r="AA284" s="1711"/>
      <c r="AB284" s="1711"/>
      <c r="AC284" s="1711"/>
      <c r="AD284" s="1711"/>
      <c r="AE284" s="1711"/>
      <c r="AF284" s="1711"/>
      <c r="AG284" s="1711"/>
      <c r="AH284" s="1711"/>
      <c r="AI284" s="1711"/>
    </row>
    <row r="285" spans="1:35" ht="13">
      <c r="A285" s="1711"/>
      <c r="B285" s="1711" t="s">
        <v>2334</v>
      </c>
      <c r="C285" s="1711"/>
      <c r="D285" s="1711"/>
      <c r="E285" s="1711"/>
      <c r="F285" s="1711"/>
      <c r="G285" s="1711"/>
      <c r="H285" s="1711"/>
      <c r="I285" s="1711"/>
      <c r="J285" s="2579">
        <f>J283*J284</f>
        <v>0</v>
      </c>
      <c r="K285" s="2579"/>
      <c r="L285" s="1711"/>
      <c r="M285" s="2579">
        <f>M283*M284</f>
        <v>513022.7537395719</v>
      </c>
      <c r="N285" s="2579"/>
      <c r="O285" s="1711"/>
      <c r="P285" s="2579">
        <f>P283*P284</f>
        <v>965457.67163201375</v>
      </c>
      <c r="Q285" s="2579"/>
      <c r="R285" s="1711"/>
      <c r="S285" s="1711"/>
      <c r="T285" s="1711"/>
      <c r="U285" s="1711"/>
      <c r="V285" s="2598"/>
      <c r="W285" s="2599"/>
      <c r="X285" s="2599"/>
      <c r="Y285" s="1711"/>
      <c r="Z285" s="1711"/>
      <c r="AA285" s="1711"/>
      <c r="AB285" s="1711"/>
      <c r="AC285" s="1711"/>
      <c r="AD285" s="1711"/>
      <c r="AE285" s="1711"/>
      <c r="AF285" s="1711"/>
      <c r="AG285" s="1711"/>
      <c r="AH285" s="1711"/>
      <c r="AI285" s="1711"/>
    </row>
    <row r="286" spans="1:35" ht="13">
      <c r="A286" s="1711"/>
      <c r="B286" s="2545" t="s">
        <v>1337</v>
      </c>
      <c r="C286" s="1711"/>
      <c r="D286" s="1711"/>
      <c r="E286" s="1711"/>
      <c r="F286" s="1711"/>
      <c r="G286" s="1711"/>
      <c r="H286" s="1711"/>
      <c r="I286" s="1711"/>
      <c r="J286" s="2578">
        <f>ROUNDDOWN(J285+M285+P285,0)</f>
        <v>1478480</v>
      </c>
      <c r="K286" s="2578"/>
      <c r="L286" s="2578"/>
      <c r="M286" s="2578"/>
      <c r="N286" s="2578"/>
      <c r="O286" s="2578"/>
      <c r="P286" s="2578"/>
      <c r="Q286" s="2578"/>
      <c r="R286" s="1711"/>
      <c r="S286" s="1711"/>
      <c r="T286" s="1711"/>
      <c r="U286" s="1711"/>
      <c r="V286" s="2598"/>
      <c r="W286" s="2650"/>
      <c r="X286" s="2650"/>
      <c r="Y286" s="1711"/>
      <c r="Z286" s="1711"/>
      <c r="AA286" s="1711"/>
      <c r="AB286" s="1711"/>
      <c r="AC286" s="1711"/>
      <c r="AD286" s="1711"/>
      <c r="AE286" s="1711"/>
      <c r="AF286" s="1711"/>
      <c r="AG286" s="1711"/>
      <c r="AH286" s="1711"/>
      <c r="AI286" s="1711"/>
    </row>
    <row r="287" spans="1:35" ht="13">
      <c r="A287" s="1711"/>
      <c r="B287" s="2677"/>
      <c r="C287" s="1711"/>
      <c r="D287" s="1711"/>
      <c r="E287" s="1711"/>
      <c r="F287" s="1711"/>
      <c r="G287" s="1711"/>
      <c r="H287" s="1711"/>
      <c r="I287" s="1711"/>
      <c r="J287" s="1711"/>
      <c r="K287" s="1711"/>
      <c r="L287" s="2584"/>
      <c r="M287" s="2584"/>
      <c r="N287" s="2584"/>
      <c r="O287" s="2584"/>
      <c r="P287" s="1711"/>
      <c r="Q287" s="1711"/>
      <c r="R287" s="1711"/>
      <c r="S287" s="1711"/>
      <c r="T287" s="1711"/>
      <c r="U287" s="1711"/>
      <c r="V287" s="2598"/>
      <c r="W287" s="1711"/>
      <c r="X287" s="1711"/>
      <c r="Y287" s="1711"/>
      <c r="Z287" s="1711"/>
      <c r="AA287" s="1711"/>
      <c r="AB287" s="1711"/>
      <c r="AC287" s="1711"/>
      <c r="AD287" s="1711"/>
      <c r="AE287" s="1711"/>
      <c r="AF287" s="1711"/>
      <c r="AG287" s="1711"/>
      <c r="AH287" s="1711"/>
      <c r="AI287" s="1711"/>
    </row>
    <row r="288" spans="1:35" ht="14">
      <c r="A288" s="2597" t="s">
        <v>690</v>
      </c>
      <c r="B288" s="2597" t="s">
        <v>1340</v>
      </c>
      <c r="C288" s="1711"/>
      <c r="D288" s="1711"/>
      <c r="E288" s="1711"/>
      <c r="F288" s="1711"/>
      <c r="G288" s="1711"/>
      <c r="H288" s="2663"/>
      <c r="I288" s="2663"/>
      <c r="J288" s="1711"/>
      <c r="K288" s="1711"/>
      <c r="L288" s="1711"/>
      <c r="M288" s="2678"/>
      <c r="N288" s="1711"/>
      <c r="O288" s="1711"/>
      <c r="P288" s="1711"/>
      <c r="Q288" s="1711"/>
      <c r="R288" s="1711"/>
      <c r="S288" s="1711"/>
      <c r="T288" s="1711"/>
      <c r="U288" s="1711"/>
      <c r="V288" s="2598"/>
      <c r="W288" s="1711"/>
      <c r="X288" s="1711"/>
      <c r="Y288" s="1711"/>
      <c r="Z288" s="1711"/>
      <c r="AA288" s="1711"/>
      <c r="AB288" s="1711"/>
      <c r="AC288" s="1711"/>
      <c r="AD288" s="1711"/>
      <c r="AE288" s="1711"/>
      <c r="AF288" s="1711"/>
      <c r="AG288" s="1711"/>
      <c r="AH288" s="1711"/>
      <c r="AI288" s="1711"/>
    </row>
    <row r="289" spans="1:35" ht="13">
      <c r="A289" s="1711"/>
      <c r="B289" s="1711"/>
      <c r="C289" s="1711"/>
      <c r="D289" s="1711"/>
      <c r="E289" s="1711"/>
      <c r="F289" s="1711"/>
      <c r="G289" s="1711"/>
      <c r="H289" s="2663"/>
      <c r="I289" s="2663"/>
      <c r="J289" s="1711"/>
      <c r="K289" s="1711"/>
      <c r="L289" s="1711"/>
      <c r="M289" s="2678"/>
      <c r="N289" s="1711"/>
      <c r="O289" s="2546"/>
      <c r="P289" s="2546"/>
      <c r="Q289" s="2546"/>
      <c r="R289" s="2546"/>
      <c r="S289" s="2546"/>
      <c r="T289" s="2546"/>
      <c r="U289" s="2546"/>
      <c r="V289" s="2546"/>
      <c r="W289" s="1711"/>
      <c r="X289" s="1711"/>
      <c r="Y289" s="1711"/>
      <c r="Z289" s="1711"/>
      <c r="AA289" s="1711"/>
      <c r="AB289" s="1711"/>
      <c r="AC289" s="1711"/>
      <c r="AD289" s="1711"/>
      <c r="AE289" s="1711"/>
      <c r="AF289" s="1711"/>
      <c r="AG289" s="1711"/>
      <c r="AH289" s="1711"/>
      <c r="AI289" s="1711"/>
    </row>
    <row r="290" spans="1:35" ht="14">
      <c r="A290" s="1711"/>
      <c r="B290" s="2545"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598"/>
      <c r="W290" s="2597"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5131</v>
      </c>
      <c r="C291" s="1711"/>
      <c r="D291" s="1711"/>
      <c r="E291" s="1711"/>
      <c r="F291" s="1711"/>
      <c r="G291" s="1711"/>
      <c r="H291" s="1711"/>
      <c r="I291" s="1711"/>
      <c r="J291" s="2579">
        <f>G261</f>
        <v>38555004</v>
      </c>
      <c r="K291" s="2579"/>
      <c r="L291" s="2579"/>
      <c r="M291" s="1711"/>
      <c r="N291" s="2673" t="s">
        <v>4600</v>
      </c>
      <c r="O291" s="2673"/>
      <c r="P291" s="2673"/>
      <c r="Q291" s="2673"/>
      <c r="R291" s="1711"/>
      <c r="S291" s="2550" t="s">
        <v>3104</v>
      </c>
      <c r="T291" s="2550"/>
      <c r="U291" s="1711"/>
      <c r="V291" s="2598"/>
      <c r="W291" s="2599"/>
      <c r="X291" s="2599"/>
      <c r="Y291" s="1711"/>
      <c r="Z291" s="1711"/>
      <c r="AA291" s="1711"/>
      <c r="AB291" s="1711"/>
      <c r="AC291" s="1711"/>
      <c r="AD291" s="1711"/>
      <c r="AE291" s="1711"/>
      <c r="AF291" s="1711"/>
      <c r="AG291" s="1711"/>
      <c r="AH291" s="1711"/>
      <c r="AI291" s="1711"/>
    </row>
    <row r="292" spans="1:35" ht="13">
      <c r="A292" s="1711"/>
      <c r="B292" s="1711" t="s">
        <v>252</v>
      </c>
      <c r="C292" s="1711"/>
      <c r="D292" s="1711"/>
      <c r="E292" s="1711"/>
      <c r="F292" s="1711"/>
      <c r="G292" s="1711"/>
      <c r="H292" s="1711"/>
      <c r="I292" s="1711"/>
      <c r="J292" s="2579">
        <f>'Part II-Sources of Funds'!$I$62-'Part II-Sources of Funds'!$I$46-'Part II-Sources of Funds'!$I$47-'Part II-Sources of Funds'!$I$53-'Part II-Sources of Funds'!$I$54</f>
        <v>17503498</v>
      </c>
      <c r="K292" s="2579"/>
      <c r="L292" s="2579"/>
      <c r="M292" s="2673"/>
      <c r="N292" s="2673"/>
      <c r="O292" s="2673"/>
      <c r="P292" s="2673"/>
      <c r="Q292" s="2673"/>
      <c r="R292" s="1711"/>
      <c r="S292" s="2550"/>
      <c r="T292" s="2550"/>
      <c r="U292" s="1711"/>
      <c r="V292" s="2598"/>
      <c r="W292" s="2599"/>
      <c r="X292" s="2599"/>
      <c r="Y292" s="1711"/>
      <c r="Z292" s="1711"/>
      <c r="AA292" s="1711"/>
      <c r="AB292" s="1711"/>
      <c r="AC292" s="1711"/>
      <c r="AD292" s="1711"/>
      <c r="AE292" s="1711"/>
      <c r="AF292" s="1711"/>
      <c r="AG292" s="1711"/>
      <c r="AH292" s="1711"/>
      <c r="AI292" s="1711"/>
    </row>
    <row r="293" spans="1:35" ht="13">
      <c r="A293" s="1711"/>
      <c r="B293" s="1711" t="s">
        <v>2059</v>
      </c>
      <c r="C293" s="1711"/>
      <c r="D293" s="1711"/>
      <c r="E293" s="1711"/>
      <c r="F293" s="1711"/>
      <c r="G293" s="1711"/>
      <c r="H293" s="1711"/>
      <c r="I293" s="1711"/>
      <c r="J293" s="2579">
        <f>+J291-J292</f>
        <v>21051506</v>
      </c>
      <c r="K293" s="2579"/>
      <c r="L293" s="2579"/>
      <c r="M293" s="2673"/>
      <c r="N293" s="2673"/>
      <c r="O293" s="2673"/>
      <c r="P293" s="2673"/>
      <c r="Q293" s="2673"/>
      <c r="R293" s="1711"/>
      <c r="S293" s="2550"/>
      <c r="T293" s="2550"/>
      <c r="U293" s="1711"/>
      <c r="V293" s="2598"/>
      <c r="W293" s="2599"/>
      <c r="X293" s="2599"/>
      <c r="Y293" s="1711"/>
      <c r="Z293" s="1711"/>
      <c r="AA293" s="1711"/>
      <c r="AB293" s="1711"/>
      <c r="AC293" s="1711"/>
      <c r="AD293" s="1711"/>
      <c r="AE293" s="1711"/>
      <c r="AF293" s="1711"/>
      <c r="AG293" s="1711"/>
      <c r="AH293" s="1711"/>
      <c r="AI293" s="1711"/>
    </row>
    <row r="294" spans="1:35" ht="13">
      <c r="A294" s="1711"/>
      <c r="B294" s="1711" t="s">
        <v>1207</v>
      </c>
      <c r="C294" s="1711"/>
      <c r="D294" s="1711"/>
      <c r="E294" s="1711"/>
      <c r="F294" s="1711"/>
      <c r="G294" s="1711"/>
      <c r="H294" s="1711"/>
      <c r="I294" s="1711"/>
      <c r="J294" s="1711" t="str">
        <f>"/ 10"</f>
        <v>/ 10</v>
      </c>
      <c r="K294" s="1711"/>
      <c r="L294" s="1711"/>
      <c r="M294" s="2410"/>
      <c r="N294" s="2679">
        <f>'Part II-Sources of Funds'!$I$46</f>
        <v>0</v>
      </c>
      <c r="O294" s="2679"/>
      <c r="P294" s="2679"/>
      <c r="Q294" s="2679"/>
      <c r="R294" s="1711"/>
      <c r="S294" s="2571" t="s">
        <v>1546</v>
      </c>
      <c r="T294" s="2680" t="str">
        <f>'Part III-A-Uses of Funds'!T180</f>
        <v>Yes</v>
      </c>
      <c r="U294" s="1711"/>
      <c r="V294" s="2598"/>
      <c r="W294" s="2599"/>
      <c r="X294" s="2599"/>
      <c r="Y294" s="1711"/>
      <c r="Z294" s="1711"/>
      <c r="AA294" s="1711"/>
      <c r="AB294" s="1711"/>
      <c r="AC294" s="1711"/>
      <c r="AD294" s="1711"/>
      <c r="AE294" s="1711"/>
      <c r="AF294" s="1711"/>
      <c r="AG294" s="1711"/>
      <c r="AH294" s="1711"/>
      <c r="AI294" s="1711"/>
    </row>
    <row r="295" spans="1:35" ht="13">
      <c r="A295" s="1711"/>
      <c r="B295" s="1711" t="s">
        <v>1208</v>
      </c>
      <c r="C295" s="1711"/>
      <c r="D295" s="1711"/>
      <c r="E295" s="1711"/>
      <c r="F295" s="1711"/>
      <c r="G295" s="1711"/>
      <c r="H295" s="1711"/>
      <c r="I295" s="1711"/>
      <c r="J295" s="2579">
        <f>J293/10</f>
        <v>2105150.6</v>
      </c>
      <c r="K295" s="2579"/>
      <c r="L295" s="2579"/>
      <c r="M295" s="1711"/>
      <c r="N295" s="2679"/>
      <c r="O295" s="2679"/>
      <c r="P295" s="2679"/>
      <c r="Q295" s="2679"/>
      <c r="R295" s="2679"/>
      <c r="S295" s="1711"/>
      <c r="T295" s="1711"/>
      <c r="U295" s="1711"/>
      <c r="V295" s="2598"/>
      <c r="W295" s="2599"/>
      <c r="X295" s="2599"/>
      <c r="Y295" s="1711"/>
      <c r="Z295" s="1711"/>
      <c r="AA295" s="1711"/>
      <c r="AB295" s="1711"/>
      <c r="AC295" s="1711"/>
      <c r="AD295" s="1711"/>
      <c r="AE295" s="1711"/>
      <c r="AF295" s="1711"/>
      <c r="AG295" s="1711"/>
      <c r="AH295" s="1711"/>
      <c r="AI295" s="1711"/>
    </row>
    <row r="296" spans="1:35" ht="13">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598"/>
      <c r="W296" s="2599"/>
      <c r="X296" s="2599"/>
      <c r="Y296" s="1711"/>
      <c r="Z296" s="1711" t="s">
        <v>1641</v>
      </c>
      <c r="AA296" s="1711"/>
      <c r="AB296" s="1711"/>
      <c r="AC296" s="1711"/>
      <c r="AD296" s="1711"/>
      <c r="AE296" s="1711"/>
      <c r="AF296" s="1711"/>
      <c r="AG296" s="1711"/>
      <c r="AH296" s="1711"/>
      <c r="AI296" s="1711"/>
    </row>
    <row r="297" spans="1:35" ht="13">
      <c r="A297" s="1711"/>
      <c r="B297" s="1711" t="s">
        <v>5132</v>
      </c>
      <c r="C297" s="1711"/>
      <c r="D297" s="1711"/>
      <c r="E297" s="1711"/>
      <c r="F297" s="1711"/>
      <c r="G297" s="1711"/>
      <c r="H297" s="1711"/>
      <c r="I297" s="1711"/>
      <c r="J297" s="2681">
        <f>N297+Q297</f>
        <v>1.3725000000000001</v>
      </c>
      <c r="K297" s="2681"/>
      <c r="L297" s="2681"/>
      <c r="M297" s="1524" t="s">
        <v>1210</v>
      </c>
      <c r="N297" s="2682">
        <f>'Part III-A-Uses of Funds'!N183</f>
        <v>0.85</v>
      </c>
      <c r="O297" s="2682"/>
      <c r="P297" s="1524" t="s">
        <v>569</v>
      </c>
      <c r="Q297" s="2682">
        <f>'Part III-A-Uses of Funds'!Q183</f>
        <v>0.52249999999999996</v>
      </c>
      <c r="R297" s="2682"/>
      <c r="S297" s="1711"/>
      <c r="T297" s="1711"/>
      <c r="U297" s="1711"/>
      <c r="V297" s="2598"/>
      <c r="W297" s="2599"/>
      <c r="X297" s="2599"/>
      <c r="Y297" s="1711"/>
      <c r="Z297" s="1712">
        <f>'DCA Underwriting Assumptions'!Q249</f>
        <v>0</v>
      </c>
      <c r="AA297" s="1711"/>
      <c r="AB297" s="1711"/>
      <c r="AC297" s="1711"/>
      <c r="AD297" s="1711"/>
      <c r="AE297" s="1711"/>
      <c r="AF297" s="1711"/>
      <c r="AG297" s="1711"/>
      <c r="AH297" s="1711"/>
      <c r="AI297" s="1711"/>
    </row>
    <row r="298" spans="1:35" ht="13">
      <c r="A298" s="1711"/>
      <c r="B298" s="2545" t="s">
        <v>1338</v>
      </c>
      <c r="C298" s="1711"/>
      <c r="D298" s="1711"/>
      <c r="E298" s="1711"/>
      <c r="F298" s="1711"/>
      <c r="G298" s="1711"/>
      <c r="H298" s="1711"/>
      <c r="I298" s="1711"/>
      <c r="J298" s="2578">
        <f>ROUNDDOWN(IF(J297=0,"",J295/J297),0)</f>
        <v>1533807</v>
      </c>
      <c r="K298" s="2578"/>
      <c r="L298" s="2578"/>
      <c r="M298" s="377"/>
      <c r="N298" s="1711"/>
      <c r="O298" s="1711"/>
      <c r="P298" s="1711"/>
      <c r="Q298" s="1711"/>
      <c r="R298" s="1711"/>
      <c r="S298" s="1711"/>
      <c r="T298" s="1711"/>
      <c r="U298" s="1711"/>
      <c r="V298" s="2598"/>
      <c r="W298" s="2599"/>
      <c r="X298" s="2599"/>
      <c r="Y298" s="1711"/>
      <c r="Z298" s="1712">
        <f>'DCA Underwriting Assumptions'!Q250</f>
        <v>0</v>
      </c>
      <c r="AA298" s="1711"/>
      <c r="AB298" s="1711"/>
      <c r="AC298" s="1711"/>
      <c r="AD298" s="1711"/>
      <c r="AE298" s="1711"/>
      <c r="AF298" s="1711"/>
      <c r="AG298" s="1711"/>
      <c r="AH298" s="1711"/>
      <c r="AI298" s="1711"/>
    </row>
    <row r="299" spans="1:35" ht="13">
      <c r="A299" s="1711"/>
      <c r="B299" s="1711"/>
      <c r="C299" s="1711"/>
      <c r="D299" s="1711"/>
      <c r="E299" s="1711"/>
      <c r="F299" s="1711"/>
      <c r="G299" s="1711"/>
      <c r="H299" s="1711"/>
      <c r="I299" s="1711"/>
      <c r="J299" s="2683"/>
      <c r="K299" s="2683"/>
      <c r="L299" s="2683"/>
      <c r="M299" s="377"/>
      <c r="N299" s="1524"/>
      <c r="O299" s="1524"/>
      <c r="P299" s="1711"/>
      <c r="Q299" s="1711"/>
      <c r="R299" s="1711"/>
      <c r="S299" s="1711"/>
      <c r="T299" s="1711"/>
      <c r="U299" s="1711"/>
      <c r="V299" s="2598"/>
      <c r="W299" s="2599"/>
      <c r="X299" s="2599"/>
      <c r="Y299" s="1711"/>
      <c r="Z299" s="1711"/>
      <c r="AA299" s="1711"/>
      <c r="AB299" s="1711"/>
      <c r="AC299" s="1711"/>
      <c r="AD299" s="1711"/>
      <c r="AE299" s="1711"/>
      <c r="AF299" s="1711"/>
      <c r="AG299" s="1711"/>
      <c r="AH299" s="1711"/>
      <c r="AI299" s="1711"/>
    </row>
    <row r="300" spans="1:35" ht="14">
      <c r="A300" s="2597" t="s">
        <v>1661</v>
      </c>
      <c r="B300" s="2597" t="s">
        <v>3807</v>
      </c>
      <c r="C300" s="1711"/>
      <c r="D300" s="1711"/>
      <c r="E300" s="1711"/>
      <c r="F300" s="1711"/>
      <c r="G300" s="1711"/>
      <c r="H300" s="2663"/>
      <c r="I300" s="2663"/>
      <c r="J300" s="1711"/>
      <c r="K300" s="1711"/>
      <c r="L300" s="1711"/>
      <c r="M300" s="1711"/>
      <c r="N300" s="1711"/>
      <c r="O300" s="1711"/>
      <c r="P300" s="1711"/>
      <c r="Q300" s="1711"/>
      <c r="R300" s="1711"/>
      <c r="S300" s="1711"/>
      <c r="T300" s="1711"/>
      <c r="U300" s="1711"/>
      <c r="V300" s="2598"/>
      <c r="W300" s="1711"/>
      <c r="X300" s="1711"/>
      <c r="Y300" s="1711"/>
      <c r="Z300" s="1711"/>
      <c r="AA300" s="1711"/>
      <c r="AB300" s="1711"/>
      <c r="AC300" s="1711"/>
      <c r="AD300" s="1711"/>
      <c r="AE300" s="1711"/>
      <c r="AF300" s="1711"/>
      <c r="AG300" s="1711"/>
      <c r="AH300" s="1711"/>
      <c r="AI300" s="1711"/>
    </row>
    <row r="301" spans="1:35" ht="13">
      <c r="A301" s="1711"/>
      <c r="B301" s="1711"/>
      <c r="C301" s="1711"/>
      <c r="D301" s="1711"/>
      <c r="E301" s="1711"/>
      <c r="F301" s="1711"/>
      <c r="G301" s="1711"/>
      <c r="H301" s="2663"/>
      <c r="I301" s="2663"/>
      <c r="J301" s="1711"/>
      <c r="K301" s="1711"/>
      <c r="L301" s="1711"/>
      <c r="M301" s="1711"/>
      <c r="N301" s="1711"/>
      <c r="O301" s="1711"/>
      <c r="P301" s="1711"/>
      <c r="Q301" s="2610"/>
      <c r="R301" s="2610"/>
      <c r="S301" s="2684"/>
      <c r="T301" s="2684"/>
      <c r="U301" s="2545"/>
      <c r="V301" s="2545"/>
      <c r="W301" s="1711"/>
      <c r="X301" s="1711"/>
      <c r="Y301" s="1711"/>
      <c r="Z301" s="1711"/>
      <c r="AA301" s="1711"/>
      <c r="AB301" s="1711"/>
      <c r="AC301" s="1711"/>
      <c r="AD301" s="1711"/>
      <c r="AE301" s="1711"/>
      <c r="AF301" s="1711"/>
      <c r="AG301" s="1711"/>
      <c r="AH301" s="1711"/>
      <c r="AI301" s="1711"/>
    </row>
    <row r="302" spans="1:35" ht="13">
      <c r="A302" s="1711"/>
      <c r="B302" s="2545" t="s">
        <v>5133</v>
      </c>
      <c r="C302" s="1711"/>
      <c r="D302" s="1711"/>
      <c r="E302" s="1711"/>
      <c r="F302" s="1711"/>
      <c r="G302" s="1711"/>
      <c r="H302" s="1711"/>
      <c r="I302" s="1711"/>
      <c r="J302" s="2578">
        <f>'Part III-A-Uses of Funds'!J188</f>
        <v>1478480</v>
      </c>
      <c r="K302" s="2578"/>
      <c r="L302" s="2578"/>
      <c r="M302" s="1711"/>
      <c r="N302" s="1711"/>
      <c r="O302" s="1711"/>
      <c r="P302" s="1711"/>
      <c r="Q302" s="2550" t="s">
        <v>4141</v>
      </c>
      <c r="R302" s="2550"/>
      <c r="S302" s="2550" t="str">
        <f>'Part VIII Scoring Criteria'!$L$11</f>
        <v>Atlanta Metro</v>
      </c>
      <c r="T302" s="2550"/>
      <c r="U302" s="1524" t="str">
        <f>IF(OR(S302="Atlanta Metro", "Other Metro"), "Metro", IF(S302="Rural","Rural",""))</f>
        <v>Metro</v>
      </c>
      <c r="V302" s="2598"/>
      <c r="W302" s="2599"/>
      <c r="X302" s="2599"/>
      <c r="Y302" s="1711"/>
      <c r="Z302" s="1711"/>
      <c r="AA302" s="1711"/>
      <c r="AB302" s="1711"/>
      <c r="AC302" s="1711"/>
      <c r="AD302" s="1711"/>
      <c r="AE302" s="1711"/>
      <c r="AF302" s="1711"/>
      <c r="AG302" s="1711"/>
      <c r="AH302" s="1711"/>
      <c r="AI302" s="1711"/>
    </row>
    <row r="303" spans="1:35" ht="13">
      <c r="A303" s="1711"/>
      <c r="B303" s="1711"/>
      <c r="C303" s="1711"/>
      <c r="D303" s="1711"/>
      <c r="E303" s="1711"/>
      <c r="F303" s="1711"/>
      <c r="G303" s="1711"/>
      <c r="H303" s="1711"/>
      <c r="I303" s="1711"/>
      <c r="J303" s="2683"/>
      <c r="K303" s="2683"/>
      <c r="L303" s="2683"/>
      <c r="M303" s="377"/>
      <c r="N303" s="1524"/>
      <c r="O303" s="1524"/>
      <c r="P303" s="1711"/>
      <c r="Q303" s="2550"/>
      <c r="R303" s="2550"/>
      <c r="S303" s="2651"/>
      <c r="T303" s="2651"/>
      <c r="U303" s="1711"/>
      <c r="V303" s="2598"/>
      <c r="W303" s="2650"/>
      <c r="X303" s="2650"/>
      <c r="Y303" s="1711"/>
      <c r="Z303" s="1711"/>
      <c r="AA303" s="1711"/>
      <c r="AB303" s="1711"/>
      <c r="AC303" s="1711"/>
      <c r="AD303" s="1711"/>
      <c r="AE303" s="1711"/>
      <c r="AF303" s="1711"/>
      <c r="AG303" s="1711"/>
      <c r="AH303" s="1711"/>
      <c r="AI303" s="1711"/>
    </row>
    <row r="304" spans="1:35" ht="13">
      <c r="A304" s="1711"/>
      <c r="B304" s="2545" t="s">
        <v>5134</v>
      </c>
      <c r="C304" s="1711"/>
      <c r="D304" s="1711"/>
      <c r="E304" s="1711"/>
      <c r="F304" s="1711"/>
      <c r="G304" s="1711"/>
      <c r="H304" s="1711"/>
      <c r="I304" s="1711"/>
      <c r="J304" s="2578">
        <f>'Part III-A-Uses of Funds'!J190</f>
        <v>1478480</v>
      </c>
      <c r="K304" s="2578"/>
      <c r="L304" s="2578"/>
      <c r="M304" s="2685" t="str">
        <f>IF(J302=0,"",IF(J304&gt;J302,"Request can't exceed Maximum - REVISE (Try Round Down)!",""))</f>
        <v/>
      </c>
      <c r="N304" s="2685"/>
      <c r="O304" s="2685"/>
      <c r="P304" s="2685"/>
      <c r="Q304" s="2651" t="s">
        <v>4434</v>
      </c>
      <c r="R304" s="2550"/>
      <c r="S304" s="2550" t="str">
        <f>'Part VIII Scoring Criteria'!$H$11</f>
        <v>Preservation</v>
      </c>
      <c r="T304" s="2550"/>
      <c r="U304" s="1711"/>
      <c r="V304" s="2598"/>
      <c r="W304" s="2599"/>
      <c r="X304" s="2599"/>
      <c r="Y304" s="1711"/>
      <c r="Z304" s="1711"/>
      <c r="AA304" s="1711"/>
      <c r="AB304" s="1711"/>
      <c r="AC304" s="1711"/>
      <c r="AD304" s="1711"/>
      <c r="AE304" s="1711"/>
      <c r="AF304" s="1711"/>
      <c r="AG304" s="1711"/>
      <c r="AH304" s="1711"/>
      <c r="AI304" s="1711"/>
    </row>
    <row r="305" spans="1:35" ht="13">
      <c r="A305" s="1711"/>
      <c r="B305" s="1711"/>
      <c r="C305" s="1711"/>
      <c r="D305" s="1711"/>
      <c r="E305" s="1711"/>
      <c r="F305" s="1711"/>
      <c r="G305" s="1711"/>
      <c r="H305" s="1711"/>
      <c r="I305" s="1711"/>
      <c r="J305" s="2683"/>
      <c r="K305" s="2683"/>
      <c r="L305" s="2683"/>
      <c r="M305" s="2685"/>
      <c r="N305" s="2685"/>
      <c r="O305" s="2685"/>
      <c r="P305" s="2685"/>
      <c r="Q305" s="2550"/>
      <c r="R305" s="2550"/>
      <c r="S305" s="2651"/>
      <c r="T305" s="2651"/>
      <c r="U305" s="1711"/>
      <c r="V305" s="2598"/>
      <c r="W305" s="2650"/>
      <c r="X305" s="2650"/>
      <c r="Y305" s="1711"/>
      <c r="Z305" s="1711"/>
      <c r="AA305" s="1711"/>
      <c r="AB305" s="1711"/>
      <c r="AC305" s="1711"/>
      <c r="AD305" s="1711"/>
      <c r="AE305" s="1711"/>
      <c r="AF305" s="1711"/>
      <c r="AG305" s="1711"/>
      <c r="AH305" s="1711"/>
      <c r="AI305" s="1711"/>
    </row>
    <row r="306" spans="1:35" ht="14">
      <c r="A306" s="2597"/>
      <c r="B306" s="2597" t="s">
        <v>5135</v>
      </c>
      <c r="C306" s="1711"/>
      <c r="D306" s="377"/>
      <c r="E306" s="377"/>
      <c r="F306" s="2551"/>
      <c r="G306" s="1711"/>
      <c r="H306" s="1711"/>
      <c r="I306" s="1711"/>
      <c r="J306" s="2578">
        <f>IF(J304="",0,+MIN(J302,J304))</f>
        <v>1478480</v>
      </c>
      <c r="K306" s="2578"/>
      <c r="L306" s="2578"/>
      <c r="M306" s="2685"/>
      <c r="N306" s="2685"/>
      <c r="O306" s="2685"/>
      <c r="P306" s="2685"/>
      <c r="Q306" s="402" t="s">
        <v>3799</v>
      </c>
      <c r="R306" s="402"/>
      <c r="S306" s="25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2550"/>
      <c r="U306" s="1711"/>
      <c r="V306" s="2598"/>
      <c r="W306" s="2599"/>
      <c r="X306" s="2599"/>
      <c r="Y306" s="1711"/>
      <c r="Z306" s="1711"/>
      <c r="AA306" s="1711"/>
      <c r="AB306" s="1711"/>
      <c r="AC306" s="1711"/>
      <c r="AD306" s="1711"/>
      <c r="AE306" s="1711"/>
      <c r="AF306" s="1711"/>
      <c r="AG306" s="1711"/>
      <c r="AH306" s="1711"/>
      <c r="AI306" s="1711"/>
    </row>
    <row r="307" spans="1:35" ht="13">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
      <c r="A309" s="2545" t="s">
        <v>1663</v>
      </c>
      <c r="B309" s="376" t="s">
        <v>529</v>
      </c>
      <c r="C309" s="377"/>
      <c r="D309" s="377"/>
      <c r="E309" s="377"/>
      <c r="F309" s="377"/>
      <c r="G309" s="377"/>
      <c r="H309" s="377"/>
      <c r="I309" s="377"/>
      <c r="J309" s="377"/>
      <c r="K309" s="377"/>
      <c r="L309" s="377"/>
      <c r="M309" s="377"/>
      <c r="N309" s="2545" t="s">
        <v>495</v>
      </c>
      <c r="O309" s="2545"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571" t="str">
        <f>'Part III-A-Uses of Funds'!A196</f>
        <v xml:space="preserve">Construction Hard costs were determined through data collected from PNA and site staff observations to create a work scope and priced by Varium Construction Group, please see GC pricing in Folder 08 Readiness.
Historic Designation Consultant: Ryan LLC is the historic tax credit advisor for this project, however, they are not a member of the project team. </v>
      </c>
      <c r="B310" s="2571"/>
      <c r="C310" s="2571"/>
      <c r="D310" s="2571"/>
      <c r="E310" s="2571"/>
      <c r="F310" s="2571"/>
      <c r="G310" s="2571"/>
      <c r="H310" s="2571"/>
      <c r="I310" s="2571"/>
      <c r="J310" s="2571"/>
      <c r="K310" s="2571"/>
      <c r="L310" s="2571"/>
      <c r="M310" s="2571"/>
      <c r="N310" s="2571"/>
      <c r="O310" s="2571"/>
      <c r="P310" s="2571"/>
      <c r="Q310" s="2571"/>
      <c r="R310" s="2571"/>
      <c r="S310" s="2571"/>
      <c r="T310" s="2571"/>
      <c r="U310" s="377"/>
      <c r="V310" s="2686"/>
      <c r="W310" s="2687" t="s">
        <v>2445</v>
      </c>
      <c r="X310" s="2687"/>
      <c r="Y310" s="377"/>
      <c r="Z310" s="377"/>
      <c r="AA310" s="377"/>
      <c r="AB310" s="377"/>
      <c r="AC310" s="377"/>
      <c r="AD310" s="377"/>
      <c r="AE310" s="377"/>
      <c r="AF310" s="377"/>
      <c r="AG310" s="377"/>
      <c r="AH310" s="377"/>
      <c r="AI310" s="377"/>
    </row>
    <row r="315" spans="1:35" ht="15.5">
      <c r="A315" s="2688" t="str">
        <f>CONCATENATE("PART THREE (B) -  OTHER COSTS","  -  ",'Part I-Project Identification'!$O$7," - ",'Part I-Project Identification'!$F$26,"  -  ",'Part I-Project Identification'!$F$27,"  -  ",'Part I-Project Identification'!$J$27,",  ","County")</f>
        <v>PART THREE (B) -  OTHER COSTS  -  2025-5 - Princeton Court  -  College Park  -  Fulton,  County</v>
      </c>
      <c r="B315" s="2688"/>
      <c r="C315" s="2688"/>
      <c r="D315" s="2688"/>
      <c r="E315" s="2688"/>
      <c r="F315" s="2688"/>
      <c r="G315" s="2688"/>
      <c r="H315" s="2688"/>
    </row>
    <row r="316" spans="1:35">
      <c r="A316" s="2689"/>
      <c r="B316" s="2689"/>
      <c r="C316" s="2689"/>
      <c r="D316" s="2689"/>
      <c r="E316" s="2689"/>
      <c r="F316" s="2689"/>
      <c r="G316" s="2689"/>
      <c r="H316" s="2689"/>
    </row>
    <row r="317" spans="1:35" ht="14.25" customHeight="1">
      <c r="A317" s="2690" t="s">
        <v>3131</v>
      </c>
      <c r="B317" s="2690"/>
      <c r="C317" s="2690"/>
      <c r="D317" s="2690"/>
      <c r="E317" s="2690"/>
      <c r="F317" s="2690"/>
      <c r="G317" s="2690"/>
      <c r="H317" s="2690"/>
    </row>
    <row r="318" spans="1:35">
      <c r="A318" s="2689"/>
      <c r="B318" s="2689"/>
      <c r="C318" s="2689"/>
      <c r="D318" s="2689"/>
      <c r="E318" s="2689"/>
      <c r="F318" s="2689"/>
      <c r="G318" s="2689"/>
      <c r="H318" s="2689"/>
    </row>
    <row r="319" spans="1:35" ht="90" customHeight="1">
      <c r="A319" s="2691" t="s">
        <v>5136</v>
      </c>
      <c r="B319" s="2691"/>
      <c r="C319" s="2691"/>
      <c r="D319" s="2691"/>
      <c r="E319" s="2689"/>
      <c r="F319" s="2692" t="s">
        <v>3123</v>
      </c>
      <c r="G319" s="2693"/>
      <c r="H319" s="2692" t="s">
        <v>3124</v>
      </c>
    </row>
    <row r="320" spans="1:35">
      <c r="A320" s="2693"/>
      <c r="B320" s="2693"/>
      <c r="C320" s="2693"/>
      <c r="D320" s="2693"/>
      <c r="E320" s="2689"/>
      <c r="F320" s="2689"/>
      <c r="G320" s="2689"/>
      <c r="H320" s="2689"/>
    </row>
    <row r="321" spans="1:8">
      <c r="A321" s="2694"/>
      <c r="B321" s="2694"/>
      <c r="C321" s="2694"/>
      <c r="D321" s="2694"/>
      <c r="E321" s="2694"/>
      <c r="F321" s="2694"/>
      <c r="G321" s="2694"/>
      <c r="H321" s="2695"/>
    </row>
    <row r="322" spans="1:8" ht="13">
      <c r="A322" s="2696" t="s">
        <v>96</v>
      </c>
      <c r="B322" s="2697"/>
      <c r="C322" s="2697"/>
      <c r="D322" s="2697"/>
      <c r="E322" s="2697"/>
      <c r="F322" s="2697"/>
      <c r="G322" s="2697"/>
      <c r="H322" s="2697"/>
    </row>
    <row r="323" spans="1:8" ht="13.5" customHeight="1">
      <c r="A323" s="2698" t="str">
        <f>'Part III-A-Uses of Funds'!$C$15</f>
        <v>Property Needs Assessment</v>
      </c>
      <c r="B323" s="2698"/>
      <c r="C323" s="2698"/>
      <c r="D323" s="2698"/>
      <c r="E323" s="2695"/>
      <c r="F323" s="2699" t="str">
        <f>'Part III-B-Other Items'!F9</f>
        <v xml:space="preserve">Property Needs Assessment is required for preservation projects. </v>
      </c>
      <c r="G323" s="2697"/>
      <c r="H323" s="2699" t="str">
        <f>'Part III-B-Other Items'!H9</f>
        <v xml:space="preserve">Property Needs Assessment is required for preservation projects. </v>
      </c>
    </row>
    <row r="324" spans="1:8">
      <c r="A324" s="2698"/>
      <c r="B324" s="2698"/>
      <c r="C324" s="2698"/>
      <c r="D324" s="2698"/>
      <c r="E324" s="2695"/>
      <c r="F324" s="2699"/>
      <c r="G324" s="2697"/>
      <c r="H324" s="2699"/>
    </row>
    <row r="325" spans="1:8">
      <c r="A325" s="2695"/>
      <c r="B325" s="2695"/>
      <c r="C325" s="2695"/>
      <c r="D325" s="2695"/>
      <c r="E325" s="2695"/>
      <c r="F325" s="2699"/>
      <c r="G325" s="2697"/>
      <c r="H325" s="2699"/>
    </row>
    <row r="326" spans="1:8">
      <c r="A326" s="2700" t="s">
        <v>3126</v>
      </c>
      <c r="B326" s="2701">
        <f>'Part III-A-Uses of Funds'!$G$15</f>
        <v>25950</v>
      </c>
      <c r="C326" s="2700" t="s">
        <v>1660</v>
      </c>
      <c r="D326" s="2701">
        <f>'Part III-A-Uses of Funds'!$J$15+'Part III-A-Uses of Funds'!$M$15+'Part III-A-Uses of Funds'!$P$15</f>
        <v>25950</v>
      </c>
      <c r="E326" s="2695"/>
      <c r="F326" s="2699"/>
      <c r="G326" s="2697"/>
      <c r="H326" s="2699"/>
    </row>
    <row r="327" spans="1:8">
      <c r="A327" s="2697"/>
      <c r="B327" s="2702"/>
      <c r="C327" s="2697"/>
      <c r="D327" s="2697"/>
      <c r="E327" s="2695"/>
      <c r="F327" s="2699"/>
      <c r="G327" s="2703"/>
      <c r="H327" s="2699"/>
    </row>
    <row r="328" spans="1:8" ht="13.5" customHeight="1">
      <c r="A328" s="2698" t="str">
        <f>'Part III-A-Uses of Funds'!$C$16</f>
        <v>&lt;&lt; Enter description here; provide detail &amp; justification in tab Part III-b &gt;&gt;</v>
      </c>
      <c r="B328" s="2698"/>
      <c r="C328" s="2698"/>
      <c r="D328" s="2698"/>
      <c r="E328" s="2695"/>
      <c r="F328" s="2699">
        <f>'Part III-B-Other Items'!F14</f>
        <v>0</v>
      </c>
      <c r="G328" s="2697"/>
      <c r="H328" s="2699">
        <f>'Part III-B-Other Items'!H14</f>
        <v>0</v>
      </c>
    </row>
    <row r="329" spans="1:8">
      <c r="A329" s="2698"/>
      <c r="B329" s="2698"/>
      <c r="C329" s="2698"/>
      <c r="D329" s="2698"/>
      <c r="E329" s="2695"/>
      <c r="F329" s="2699"/>
      <c r="G329" s="2697"/>
      <c r="H329" s="2699"/>
    </row>
    <row r="330" spans="1:8">
      <c r="A330" s="2695"/>
      <c r="B330" s="2695"/>
      <c r="C330" s="2695"/>
      <c r="D330" s="2695"/>
      <c r="E330" s="2695"/>
      <c r="F330" s="2699"/>
      <c r="G330" s="2697"/>
      <c r="H330" s="2699"/>
    </row>
    <row r="331" spans="1:8">
      <c r="A331" s="2700" t="s">
        <v>3126</v>
      </c>
      <c r="B331" s="2701">
        <f>'Part III-A-Uses of Funds'!$G$16</f>
        <v>0</v>
      </c>
      <c r="C331" s="2700" t="s">
        <v>1660</v>
      </c>
      <c r="D331" s="2701">
        <f>'Part III-A-Uses of Funds'!$J$16+'Part III-A-Uses of Funds'!$M$16+'Part III-A-Uses of Funds'!$P$16</f>
        <v>0</v>
      </c>
      <c r="E331" s="2695"/>
      <c r="F331" s="2699"/>
      <c r="G331" s="2697"/>
      <c r="H331" s="2699"/>
    </row>
    <row r="332" spans="1:8">
      <c r="A332" s="2697"/>
      <c r="B332" s="2702"/>
      <c r="C332" s="2697"/>
      <c r="D332" s="2697"/>
      <c r="E332" s="2695"/>
      <c r="F332" s="2699"/>
      <c r="G332" s="2703"/>
      <c r="H332" s="2699"/>
    </row>
    <row r="333" spans="1:8" ht="13.5" customHeight="1">
      <c r="A333" s="2698" t="str">
        <f>'Part III-A-Uses of Funds'!$C$17</f>
        <v>&lt;&lt; Enter description here; provide detail &amp; justification in tab Part III-b &gt;&gt;</v>
      </c>
      <c r="B333" s="2698"/>
      <c r="C333" s="2698"/>
      <c r="D333" s="2698"/>
      <c r="E333" s="2695"/>
      <c r="F333" s="2699">
        <f>'Part III-B-Other Items'!F19</f>
        <v>0</v>
      </c>
      <c r="G333" s="2697"/>
      <c r="H333" s="2699">
        <f>'Part III-B-Other Items'!H19</f>
        <v>0</v>
      </c>
    </row>
    <row r="334" spans="1:8">
      <c r="A334" s="2698"/>
      <c r="B334" s="2698"/>
      <c r="C334" s="2698"/>
      <c r="D334" s="2698"/>
      <c r="E334" s="2695"/>
      <c r="F334" s="2699"/>
      <c r="G334" s="2697"/>
      <c r="H334" s="2699"/>
    </row>
    <row r="335" spans="1:8">
      <c r="A335" s="2695"/>
      <c r="B335" s="2695"/>
      <c r="C335" s="2695"/>
      <c r="D335" s="2695"/>
      <c r="E335" s="2695"/>
      <c r="F335" s="2699"/>
      <c r="G335" s="2697"/>
      <c r="H335" s="2699"/>
    </row>
    <row r="336" spans="1:8">
      <c r="A336" s="2700" t="s">
        <v>3126</v>
      </c>
      <c r="B336" s="2701">
        <f>'Part III-A-Uses of Funds'!$G$17</f>
        <v>0</v>
      </c>
      <c r="C336" s="2700" t="s">
        <v>1660</v>
      </c>
      <c r="D336" s="2701">
        <f>'Part III-A-Uses of Funds'!$J$17+'Part III-A-Uses of Funds'!$M$17+'Part III-A-Uses of Funds'!$P$17</f>
        <v>0</v>
      </c>
      <c r="E336" s="2695"/>
      <c r="F336" s="2699"/>
      <c r="G336" s="2697"/>
      <c r="H336" s="2699"/>
    </row>
    <row r="337" spans="1:8">
      <c r="A337" s="2697"/>
      <c r="B337" s="2702"/>
      <c r="C337" s="2697"/>
      <c r="D337" s="2697"/>
      <c r="E337" s="2695"/>
      <c r="F337" s="2699"/>
      <c r="G337" s="2703"/>
      <c r="H337" s="2699"/>
    </row>
    <row r="338" spans="1:8" ht="13">
      <c r="A338" s="2696" t="s">
        <v>3125</v>
      </c>
      <c r="B338" s="2697"/>
      <c r="C338" s="2697"/>
      <c r="D338" s="2697"/>
      <c r="E338" s="2697"/>
      <c r="F338" s="2697"/>
      <c r="G338" s="2697"/>
      <c r="H338" s="2695"/>
    </row>
    <row r="339" spans="1:8" ht="12.75" customHeight="1">
      <c r="A339" s="2698" t="str">
        <f>'Part III-A-Uses of Funds'!$C$46</f>
        <v>&lt;&lt; Enter description here; provide detail &amp; justification in tab Part III-b &gt;&gt;</v>
      </c>
      <c r="B339" s="2698"/>
      <c r="C339" s="2698"/>
      <c r="D339" s="2698"/>
      <c r="E339" s="2697"/>
      <c r="F339" s="2699">
        <f>'Part III-B-Other Items'!F25</f>
        <v>0</v>
      </c>
      <c r="G339" s="2697"/>
      <c r="H339" s="2699">
        <f>'Part III-B-Other Items'!H25</f>
        <v>0</v>
      </c>
    </row>
    <row r="340" spans="1:8" ht="12.75" customHeight="1">
      <c r="A340" s="2698"/>
      <c r="B340" s="2698"/>
      <c r="C340" s="2698"/>
      <c r="D340" s="2698"/>
      <c r="E340" s="2697"/>
      <c r="F340" s="2699"/>
      <c r="G340" s="2697"/>
      <c r="H340" s="2699"/>
    </row>
    <row r="341" spans="1:8">
      <c r="A341" s="2697"/>
      <c r="B341" s="2697"/>
      <c r="C341" s="2697"/>
      <c r="D341" s="2697"/>
      <c r="E341" s="2697"/>
      <c r="F341" s="2699"/>
      <c r="G341" s="2697"/>
      <c r="H341" s="2699"/>
    </row>
    <row r="342" spans="1:8">
      <c r="A342" s="2700" t="s">
        <v>3126</v>
      </c>
      <c r="B342" s="2701">
        <f>'Part III-A-Uses of Funds'!$G$46</f>
        <v>0</v>
      </c>
      <c r="C342" s="2700" t="s">
        <v>1660</v>
      </c>
      <c r="D342" s="2701">
        <f>'Part III-A-Uses of Funds'!$J$46+'Part III-A-Uses of Funds'!$M$46+'Part III-A-Uses of Funds'!$P$46</f>
        <v>0</v>
      </c>
      <c r="E342" s="2697"/>
      <c r="F342" s="2699"/>
      <c r="G342" s="2697"/>
      <c r="H342" s="2699"/>
    </row>
    <row r="343" spans="1:8">
      <c r="A343" s="2697"/>
      <c r="B343" s="2702"/>
      <c r="C343" s="2697"/>
      <c r="D343" s="2697"/>
      <c r="E343" s="2697"/>
      <c r="F343" s="2699"/>
      <c r="G343" s="2703"/>
      <c r="H343" s="2699"/>
    </row>
    <row r="344" spans="1:8" ht="13">
      <c r="A344" s="2696" t="s">
        <v>674</v>
      </c>
      <c r="B344" s="2697"/>
      <c r="C344" s="2697"/>
      <c r="D344" s="2697"/>
      <c r="E344" s="2697"/>
      <c r="F344" s="2697"/>
      <c r="G344" s="2697"/>
      <c r="H344" s="2695"/>
    </row>
    <row r="345" spans="1:8" ht="12.75" customHeight="1">
      <c r="A345" s="2698" t="str">
        <f>'Part III-A-Uses of Funds'!$C$71</f>
        <v>Bond Cost of Issuance</v>
      </c>
      <c r="B345" s="2698"/>
      <c r="C345" s="2698"/>
      <c r="D345" s="2698"/>
      <c r="E345" s="2697"/>
      <c r="F345" s="2699" t="str">
        <f>'Part III-B-Other Items'!F31</f>
        <v xml:space="preserve">Per the US Tax Court's Feburary 20, 2024 decision in 23rd Chelsea Associates LLC v. Commission of the Internal Revenue Service, bond issuance can be included in eligible basis regardless of if the bonds are taxable or tax-exempt. Therefore, we have included them as basis eligible. </v>
      </c>
      <c r="G345" s="2697"/>
      <c r="H345" s="2699" t="str">
        <f>'Part III-B-Other Items'!H31</f>
        <v xml:space="preserve">Per the US Tax Court's Feburary 20, 2024 decision in 23rd Chelsea Associates LLC v. Commission of the Internal Revenue Service, bond issuance can be included in eligible basis regardless of if the bonds are taxable or tax-exempt. Therefore, we have included them as basis eligible. </v>
      </c>
    </row>
    <row r="346" spans="1:8" ht="12.75" customHeight="1">
      <c r="A346" s="2698"/>
      <c r="B346" s="2698"/>
      <c r="C346" s="2698"/>
      <c r="D346" s="2698"/>
      <c r="E346" s="2697"/>
      <c r="F346" s="2699"/>
      <c r="G346" s="2697"/>
      <c r="H346" s="2699"/>
    </row>
    <row r="347" spans="1:8">
      <c r="A347" s="2697"/>
      <c r="B347" s="2697"/>
      <c r="C347" s="2697"/>
      <c r="D347" s="2697"/>
      <c r="E347" s="2697"/>
      <c r="F347" s="2699"/>
      <c r="G347" s="2697"/>
      <c r="H347" s="2699"/>
    </row>
    <row r="348" spans="1:8">
      <c r="A348" s="2700" t="s">
        <v>3126</v>
      </c>
      <c r="B348" s="2701">
        <f>'Part III-A-Uses of Funds'!$G$71</f>
        <v>201190</v>
      </c>
      <c r="C348" s="2700" t="s">
        <v>1660</v>
      </c>
      <c r="D348" s="2701">
        <f>'Part III-A-Uses of Funds'!$J$71+'Part III-A-Uses of Funds'!$M$71+'Part III-A-Uses of Funds'!$P$71</f>
        <v>134127</v>
      </c>
      <c r="E348" s="2697"/>
      <c r="F348" s="2699"/>
      <c r="G348" s="2697"/>
      <c r="H348" s="2699"/>
    </row>
    <row r="349" spans="1:8">
      <c r="A349" s="2695"/>
      <c r="B349" s="2695"/>
      <c r="C349" s="2695"/>
      <c r="D349" s="2697"/>
      <c r="E349" s="2697"/>
      <c r="F349" s="2699"/>
      <c r="G349" s="2703"/>
      <c r="H349" s="2699"/>
    </row>
    <row r="350" spans="1:8" ht="12.75" customHeight="1">
      <c r="A350" s="2698" t="str">
        <f>'Part III-A-Uses of Funds'!$C$72</f>
        <v>&lt;&lt; Enter description here; provide detail &amp; justification in tab Part III-b &gt;&gt;</v>
      </c>
      <c r="B350" s="2698"/>
      <c r="C350" s="2698"/>
      <c r="D350" s="2698"/>
      <c r="E350" s="2697"/>
      <c r="F350" s="2699">
        <f>'Part III-B-Other Items'!F36</f>
        <v>0</v>
      </c>
      <c r="G350" s="2697"/>
      <c r="H350" s="2699">
        <f>'Part III-B-Other Items'!H36</f>
        <v>0</v>
      </c>
    </row>
    <row r="351" spans="1:8" ht="12.75" customHeight="1">
      <c r="A351" s="2698"/>
      <c r="B351" s="2698"/>
      <c r="C351" s="2698"/>
      <c r="D351" s="2698"/>
      <c r="E351" s="2697"/>
      <c r="F351" s="2699"/>
      <c r="G351" s="2697"/>
      <c r="H351" s="2699"/>
    </row>
    <row r="352" spans="1:8">
      <c r="A352" s="2697"/>
      <c r="B352" s="2697"/>
      <c r="C352" s="2697"/>
      <c r="D352" s="2697"/>
      <c r="E352" s="2697"/>
      <c r="F352" s="2699"/>
      <c r="G352" s="2697"/>
      <c r="H352" s="2699"/>
    </row>
    <row r="353" spans="1:8">
      <c r="A353" s="2700" t="s">
        <v>3126</v>
      </c>
      <c r="B353" s="2701">
        <f>'Part III-A-Uses of Funds'!$G$72</f>
        <v>0</v>
      </c>
      <c r="C353" s="2700" t="s">
        <v>1660</v>
      </c>
      <c r="D353" s="2701">
        <f>'Part III-A-Uses of Funds'!$J$72+'Part III-A-Uses of Funds'!$M$72+'Part III-A-Uses of Funds'!$P$72</f>
        <v>0</v>
      </c>
      <c r="E353" s="2697"/>
      <c r="F353" s="2699"/>
      <c r="G353" s="2697"/>
      <c r="H353" s="2699"/>
    </row>
    <row r="354" spans="1:8">
      <c r="A354" s="2695"/>
      <c r="B354" s="2695"/>
      <c r="C354" s="2695"/>
      <c r="D354" s="2697"/>
      <c r="E354" s="2697"/>
      <c r="F354" s="2699"/>
      <c r="G354" s="2703"/>
      <c r="H354" s="2699"/>
    </row>
    <row r="355" spans="1:8" ht="13">
      <c r="A355" s="2696" t="s">
        <v>448</v>
      </c>
      <c r="B355" s="2697"/>
      <c r="C355" s="2697"/>
      <c r="D355" s="2697"/>
      <c r="E355" s="2704"/>
      <c r="F355" s="2704"/>
      <c r="G355" s="2697"/>
      <c r="H355" s="2695"/>
    </row>
    <row r="356" spans="1:8" ht="13.5" customHeight="1">
      <c r="A356" s="2698" t="str">
        <f>'Part III-A-Uses of Funds'!$C$85</f>
        <v>Historic Designation Consultant</v>
      </c>
      <c r="B356" s="2698"/>
      <c r="C356" s="2698"/>
      <c r="D356" s="2698"/>
      <c r="E356" s="2695"/>
      <c r="F356" s="2699" t="str">
        <f>'Part III-B-Other Items'!F42</f>
        <v>These fees are related to the National Park Service and Georgia SHPO listing for historic significance of the former school building on the eastern portion of the property. Ryan LLC has been selected and is not part of the project team.</v>
      </c>
      <c r="G356" s="2697"/>
      <c r="H356" s="2699" t="str">
        <f>'Part III-B-Other Items'!H42</f>
        <v>Historic tax credit execution cost.</v>
      </c>
    </row>
    <row r="357" spans="1:8" ht="12.75" customHeight="1">
      <c r="A357" s="2698"/>
      <c r="B357" s="2698"/>
      <c r="C357" s="2698"/>
      <c r="D357" s="2698"/>
      <c r="E357" s="2697"/>
      <c r="F357" s="2699"/>
      <c r="G357" s="2697"/>
      <c r="H357" s="2699"/>
    </row>
    <row r="358" spans="1:8">
      <c r="A358" s="2697"/>
      <c r="B358" s="2697"/>
      <c r="C358" s="2697"/>
      <c r="D358" s="2697"/>
      <c r="E358" s="2697"/>
      <c r="F358" s="2699"/>
      <c r="G358" s="2697"/>
      <c r="H358" s="2699"/>
    </row>
    <row r="359" spans="1:8">
      <c r="A359" s="2700" t="s">
        <v>3126</v>
      </c>
      <c r="B359" s="2701">
        <f>'Part III-A-Uses of Funds'!$G$85</f>
        <v>45013</v>
      </c>
      <c r="C359" s="2700" t="s">
        <v>1660</v>
      </c>
      <c r="D359" s="2701">
        <f>'Part III-A-Uses of Funds'!$J$85+'Part III-A-Uses of Funds'!$M$85+'Part III-A-Uses of Funds'!$P$85</f>
        <v>45013</v>
      </c>
      <c r="E359" s="2697"/>
      <c r="F359" s="2699"/>
      <c r="G359" s="2697"/>
      <c r="H359" s="2699"/>
    </row>
    <row r="360" spans="1:8">
      <c r="A360" s="2697"/>
      <c r="B360" s="2702"/>
      <c r="C360" s="2697"/>
      <c r="D360" s="2697"/>
      <c r="E360" s="2697"/>
      <c r="F360" s="2699"/>
      <c r="G360" s="2703"/>
      <c r="H360" s="2699"/>
    </row>
    <row r="361" spans="1:8" ht="13">
      <c r="A361" s="2696" t="s">
        <v>676</v>
      </c>
      <c r="B361" s="2697"/>
      <c r="C361" s="2697"/>
      <c r="D361" s="2697"/>
      <c r="E361" s="2697"/>
      <c r="F361" s="2697"/>
      <c r="G361" s="2697"/>
      <c r="H361" s="2695"/>
    </row>
    <row r="362" spans="1:8" ht="13.5" customHeight="1">
      <c r="A362" s="2698" t="str">
        <f>'Part III-A-Uses of Funds'!$C$102</f>
        <v>&lt;&lt; Enter description here; provide detail &amp; justification in tab Part III-b &gt;&gt;</v>
      </c>
      <c r="B362" s="2698"/>
      <c r="C362" s="2698"/>
      <c r="D362" s="2698"/>
      <c r="E362" s="2695"/>
      <c r="F362" s="2699">
        <f>'Part III-B-Other Items'!F48</f>
        <v>0</v>
      </c>
      <c r="G362" s="2697"/>
      <c r="H362" s="2695"/>
    </row>
    <row r="363" spans="1:8">
      <c r="A363" s="2698"/>
      <c r="B363" s="2698"/>
      <c r="C363" s="2698"/>
      <c r="D363" s="2698"/>
      <c r="E363" s="2697"/>
      <c r="F363" s="2699"/>
      <c r="G363" s="2697"/>
      <c r="H363" s="2695"/>
    </row>
    <row r="364" spans="1:8">
      <c r="A364" s="2697"/>
      <c r="B364" s="2697"/>
      <c r="C364" s="2697"/>
      <c r="D364" s="2697"/>
      <c r="E364" s="2697"/>
      <c r="F364" s="2699"/>
      <c r="G364" s="2697"/>
      <c r="H364" s="2695"/>
    </row>
    <row r="365" spans="1:8">
      <c r="A365" s="2700" t="s">
        <v>3126</v>
      </c>
      <c r="B365" s="2701">
        <f>'Part III-A-Uses of Funds'!$G$102</f>
        <v>0</v>
      </c>
      <c r="C365" s="2705"/>
      <c r="D365" s="2705"/>
      <c r="E365" s="2697"/>
      <c r="F365" s="2699"/>
      <c r="G365" s="2697"/>
      <c r="H365" s="2695"/>
    </row>
    <row r="366" spans="1:8">
      <c r="A366" s="2697"/>
      <c r="B366" s="2697"/>
      <c r="C366" s="2697"/>
      <c r="D366" s="2697"/>
      <c r="E366" s="2697"/>
      <c r="F366" s="2699"/>
      <c r="G366" s="2703"/>
      <c r="H366" s="2695"/>
    </row>
    <row r="367" spans="1:8" ht="13">
      <c r="A367" s="2696" t="s">
        <v>5137</v>
      </c>
      <c r="B367" s="2697"/>
      <c r="C367" s="2697"/>
      <c r="D367" s="2697"/>
      <c r="E367" s="2697"/>
      <c r="F367" s="2697"/>
      <c r="G367" s="2697"/>
      <c r="H367" s="2695"/>
    </row>
    <row r="368" spans="1:8" ht="13.5" customHeight="1">
      <c r="A368" s="2698" t="str">
        <f>'Part III-A-Uses of Funds'!$C$112</f>
        <v>&lt;&lt; Enter description here; provide detail &amp; justification in tab Part III-b &gt;&gt;</v>
      </c>
      <c r="B368" s="2698"/>
      <c r="C368" s="2698"/>
      <c r="D368" s="2698"/>
      <c r="E368" s="2695"/>
      <c r="F368" s="2699">
        <f>'Part III-B-Other Items'!F54</f>
        <v>0</v>
      </c>
      <c r="G368" s="2697"/>
      <c r="H368" s="2695"/>
    </row>
    <row r="369" spans="1:8">
      <c r="A369" s="2698"/>
      <c r="B369" s="2698"/>
      <c r="C369" s="2698"/>
      <c r="D369" s="2698"/>
      <c r="E369" s="2697"/>
      <c r="F369" s="2699"/>
      <c r="G369" s="2697"/>
      <c r="H369" s="2695"/>
    </row>
    <row r="370" spans="1:8">
      <c r="A370" s="2697"/>
      <c r="B370" s="2697"/>
      <c r="C370" s="2697"/>
      <c r="D370" s="2697"/>
      <c r="E370" s="2697"/>
      <c r="F370" s="2699"/>
      <c r="G370" s="2697"/>
      <c r="H370" s="2695"/>
    </row>
    <row r="371" spans="1:8">
      <c r="A371" s="2700" t="s">
        <v>3126</v>
      </c>
      <c r="B371" s="2701">
        <f>'Part III-A-Uses of Funds'!$G$112</f>
        <v>0</v>
      </c>
      <c r="C371" s="2705"/>
      <c r="D371" s="2705"/>
      <c r="E371" s="2697"/>
      <c r="F371" s="2699"/>
      <c r="G371" s="2697"/>
      <c r="H371" s="2695"/>
    </row>
    <row r="372" spans="1:8">
      <c r="A372" s="2694"/>
      <c r="B372" s="2694"/>
      <c r="C372" s="2694"/>
      <c r="D372" s="2694"/>
      <c r="E372" s="2694"/>
      <c r="F372" s="2699"/>
      <c r="G372" s="2703"/>
      <c r="H372" s="2695"/>
    </row>
    <row r="373" spans="1:8" ht="13.5" customHeight="1">
      <c r="A373" s="2698" t="str">
        <f>'Part III-A-Uses of Funds'!$C$113</f>
        <v>&lt;&lt; Enter description here; provide detail &amp; justification in tab Part III-b &gt;&gt;</v>
      </c>
      <c r="B373" s="2698"/>
      <c r="C373" s="2698"/>
      <c r="D373" s="2698"/>
      <c r="E373" s="2695"/>
      <c r="F373" s="2699">
        <f>'Part III-B-Other Items'!F59</f>
        <v>0</v>
      </c>
      <c r="G373" s="2697"/>
      <c r="H373" s="2695"/>
    </row>
    <row r="374" spans="1:8">
      <c r="A374" s="2698"/>
      <c r="B374" s="2698"/>
      <c r="C374" s="2698"/>
      <c r="D374" s="2698"/>
      <c r="E374" s="2697"/>
      <c r="F374" s="2699"/>
      <c r="G374" s="2697"/>
      <c r="H374" s="2695"/>
    </row>
    <row r="375" spans="1:8">
      <c r="A375" s="2697"/>
      <c r="B375" s="2697"/>
      <c r="C375" s="2697"/>
      <c r="D375" s="2697"/>
      <c r="E375" s="2697"/>
      <c r="F375" s="2699"/>
      <c r="G375" s="2697"/>
      <c r="H375" s="2695"/>
    </row>
    <row r="376" spans="1:8">
      <c r="A376" s="2700" t="s">
        <v>3126</v>
      </c>
      <c r="B376" s="2701">
        <f>'Part III-A-Uses of Funds'!$G$113</f>
        <v>0</v>
      </c>
      <c r="C376" s="2705"/>
      <c r="D376" s="2705"/>
      <c r="E376" s="2697"/>
      <c r="F376" s="2699"/>
      <c r="G376" s="2697"/>
      <c r="H376" s="2695"/>
    </row>
    <row r="377" spans="1:8">
      <c r="A377" s="2694"/>
      <c r="B377" s="2694"/>
      <c r="C377" s="2694"/>
      <c r="D377" s="2694"/>
      <c r="E377" s="2694"/>
      <c r="F377" s="2699"/>
      <c r="G377" s="2703"/>
      <c r="H377" s="2695"/>
    </row>
    <row r="378" spans="1:8" ht="13">
      <c r="A378" s="2696" t="s">
        <v>5138</v>
      </c>
      <c r="B378" s="2697"/>
      <c r="C378" s="2697"/>
      <c r="D378" s="2697"/>
      <c r="E378" s="2697"/>
      <c r="F378" s="2697"/>
      <c r="G378" s="2697"/>
      <c r="H378" s="2695"/>
    </row>
    <row r="379" spans="1:8" ht="13.5" customHeight="1">
      <c r="A379" s="2698" t="str">
        <f>'Part III-A-Uses of Funds'!$C$119</f>
        <v>&lt;&lt; Enter description here; provide detail &amp; justification in tab Part III-b &gt;&gt;</v>
      </c>
      <c r="B379" s="2698"/>
      <c r="C379" s="2698"/>
      <c r="D379" s="2698"/>
      <c r="E379" s="2695"/>
      <c r="F379" s="2699">
        <f>'Part III-B-Other Items'!F65</f>
        <v>0</v>
      </c>
      <c r="G379" s="2697"/>
      <c r="H379" s="2695"/>
    </row>
    <row r="380" spans="1:8">
      <c r="A380" s="2698"/>
      <c r="B380" s="2698"/>
      <c r="C380" s="2698"/>
      <c r="D380" s="2698"/>
      <c r="E380" s="2697"/>
      <c r="F380" s="2699"/>
      <c r="G380" s="2697"/>
      <c r="H380" s="2695"/>
    </row>
    <row r="381" spans="1:8">
      <c r="A381" s="2697"/>
      <c r="B381" s="2697"/>
      <c r="C381" s="2697"/>
      <c r="D381" s="2697"/>
      <c r="E381" s="2697"/>
      <c r="F381" s="2699"/>
      <c r="G381" s="2697"/>
      <c r="H381" s="2695"/>
    </row>
    <row r="382" spans="1:8">
      <c r="A382" s="2700" t="s">
        <v>3126</v>
      </c>
      <c r="B382" s="2701">
        <f>'Part III-A-Uses of Funds'!$G$119</f>
        <v>0</v>
      </c>
      <c r="C382" s="2705"/>
      <c r="D382" s="2705"/>
      <c r="E382" s="2697"/>
      <c r="F382" s="2699"/>
      <c r="G382" s="2697"/>
      <c r="H382" s="2695"/>
    </row>
    <row r="383" spans="1:8">
      <c r="A383" s="2697"/>
      <c r="B383" s="2702"/>
      <c r="C383" s="2697"/>
      <c r="D383" s="2697"/>
      <c r="E383" s="2697"/>
      <c r="F383" s="2699"/>
      <c r="G383" s="2703"/>
      <c r="H383" s="2695"/>
    </row>
    <row r="384" spans="1:8" ht="13">
      <c r="A384" s="2696" t="s">
        <v>1229</v>
      </c>
      <c r="B384" s="2697"/>
      <c r="C384" s="2697"/>
      <c r="D384" s="2697"/>
      <c r="E384" s="2697"/>
      <c r="F384" s="2697"/>
      <c r="G384" s="2697"/>
      <c r="H384" s="2695"/>
    </row>
    <row r="385" spans="1:13" ht="13.5" customHeight="1">
      <c r="A385" s="2698" t="str">
        <f>'Part III-A-Uses of Funds'!$C$135</f>
        <v>Acquired Reserves</v>
      </c>
      <c r="B385" s="2698"/>
      <c r="C385" s="2698"/>
      <c r="D385" s="2698"/>
      <c r="E385" s="2695"/>
      <c r="F385" s="2699" t="str">
        <f>'Part III-B-Other Items'!F71</f>
        <v>These are existing reserves at the property that will be carried through the acquistion and renovation of Princeton Court.</v>
      </c>
      <c r="G385" s="2697"/>
      <c r="H385" s="2699" t="str">
        <f>'Part III-B-Other Items'!H71</f>
        <v>These are existing reserves at the property that will be carried through the acquistion and renovation of Princeton Court.</v>
      </c>
    </row>
    <row r="386" spans="1:13" ht="12.75" customHeight="1">
      <c r="A386" s="2698"/>
      <c r="B386" s="2698"/>
      <c r="C386" s="2698"/>
      <c r="D386" s="2698"/>
      <c r="E386" s="2697"/>
      <c r="F386" s="2699"/>
      <c r="G386" s="2697"/>
      <c r="H386" s="2699"/>
    </row>
    <row r="387" spans="1:13">
      <c r="A387" s="2697"/>
      <c r="B387" s="2697"/>
      <c r="C387" s="2697"/>
      <c r="D387" s="2697"/>
      <c r="E387" s="2697"/>
      <c r="F387" s="2699"/>
      <c r="G387" s="2697"/>
      <c r="H387" s="2699"/>
    </row>
    <row r="388" spans="1:13">
      <c r="A388" s="2700" t="s">
        <v>3126</v>
      </c>
      <c r="B388" s="2701">
        <f>'Part III-A-Uses of Funds'!$G$135</f>
        <v>124716</v>
      </c>
      <c r="C388" s="2700" t="s">
        <v>1660</v>
      </c>
      <c r="D388" s="2701">
        <f>'Part III-A-Uses of Funds'!$J$135+'Part III-A-Uses of Funds'!$M$135+'Part III-A-Uses of Funds'!$P$135</f>
        <v>0</v>
      </c>
      <c r="E388" s="2697"/>
      <c r="F388" s="2699"/>
      <c r="G388" s="2697"/>
      <c r="H388" s="2699"/>
    </row>
    <row r="389" spans="1:13">
      <c r="A389" s="2697"/>
      <c r="B389" s="2702"/>
      <c r="C389" s="2697"/>
      <c r="D389" s="2697"/>
      <c r="E389" s="2697"/>
      <c r="F389" s="2699"/>
      <c r="G389" s="2703"/>
      <c r="H389" s="2699"/>
    </row>
    <row r="390" spans="1:13" ht="13">
      <c r="A390" s="2696" t="s">
        <v>5139</v>
      </c>
      <c r="B390" s="2702"/>
      <c r="C390" s="2697"/>
      <c r="D390" s="2697"/>
      <c r="E390" s="2697"/>
      <c r="F390" s="2697"/>
      <c r="G390" s="2703"/>
      <c r="H390" s="2695"/>
    </row>
    <row r="391" spans="1:13" ht="13.5" customHeight="1">
      <c r="A391" s="2698" t="str">
        <f>'Part III-A-Uses of Funds'!$C$144</f>
        <v>&lt;&lt; Enter description here; provide detail &amp; justification in tab Part III-b &gt;&gt;</v>
      </c>
      <c r="B391" s="2698"/>
      <c r="C391" s="2698"/>
      <c r="D391" s="2698"/>
      <c r="E391" s="2695"/>
      <c r="F391" s="2699">
        <f>'Part III-B-Other Items'!F77</f>
        <v>0</v>
      </c>
      <c r="G391" s="2697"/>
      <c r="H391" s="2699">
        <f>'Part III-B-Other Items'!H77</f>
        <v>0</v>
      </c>
    </row>
    <row r="392" spans="1:13" ht="12.75" customHeight="1">
      <c r="A392" s="2698"/>
      <c r="B392" s="2698"/>
      <c r="C392" s="2698"/>
      <c r="D392" s="2698"/>
      <c r="E392" s="2697"/>
      <c r="F392" s="2699"/>
      <c r="G392" s="2697"/>
      <c r="H392" s="2699"/>
    </row>
    <row r="393" spans="1:13">
      <c r="A393" s="2697"/>
      <c r="B393" s="2697"/>
      <c r="C393" s="2697"/>
      <c r="D393" s="2697"/>
      <c r="E393" s="2697"/>
      <c r="F393" s="2699"/>
      <c r="G393" s="2697"/>
      <c r="H393" s="2699"/>
    </row>
    <row r="394" spans="1:13">
      <c r="A394" s="2700" t="s">
        <v>3126</v>
      </c>
      <c r="B394" s="2701">
        <f>'Part III-A-Uses of Funds'!$G$144</f>
        <v>0</v>
      </c>
      <c r="C394" s="2700" t="s">
        <v>1660</v>
      </c>
      <c r="D394" s="2701">
        <f>'Part III-A-Uses of Funds'!$J$144+'Part III-A-Uses of Funds'!$M$144+'Part III-A-Uses of Funds'!$P$144</f>
        <v>0</v>
      </c>
      <c r="E394" s="2697"/>
      <c r="F394" s="2699"/>
      <c r="G394" s="2697"/>
      <c r="H394" s="2699"/>
    </row>
    <row r="395" spans="1:13">
      <c r="A395" s="2695"/>
      <c r="B395" s="2695"/>
      <c r="C395" s="2695"/>
      <c r="D395" s="2697"/>
      <c r="E395" s="2701"/>
      <c r="F395" s="2699"/>
      <c r="G395" s="2703"/>
      <c r="H395" s="2699"/>
    </row>
    <row r="400" spans="1:13" ht="13">
      <c r="A400" s="1639" t="str">
        <f>CONCATENATE("PART FOUR - UTILITY ALLOWANCES","  -  ",'Part I-Project Identification'!$O$7," ",'Part I-Project Identification'!$F$26,", ",'Part I-Project Identification'!F426,", ",'Part I-Project Identification'!J426," County")</f>
        <v>PART FOUR - UTILITY ALLOWANCES  -  2025-5 Princeton Court, ,  County</v>
      </c>
      <c r="B400" s="1639"/>
      <c r="C400" s="1639"/>
      <c r="D400" s="1639"/>
      <c r="E400" s="1639"/>
      <c r="F400" s="1639"/>
      <c r="G400" s="1639"/>
      <c r="H400" s="1639"/>
      <c r="I400" s="1639"/>
      <c r="J400" s="1639"/>
      <c r="K400" s="1639"/>
      <c r="L400" s="1639"/>
      <c r="M400" s="1639"/>
    </row>
    <row r="402" spans="1:13" ht="13">
      <c r="B402" s="2706" t="str">
        <f>'Part I-Project Identification'!$A$6</f>
        <v>August 11, 2025</v>
      </c>
      <c r="C402" s="2706"/>
      <c r="D402" s="2706"/>
      <c r="E402" s="2706"/>
      <c r="F402" s="1639" t="s">
        <v>4620</v>
      </c>
      <c r="I402" s="1639">
        <f>'Part IV-Utility Allowances'!I3</f>
        <v>0</v>
      </c>
      <c r="J402" s="1639"/>
    </row>
    <row r="404" spans="1:13" ht="13">
      <c r="A404" s="2707" t="s">
        <v>5140</v>
      </c>
    </row>
    <row r="406" spans="1:13" ht="13">
      <c r="A406" s="360" t="s">
        <v>572</v>
      </c>
      <c r="B406" s="360" t="s">
        <v>2054</v>
      </c>
      <c r="F406" s="358" t="s">
        <v>2311</v>
      </c>
      <c r="G406" s="358"/>
      <c r="H406" s="358"/>
      <c r="I406" s="358" t="str">
        <f>'Part IV-Utility Allowances'!I7</f>
        <v>College Park Housing Authority</v>
      </c>
      <c r="J406" s="358"/>
      <c r="K406" s="358"/>
      <c r="L406" s="358"/>
      <c r="M406" s="358"/>
    </row>
    <row r="407" spans="1:13" ht="13">
      <c r="A407" s="360"/>
      <c r="F407" s="358" t="s">
        <v>592</v>
      </c>
      <c r="G407" s="358"/>
      <c r="H407" s="358"/>
      <c r="I407" s="2708">
        <f>'Part IV-Utility Allowances'!I8</f>
        <v>0</v>
      </c>
      <c r="J407" s="2708"/>
      <c r="K407" s="1784" t="s">
        <v>504</v>
      </c>
      <c r="L407" s="358">
        <f>'Part IV-Utility Allowances'!L8</f>
        <v>0</v>
      </c>
      <c r="M407" s="358"/>
    </row>
    <row r="408" spans="1:13" ht="13">
      <c r="A408" s="360"/>
    </row>
    <row r="409" spans="1:13" ht="13">
      <c r="A409" s="360"/>
      <c r="B409" s="360"/>
      <c r="C409" s="360"/>
      <c r="D409" s="360"/>
      <c r="E409" s="360"/>
      <c r="F409" s="360" t="s">
        <v>566</v>
      </c>
      <c r="G409" s="360"/>
      <c r="H409" s="360"/>
      <c r="I409" s="360" t="s">
        <v>193</v>
      </c>
      <c r="J409" s="360"/>
      <c r="K409" s="360"/>
      <c r="L409" s="360"/>
      <c r="M409" s="360"/>
    </row>
    <row r="410" spans="1:13" ht="13">
      <c r="A410" s="360"/>
      <c r="B410" s="360" t="s">
        <v>741</v>
      </c>
      <c r="C410" s="360"/>
      <c r="D410" s="360" t="s">
        <v>1492</v>
      </c>
      <c r="E410" s="360"/>
      <c r="F410" s="2469" t="s">
        <v>595</v>
      </c>
      <c r="G410" s="2469" t="s">
        <v>1709</v>
      </c>
      <c r="H410" s="360"/>
      <c r="I410" s="2469" t="s">
        <v>525</v>
      </c>
      <c r="J410" s="2469">
        <v>1</v>
      </c>
      <c r="K410" s="2469">
        <v>2</v>
      </c>
      <c r="L410" s="2469">
        <v>3</v>
      </c>
      <c r="M410" s="2469">
        <v>4</v>
      </c>
    </row>
    <row r="411" spans="1:13" ht="13">
      <c r="B411" s="358" t="s">
        <v>1711</v>
      </c>
      <c r="C411" s="358"/>
      <c r="D411" s="358" t="str">
        <f>'Part IV-Utility Allowances'!D12</f>
        <v>Electric Heat Pump</v>
      </c>
      <c r="E411" s="358"/>
      <c r="F411" s="2709" t="str">
        <f>'Part IV-Utility Allowances'!F12</f>
        <v>X</v>
      </c>
      <c r="G411" s="2709">
        <f>'Part IV-Utility Allowances'!G12</f>
        <v>0</v>
      </c>
      <c r="I411" s="1784">
        <f>'Part IV-Utility Allowances'!I12</f>
        <v>0</v>
      </c>
      <c r="J411" s="1784">
        <f>'Part IV-Utility Allowances'!J12</f>
        <v>9</v>
      </c>
      <c r="K411" s="1784">
        <f>'Part IV-Utility Allowances'!K12</f>
        <v>12</v>
      </c>
      <c r="L411" s="1784">
        <f>'Part IV-Utility Allowances'!L12</f>
        <v>0</v>
      </c>
      <c r="M411" s="1784">
        <f>'Part IV-Utility Allowances'!M12</f>
        <v>0</v>
      </c>
    </row>
    <row r="412" spans="1:13" ht="13">
      <c r="B412" s="358" t="s">
        <v>1490</v>
      </c>
      <c r="C412" s="358"/>
      <c r="D412" s="358" t="str">
        <f>'Part IV-Utility Allowances'!D13</f>
        <v>Electric</v>
      </c>
      <c r="E412" s="358"/>
      <c r="F412" s="2709" t="str">
        <f>'Part IV-Utility Allowances'!F13</f>
        <v>X</v>
      </c>
      <c r="G412" s="2709">
        <f>'Part IV-Utility Allowances'!G13</f>
        <v>0</v>
      </c>
      <c r="I412" s="1784">
        <f>'Part IV-Utility Allowances'!I13</f>
        <v>0</v>
      </c>
      <c r="J412" s="1784">
        <f>'Part IV-Utility Allowances'!J13</f>
        <v>10</v>
      </c>
      <c r="K412" s="1784">
        <f>'Part IV-Utility Allowances'!K13</f>
        <v>13</v>
      </c>
      <c r="L412" s="1784">
        <f>'Part IV-Utility Allowances'!L13</f>
        <v>0</v>
      </c>
      <c r="M412" s="1784">
        <f>'Part IV-Utility Allowances'!M13</f>
        <v>0</v>
      </c>
    </row>
    <row r="413" spans="1:13" ht="13">
      <c r="B413" s="358" t="s">
        <v>1491</v>
      </c>
      <c r="C413" s="358"/>
      <c r="D413" s="358" t="str">
        <f>'Part IV-Utility Allowances'!D14</f>
        <v>Electric</v>
      </c>
      <c r="E413" s="358"/>
      <c r="F413" s="2709" t="str">
        <f>'Part IV-Utility Allowances'!F14</f>
        <v>X</v>
      </c>
      <c r="G413" s="2709">
        <f>'Part IV-Utility Allowances'!G14</f>
        <v>0</v>
      </c>
      <c r="I413" s="1784">
        <f>'Part IV-Utility Allowances'!I14</f>
        <v>0</v>
      </c>
      <c r="J413" s="1784">
        <f>'Part IV-Utility Allowances'!J14</f>
        <v>27</v>
      </c>
      <c r="K413" s="1784">
        <f>'Part IV-Utility Allowances'!K14</f>
        <v>34</v>
      </c>
      <c r="L413" s="1784">
        <f>'Part IV-Utility Allowances'!L14</f>
        <v>0</v>
      </c>
      <c r="M413" s="1784">
        <f>'Part IV-Utility Allowances'!M14</f>
        <v>0</v>
      </c>
    </row>
    <row r="414" spans="1:13" ht="13">
      <c r="B414" s="358" t="s">
        <v>439</v>
      </c>
      <c r="C414" s="358"/>
      <c r="D414" s="358" t="s">
        <v>1489</v>
      </c>
      <c r="F414" s="2709" t="str">
        <f>'Part IV-Utility Allowances'!F15</f>
        <v>X</v>
      </c>
      <c r="G414" s="2709">
        <f>'Part IV-Utility Allowances'!G15</f>
        <v>0</v>
      </c>
      <c r="I414" s="1784">
        <f>'Part IV-Utility Allowances'!I15</f>
        <v>0</v>
      </c>
      <c r="J414" s="1784">
        <f>'Part IV-Utility Allowances'!J15</f>
        <v>0</v>
      </c>
      <c r="K414" s="1784">
        <f>'Part IV-Utility Allowances'!K15</f>
        <v>0</v>
      </c>
      <c r="L414" s="1784">
        <f>'Part IV-Utility Allowances'!L15</f>
        <v>0</v>
      </c>
      <c r="M414" s="1784">
        <f>'Part IV-Utility Allowances'!M15</f>
        <v>0</v>
      </c>
    </row>
    <row r="415" spans="1:13" ht="13">
      <c r="B415" s="358" t="s">
        <v>3187</v>
      </c>
      <c r="C415" s="358"/>
      <c r="D415" s="358" t="s">
        <v>1489</v>
      </c>
      <c r="F415" s="2709">
        <f>'Part IV-Utility Allowances'!F16</f>
        <v>0</v>
      </c>
      <c r="G415" s="2709">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ht="13">
      <c r="B416" s="358" t="s">
        <v>3188</v>
      </c>
      <c r="C416" s="358"/>
      <c r="D416" s="358" t="s">
        <v>1489</v>
      </c>
      <c r="F416" s="2709">
        <f>'Part IV-Utility Allowances'!F17</f>
        <v>0</v>
      </c>
      <c r="G416" s="2709">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ht="13">
      <c r="B417" s="358" t="s">
        <v>3189</v>
      </c>
      <c r="C417" s="358"/>
      <c r="D417" s="358" t="s">
        <v>1489</v>
      </c>
      <c r="F417" s="2709" t="str">
        <f>'Part IV-Utility Allowances'!F18</f>
        <v>X</v>
      </c>
      <c r="G417" s="2709">
        <f>'Part IV-Utility Allowances'!G18</f>
        <v>0</v>
      </c>
      <c r="I417" s="1784">
        <f>'Part IV-Utility Allowances'!I18</f>
        <v>0</v>
      </c>
      <c r="J417" s="1784">
        <f>'Part IV-Utility Allowances'!J18</f>
        <v>32</v>
      </c>
      <c r="K417" s="1784">
        <f>'Part IV-Utility Allowances'!K18</f>
        <v>41</v>
      </c>
      <c r="L417" s="1784">
        <f>'Part IV-Utility Allowances'!L18</f>
        <v>0</v>
      </c>
      <c r="M417" s="1784">
        <f>'Part IV-Utility Allowances'!M18</f>
        <v>0</v>
      </c>
    </row>
    <row r="418" spans="1:13" ht="13">
      <c r="B418" s="358" t="s">
        <v>1290</v>
      </c>
      <c r="C418" s="358"/>
      <c r="D418" s="358" t="s">
        <v>5111</v>
      </c>
      <c r="E418" s="1784" t="str">
        <f>'Part IV-Utility Allowances'!E19</f>
        <v>No</v>
      </c>
      <c r="F418" s="2709">
        <f>'Part IV-Utility Allowances'!F19</f>
        <v>0</v>
      </c>
      <c r="G418" s="2709" t="str">
        <f>'Part IV-Utility Allowances'!G19</f>
        <v>X</v>
      </c>
      <c r="I418" s="1784">
        <f>'Part IV-Utility Allowances'!I19</f>
        <v>0</v>
      </c>
      <c r="J418" s="1784">
        <f>'Part IV-Utility Allowances'!J19</f>
        <v>0</v>
      </c>
      <c r="K418" s="1784">
        <f>'Part IV-Utility Allowances'!K19</f>
        <v>0</v>
      </c>
      <c r="L418" s="1784">
        <f>'Part IV-Utility Allowances'!L19</f>
        <v>0</v>
      </c>
      <c r="M418" s="1784">
        <f>'Part IV-Utility Allowances'!M19</f>
        <v>0</v>
      </c>
    </row>
    <row r="419" spans="1:13" ht="13">
      <c r="B419" s="358" t="s">
        <v>1710</v>
      </c>
      <c r="C419" s="358"/>
      <c r="F419" s="2709">
        <f>'Part IV-Utility Allowances'!F20</f>
        <v>0</v>
      </c>
      <c r="G419" s="2709"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5104</v>
      </c>
    </row>
    <row r="421" spans="1:13" ht="13">
      <c r="B421" s="2710" t="s">
        <v>5105</v>
      </c>
      <c r="C421" s="358"/>
      <c r="D421" s="358" t="s">
        <v>145</v>
      </c>
      <c r="F421" s="2709">
        <f>'Part IV-Utility Allowances'!F22</f>
        <v>0</v>
      </c>
      <c r="G421" s="2709">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ht="13">
      <c r="B422" s="2710" t="s">
        <v>5103</v>
      </c>
      <c r="C422" s="358"/>
      <c r="D422" s="358" t="s">
        <v>1489</v>
      </c>
      <c r="F422" s="2709">
        <f>'Part IV-Utility Allowances'!F23</f>
        <v>0</v>
      </c>
      <c r="G422" s="2709">
        <f>'Part IV-Utility Allowances'!G23</f>
        <v>0</v>
      </c>
      <c r="I422" s="1784">
        <f>'Part IV-Utility Allowances'!I23</f>
        <v>0</v>
      </c>
      <c r="J422" s="1784">
        <f>'Part IV-Utility Allowances'!J23</f>
        <v>0</v>
      </c>
      <c r="K422" s="1784">
        <f>'Part IV-Utility Allowances'!K23</f>
        <v>0</v>
      </c>
      <c r="L422" s="1784">
        <f>'Part IV-Utility Allowances'!L23</f>
        <v>0</v>
      </c>
      <c r="M422" s="1784">
        <f>'Part IV-Utility Allowances'!M23</f>
        <v>0</v>
      </c>
    </row>
    <row r="423" spans="1:13" ht="13">
      <c r="B423" s="358" t="s">
        <v>689</v>
      </c>
      <c r="C423" s="361">
        <f>'Part IV-Utility Allowances'!C24</f>
        <v>0</v>
      </c>
      <c r="D423" s="361"/>
      <c r="E423" s="361"/>
      <c r="F423" s="2709">
        <f>'Part IV-Utility Allowances'!F24</f>
        <v>0</v>
      </c>
      <c r="G423" s="2709">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ht="13">
      <c r="B424" s="360" t="s">
        <v>955</v>
      </c>
      <c r="F424" s="1640"/>
      <c r="G424" s="1640"/>
      <c r="I424" s="2709">
        <f>IF(SUM(I411:I423)=0,0,IF(OR($D411="&lt;&lt;Select Fuel &gt;&gt;",$D412="&lt;&lt;Select Fuel &gt;&gt;",$D413="&lt;&lt;Select Fuel &gt;&gt;"),"Select Fuel",IF($E418="&lt;Select&gt;","Submeter?",SUM(I411:I423))))</f>
        <v>0</v>
      </c>
      <c r="J424" s="2709">
        <f>IF(SUM(J411:J423)=0,0,IF(OR($D411="&lt;&lt;Select Fuel &gt;&gt;",$D412="&lt;&lt;Select Fuel &gt;&gt;",$D413="&lt;&lt;Select Fuel &gt;&gt;"),"Select Fuel",IF($E418="&lt;Select&gt;","Submeter?",SUM(J411:J423))))</f>
        <v>78</v>
      </c>
      <c r="K424" s="2709">
        <f>IF(SUM(K411:K423)=0,0,IF(OR($D411="&lt;&lt;Select Fuel &gt;&gt;",$D412="&lt;&lt;Select Fuel &gt;&gt;",$D413="&lt;&lt;Select Fuel &gt;&gt;"),"Select Fuel",IF($E418="&lt;Select&gt;","Submeter?",SUM(K411:K423))))</f>
        <v>100</v>
      </c>
      <c r="L424" s="2709">
        <f>IF(SUM(L411:L423)=0,0,IF(OR($D411="&lt;&lt;Select Fuel &gt;&gt;",$D412="&lt;&lt;Select Fuel &gt;&gt;",$D413="&lt;&lt;Select Fuel &gt;&gt;"),"Select Fuel",IF($E418="&lt;Select&gt;","Submeter?",SUM(L411:L423))))</f>
        <v>0</v>
      </c>
      <c r="M424" s="2709">
        <f>IF(SUM(M411:M423)=0,0,IF(OR($D411="&lt;&lt;Select Fuel &gt;&gt;",$D412="&lt;&lt;Select Fuel &gt;&gt;",$D413="&lt;&lt;Select Fuel &gt;&gt;"),"Select Fuel",IF($E418="&lt;Select&gt;","Submeter?",SUM(M411:M423))))</f>
        <v>0</v>
      </c>
    </row>
    <row r="426" spans="1:13" ht="13">
      <c r="A426" s="360" t="s">
        <v>688</v>
      </c>
      <c r="B426" s="360" t="s">
        <v>2055</v>
      </c>
      <c r="F426" s="358" t="s">
        <v>2311</v>
      </c>
      <c r="G426" s="358"/>
      <c r="H426" s="358"/>
      <c r="I426" s="358">
        <f>'Part IV-Utility Allowances'!I27</f>
        <v>0</v>
      </c>
      <c r="J426" s="358"/>
      <c r="K426" s="358"/>
      <c r="L426" s="358"/>
      <c r="M426" s="358"/>
    </row>
    <row r="427" spans="1:13" ht="13">
      <c r="A427" s="360"/>
      <c r="B427" s="360"/>
      <c r="F427" s="358" t="s">
        <v>592</v>
      </c>
      <c r="G427" s="358"/>
      <c r="H427" s="358"/>
      <c r="I427" s="2708">
        <f>'Part IV-Utility Allowances'!I28</f>
        <v>0</v>
      </c>
      <c r="J427" s="2708"/>
      <c r="K427" s="1784" t="s">
        <v>504</v>
      </c>
      <c r="L427" s="358">
        <f>'Part IV-Utility Allowances'!L28</f>
        <v>0</v>
      </c>
      <c r="M427" s="358"/>
    </row>
    <row r="428" spans="1:13" ht="13">
      <c r="A428" s="360"/>
    </row>
    <row r="429" spans="1:13" ht="13">
      <c r="A429" s="360"/>
      <c r="B429" s="360"/>
      <c r="C429" s="360"/>
      <c r="D429" s="360"/>
      <c r="E429" s="360"/>
      <c r="F429" s="360" t="s">
        <v>566</v>
      </c>
      <c r="G429" s="360"/>
      <c r="H429" s="360"/>
      <c r="I429" s="360" t="s">
        <v>193</v>
      </c>
      <c r="J429" s="360"/>
      <c r="K429" s="360"/>
      <c r="L429" s="360"/>
      <c r="M429" s="360"/>
    </row>
    <row r="430" spans="1:13" ht="13">
      <c r="A430" s="360"/>
      <c r="B430" s="360" t="s">
        <v>741</v>
      </c>
      <c r="C430" s="360"/>
      <c r="D430" s="360" t="s">
        <v>1492</v>
      </c>
      <c r="E430" s="360"/>
      <c r="F430" s="2469" t="s">
        <v>595</v>
      </c>
      <c r="G430" s="2469" t="s">
        <v>1709</v>
      </c>
      <c r="H430" s="360"/>
      <c r="I430" s="2469" t="s">
        <v>525</v>
      </c>
      <c r="J430" s="2469">
        <v>1</v>
      </c>
      <c r="K430" s="2469">
        <v>2</v>
      </c>
      <c r="L430" s="2469">
        <v>3</v>
      </c>
      <c r="M430" s="2469">
        <v>4</v>
      </c>
    </row>
    <row r="431" spans="1:13" ht="13">
      <c r="B431" s="358" t="s">
        <v>1711</v>
      </c>
      <c r="C431" s="358"/>
      <c r="D431" s="358" t="str">
        <f>'Part IV-Utility Allowances'!D32</f>
        <v>&lt;&lt;Select Fuel &gt;&gt;</v>
      </c>
      <c r="E431" s="358"/>
      <c r="F431" s="2709">
        <f>'Part IV-Utility Allowances'!F32</f>
        <v>0</v>
      </c>
      <c r="G431" s="2709">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ht="13">
      <c r="B432" s="358" t="s">
        <v>1490</v>
      </c>
      <c r="C432" s="358"/>
      <c r="D432" s="358" t="str">
        <f>'Part IV-Utility Allowances'!D33</f>
        <v>&lt;&lt;Select Fuel &gt;&gt;</v>
      </c>
      <c r="E432" s="358"/>
      <c r="F432" s="2709">
        <f>'Part IV-Utility Allowances'!F33</f>
        <v>0</v>
      </c>
      <c r="G432" s="2709">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ht="13">
      <c r="B433" s="358" t="s">
        <v>1491</v>
      </c>
      <c r="C433" s="358"/>
      <c r="D433" s="358" t="str">
        <f>'Part IV-Utility Allowances'!D34</f>
        <v>&lt;&lt;Select Fuel &gt;&gt;</v>
      </c>
      <c r="E433" s="358"/>
      <c r="F433" s="2709">
        <f>'Part IV-Utility Allowances'!F34</f>
        <v>0</v>
      </c>
      <c r="G433" s="2709">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ht="13">
      <c r="B434" s="358" t="s">
        <v>439</v>
      </c>
      <c r="C434" s="358"/>
      <c r="D434" s="358" t="s">
        <v>1489</v>
      </c>
      <c r="F434" s="2709">
        <f>'Part IV-Utility Allowances'!F35</f>
        <v>0</v>
      </c>
      <c r="G434" s="2709">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ht="13">
      <c r="B435" s="358" t="s">
        <v>3187</v>
      </c>
      <c r="C435" s="358"/>
      <c r="D435" s="358" t="s">
        <v>1489</v>
      </c>
      <c r="F435" s="2709">
        <f>'Part IV-Utility Allowances'!F36</f>
        <v>0</v>
      </c>
      <c r="G435" s="2709">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ht="13">
      <c r="B436" s="358" t="s">
        <v>3188</v>
      </c>
      <c r="C436" s="358"/>
      <c r="D436" s="358" t="s">
        <v>1489</v>
      </c>
      <c r="F436" s="2709">
        <f>'Part IV-Utility Allowances'!F37</f>
        <v>0</v>
      </c>
      <c r="G436" s="2709">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ht="13">
      <c r="B437" s="358" t="s">
        <v>3189</v>
      </c>
      <c r="C437" s="358"/>
      <c r="D437" s="358" t="s">
        <v>1489</v>
      </c>
      <c r="F437" s="2709">
        <f>'Part IV-Utility Allowances'!F38</f>
        <v>0</v>
      </c>
      <c r="G437" s="2709">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ht="13">
      <c r="B438" s="358" t="s">
        <v>1290</v>
      </c>
      <c r="C438" s="358"/>
      <c r="D438" s="358" t="s">
        <v>5111</v>
      </c>
      <c r="E438" s="1784" t="str">
        <f>'Part IV-Utility Allowances'!E39</f>
        <v>&lt;Select&gt;</v>
      </c>
      <c r="F438" s="2709">
        <f>'Part IV-Utility Allowances'!F39</f>
        <v>0</v>
      </c>
      <c r="G438" s="2709">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ht="13">
      <c r="B439" s="358" t="s">
        <v>1710</v>
      </c>
      <c r="C439" s="358"/>
      <c r="F439" s="2709">
        <f>'Part IV-Utility Allowances'!F40</f>
        <v>0</v>
      </c>
      <c r="G439" s="2709">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5104</v>
      </c>
    </row>
    <row r="441" spans="1:13" ht="13">
      <c r="B441" s="2710" t="s">
        <v>5102</v>
      </c>
      <c r="C441" s="358"/>
      <c r="D441" s="358" t="s">
        <v>145</v>
      </c>
      <c r="F441" s="2709">
        <f>'Part IV-Utility Allowances'!F42</f>
        <v>0</v>
      </c>
      <c r="G441" s="2709">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ht="13">
      <c r="B442" s="2710" t="s">
        <v>5103</v>
      </c>
      <c r="C442" s="358"/>
      <c r="D442" s="358" t="s">
        <v>1489</v>
      </c>
      <c r="F442" s="2709">
        <f>'Part IV-Utility Allowances'!F43</f>
        <v>0</v>
      </c>
      <c r="G442" s="2709">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ht="13">
      <c r="B443" s="358" t="s">
        <v>689</v>
      </c>
      <c r="C443" s="361">
        <f>'Part IV-Utility Allowances'!C44</f>
        <v>0</v>
      </c>
      <c r="D443" s="361"/>
      <c r="E443" s="361"/>
      <c r="F443" s="2709">
        <f>'Part IV-Utility Allowances'!F44</f>
        <v>0</v>
      </c>
      <c r="G443" s="2709">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ht="13">
      <c r="B444" s="360" t="s">
        <v>955</v>
      </c>
      <c r="F444" s="1640"/>
      <c r="G444" s="1640"/>
      <c r="I444" s="2709">
        <f>IF(SUM(I431:I443)=0,0,IF(OR($D431="&lt;&lt;Select Fuel &gt;&gt;",$D433="&lt;&lt;Select Fuel &gt;&gt;",$D434="&lt;&lt;Select Fuel &gt;&gt;"),"Select Fuel",IF($E438="&lt;Select&gt;","Submeter?",SUM(I431:I443))))</f>
        <v>0</v>
      </c>
      <c r="J444" s="2709">
        <f>IF(SUM(J431:J443)=0,0,IF(OR($D431="&lt;&lt;Select Fuel &gt;&gt;",$D433="&lt;&lt;Select Fuel &gt;&gt;",$D434="&lt;&lt;Select Fuel &gt;&gt;"),"Select Fuel",IF($E438="&lt;Select&gt;","Submeter?",SUM(J431:J443))))</f>
        <v>0</v>
      </c>
      <c r="K444" s="2709">
        <f>IF(SUM(K431:K443)=0,0,IF(OR($D431="&lt;&lt;Select Fuel &gt;&gt;",$D433="&lt;&lt;Select Fuel &gt;&gt;",$D434="&lt;&lt;Select Fuel &gt;&gt;"),"Select Fuel",IF($E438="&lt;Select&gt;","Submeter?",SUM(K431:K443))))</f>
        <v>0</v>
      </c>
      <c r="L444" s="2709">
        <f>IF(SUM(L431:L443)=0,0,IF(OR($D431="&lt;&lt;Select Fuel &gt;&gt;",$D433="&lt;&lt;Select Fuel &gt;&gt;",$D434="&lt;&lt;Select Fuel &gt;&gt;"),"Select Fuel",IF($E438="&lt;Select&gt;","Submeter?",SUM(L431:L443))))</f>
        <v>0</v>
      </c>
      <c r="M444" s="2709">
        <f>IF(SUM(M431:M443)=0,0,IF(OR($D431="&lt;&lt;Select Fuel &gt;&gt;",$D433="&lt;&lt;Select Fuel &gt;&gt;",$D434="&lt;&lt;Select Fuel &gt;&gt;"),"Select Fuel",IF($E438="&lt;Select&gt;","Submeter?",SUM(M431:M443))))</f>
        <v>0</v>
      </c>
    </row>
    <row r="446" spans="1:13" ht="13">
      <c r="B446" s="790" t="s">
        <v>5112</v>
      </c>
      <c r="F446" s="1640"/>
      <c r="G446" s="1640"/>
      <c r="I446" s="2469"/>
      <c r="J446" s="2469"/>
      <c r="K446" s="2469"/>
      <c r="L446" s="2469"/>
      <c r="M446" s="2469"/>
    </row>
    <row r="447" spans="1:13" ht="13">
      <c r="A447" s="360"/>
      <c r="B447" s="360" t="s">
        <v>529</v>
      </c>
    </row>
    <row r="448" spans="1:13">
      <c r="B448" s="2599" t="str">
        <f>'Part IV-Utility Allowances'!B49</f>
        <v>Based on the Utility Allowance provided by the Housing Authority of College Park.</v>
      </c>
      <c r="C448" s="2599"/>
      <c r="D448" s="2599"/>
      <c r="E448" s="2599"/>
      <c r="F448" s="2599"/>
      <c r="G448" s="2599"/>
      <c r="H448" s="2599"/>
      <c r="I448" s="2599"/>
      <c r="J448" s="2599"/>
      <c r="K448" s="2599"/>
      <c r="L448" s="2599"/>
      <c r="M448" s="2599"/>
    </row>
    <row r="450" spans="1:416" ht="13">
      <c r="A450" s="360"/>
      <c r="B450" s="360" t="s">
        <v>1706</v>
      </c>
    </row>
    <row r="451" spans="1:416">
      <c r="B451" s="2599"/>
      <c r="C451" s="2599"/>
      <c r="D451" s="2599"/>
      <c r="E451" s="2599"/>
      <c r="F451" s="2599"/>
      <c r="G451" s="2599"/>
      <c r="H451" s="2599"/>
      <c r="I451" s="2599"/>
      <c r="J451" s="2599"/>
      <c r="K451" s="2599"/>
      <c r="L451" s="2599"/>
      <c r="M451" s="2599"/>
    </row>
    <row r="455" spans="1:416" s="358" customFormat="1" ht="14.15" customHeight="1">
      <c r="A455" s="1639" t="str">
        <f>CONCATENATE("PART FOUR - PROJECTED REVENUES &amp; EXPENSES","  -  ",'Part I-Project Identification'!$O$7," ",'Part I-Project Identification'!$F$26,", ",'Part I-Project Identification'!F480,", ",'Part I-Project Identification'!J480," County")</f>
        <v>PART FOUR - PROJECTED REVENUES &amp; EXPENSES  -  2025-5 Princeton Court,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2025-5 Princeton Court,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2467"/>
      <c r="JJ456" s="2467"/>
      <c r="JK456" s="2467"/>
      <c r="JL456" s="2467"/>
      <c r="JM456" s="2467"/>
      <c r="JN456" s="2467"/>
      <c r="JO456" s="2467"/>
      <c r="JP456" s="2467"/>
      <c r="JQ456" s="2467"/>
      <c r="JR456" s="2467"/>
      <c r="JS456" s="2467"/>
      <c r="JT456" s="2467"/>
      <c r="JU456" s="2467"/>
      <c r="JV456" s="2467"/>
      <c r="JW456" s="2467"/>
      <c r="JX456" s="2467"/>
      <c r="JY456" s="2467"/>
      <c r="JZ456" s="2467"/>
      <c r="KA456" s="2467"/>
      <c r="KB456" s="2467"/>
      <c r="KC456" s="2467"/>
      <c r="KD456" s="2467"/>
      <c r="KE456" s="2467"/>
      <c r="KF456" s="2467"/>
      <c r="KG456" s="2467"/>
      <c r="KH456" s="2467"/>
      <c r="KI456" s="2467"/>
      <c r="KJ456" s="2467"/>
      <c r="KK456" s="2467"/>
      <c r="KL456" s="2467"/>
      <c r="KM456" s="2467"/>
      <c r="KN456" s="2467"/>
      <c r="KO456" s="2467"/>
      <c r="KP456" s="2467"/>
      <c r="KQ456" s="2467"/>
      <c r="KR456" s="2467"/>
      <c r="KS456" s="2467"/>
      <c r="KT456" s="2467"/>
      <c r="KU456" s="2467"/>
      <c r="KV456" s="2467"/>
      <c r="KW456" s="2467"/>
      <c r="KX456" s="2467"/>
      <c r="KY456" s="2467"/>
      <c r="KZ456" s="2467"/>
      <c r="LA456" s="2467"/>
      <c r="LB456" s="2467"/>
      <c r="LC456" s="2467"/>
      <c r="LD456" s="2467"/>
      <c r="LE456" s="2467"/>
      <c r="LF456" s="2467"/>
      <c r="LG456" s="2467"/>
      <c r="LH456" s="2467"/>
      <c r="LI456" s="2467"/>
      <c r="LJ456" s="2467"/>
      <c r="LK456" s="2467"/>
      <c r="LL456" s="2467"/>
      <c r="LM456" s="2467"/>
      <c r="LN456" s="2467"/>
      <c r="LO456" s="2467"/>
      <c r="LP456" s="2467"/>
      <c r="LQ456" s="2467"/>
      <c r="LR456" s="2467"/>
      <c r="LS456" s="2467"/>
      <c r="LT456" s="2467"/>
      <c r="LU456" s="246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5" customHeight="1">
      <c r="A457" s="1639" t="s">
        <v>572</v>
      </c>
      <c r="B457" s="1639" t="s">
        <v>2177</v>
      </c>
      <c r="D457" s="2561" t="s">
        <v>3991</v>
      </c>
      <c r="E457" s="2561"/>
      <c r="F457" s="2561"/>
      <c r="G457" s="2561"/>
      <c r="H457" s="2561"/>
      <c r="I457" s="2561"/>
      <c r="J457" s="2561"/>
      <c r="K457" s="1639"/>
      <c r="L457" s="1639"/>
      <c r="M457" s="1639"/>
      <c r="O457" s="2711" t="s">
        <v>533</v>
      </c>
      <c r="P457" s="2712" t="str">
        <f>'Part I-Project Identification'!$O$29</f>
        <v>Atlanta-Sandy Springs-Marietta</v>
      </c>
      <c r="Q457" s="2712"/>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2468"/>
      <c r="JJ457" s="2468"/>
      <c r="JK457" s="2468"/>
      <c r="JL457" s="2468"/>
      <c r="JM457" s="2468"/>
      <c r="JN457" s="2467" t="s">
        <v>456</v>
      </c>
      <c r="JO457" s="2467" t="s">
        <v>2239</v>
      </c>
      <c r="JP457" s="2467" t="s">
        <v>2240</v>
      </c>
      <c r="JQ457" s="2467" t="s">
        <v>2241</v>
      </c>
      <c r="JR457" s="2467" t="s">
        <v>2242</v>
      </c>
      <c r="JS457" s="2467" t="s">
        <v>456</v>
      </c>
      <c r="JT457" s="2467" t="s">
        <v>2239</v>
      </c>
      <c r="JU457" s="2467" t="s">
        <v>2240</v>
      </c>
      <c r="JV457" s="2467" t="s">
        <v>2241</v>
      </c>
      <c r="JW457" s="2467" t="s">
        <v>2242</v>
      </c>
      <c r="JX457" s="2468"/>
      <c r="JY457" s="2468"/>
      <c r="JZ457" s="2468"/>
      <c r="KA457" s="2468"/>
      <c r="KB457" s="2468"/>
      <c r="KC457" s="2468"/>
      <c r="KD457" s="2468"/>
      <c r="KE457" s="2468"/>
      <c r="KF457" s="2468"/>
      <c r="KG457" s="2468"/>
      <c r="KH457" s="2467" t="s">
        <v>456</v>
      </c>
      <c r="KI457" s="2467" t="s">
        <v>2239</v>
      </c>
      <c r="KJ457" s="2467" t="s">
        <v>2240</v>
      </c>
      <c r="KK457" s="2467" t="s">
        <v>2241</v>
      </c>
      <c r="KL457" s="2467" t="s">
        <v>2242</v>
      </c>
      <c r="KM457" s="2467" t="s">
        <v>456</v>
      </c>
      <c r="KN457" s="2467" t="s">
        <v>2239</v>
      </c>
      <c r="KO457" s="2467" t="s">
        <v>2240</v>
      </c>
      <c r="KP457" s="2467" t="s">
        <v>2241</v>
      </c>
      <c r="KQ457" s="2467" t="s">
        <v>2242</v>
      </c>
      <c r="KR457" s="2467" t="s">
        <v>456</v>
      </c>
      <c r="KS457" s="2467" t="s">
        <v>2239</v>
      </c>
      <c r="KT457" s="2467" t="s">
        <v>2240</v>
      </c>
      <c r="KU457" s="2467" t="s">
        <v>2241</v>
      </c>
      <c r="KV457" s="2467" t="s">
        <v>2242</v>
      </c>
      <c r="KW457" s="2467" t="s">
        <v>456</v>
      </c>
      <c r="KX457" s="2467" t="s">
        <v>2239</v>
      </c>
      <c r="KY457" s="2467" t="s">
        <v>2240</v>
      </c>
      <c r="KZ457" s="2467" t="s">
        <v>2241</v>
      </c>
      <c r="LA457" s="2467" t="s">
        <v>2242</v>
      </c>
      <c r="LB457" s="2467" t="s">
        <v>456</v>
      </c>
      <c r="LC457" s="2467" t="s">
        <v>2239</v>
      </c>
      <c r="LD457" s="2467" t="s">
        <v>2240</v>
      </c>
      <c r="LE457" s="2467" t="s">
        <v>2241</v>
      </c>
      <c r="LF457" s="2467" t="s">
        <v>2242</v>
      </c>
      <c r="LG457" s="2467" t="s">
        <v>456</v>
      </c>
      <c r="LH457" s="2467" t="s">
        <v>2239</v>
      </c>
      <c r="LI457" s="2467" t="s">
        <v>2240</v>
      </c>
      <c r="LJ457" s="2467" t="s">
        <v>2241</v>
      </c>
      <c r="LK457" s="2467" t="s">
        <v>2242</v>
      </c>
      <c r="LL457" s="2467" t="s">
        <v>456</v>
      </c>
      <c r="LM457" s="2467" t="s">
        <v>2239</v>
      </c>
      <c r="LN457" s="2467" t="s">
        <v>2240</v>
      </c>
      <c r="LO457" s="2467" t="s">
        <v>2241</v>
      </c>
      <c r="LP457" s="2467" t="s">
        <v>2242</v>
      </c>
      <c r="LQ457" s="2467" t="s">
        <v>456</v>
      </c>
      <c r="LR457" s="2467" t="s">
        <v>2239</v>
      </c>
      <c r="LS457" s="2467" t="s">
        <v>2240</v>
      </c>
      <c r="LT457" s="2467" t="s">
        <v>2241</v>
      </c>
      <c r="LU457" s="2467" t="s">
        <v>2242</v>
      </c>
      <c r="LV457" s="2467" t="s">
        <v>456</v>
      </c>
      <c r="LW457" s="2467" t="s">
        <v>2239</v>
      </c>
      <c r="LX457" s="2467" t="s">
        <v>2240</v>
      </c>
      <c r="LY457" s="2467" t="s">
        <v>2241</v>
      </c>
      <c r="LZ457" s="2467" t="s">
        <v>2242</v>
      </c>
      <c r="MA457" s="2467" t="s">
        <v>456</v>
      </c>
      <c r="MB457" s="2467" t="s">
        <v>2239</v>
      </c>
      <c r="MC457" s="2467" t="s">
        <v>2240</v>
      </c>
      <c r="MD457" s="2467" t="s">
        <v>2241</v>
      </c>
      <c r="ME457" s="2467" t="s">
        <v>2242</v>
      </c>
      <c r="MF457" s="2467" t="s">
        <v>456</v>
      </c>
      <c r="MG457" s="2467" t="s">
        <v>2239</v>
      </c>
      <c r="MH457" s="2467" t="s">
        <v>2240</v>
      </c>
      <c r="MI457" s="2467" t="s">
        <v>2241</v>
      </c>
      <c r="MJ457" s="2467" t="s">
        <v>2242</v>
      </c>
      <c r="MK457" s="2467" t="s">
        <v>456</v>
      </c>
      <c r="ML457" s="2467" t="s">
        <v>2239</v>
      </c>
      <c r="MM457" s="2467" t="s">
        <v>2240</v>
      </c>
      <c r="MN457" s="2467" t="s">
        <v>2241</v>
      </c>
      <c r="MO457" s="246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2963</v>
      </c>
      <c r="NP457" s="359" t="s">
        <v>2964</v>
      </c>
      <c r="NQ457" s="359" t="s">
        <v>2965</v>
      </c>
      <c r="NR457" s="359" t="s">
        <v>2966</v>
      </c>
      <c r="NS457" s="359" t="s">
        <v>2967</v>
      </c>
      <c r="NT457" s="1409"/>
      <c r="NU457" s="1409"/>
      <c r="NV457" s="1409"/>
      <c r="NW457" s="1409"/>
      <c r="NX457" s="1409"/>
      <c r="NY457" s="1409"/>
      <c r="NZ457" s="1409"/>
      <c r="OA457" s="1409"/>
      <c r="OB457" s="1409"/>
      <c r="OC457" s="1409"/>
      <c r="OZ457" s="1784">
        <v>4</v>
      </c>
    </row>
    <row r="458" spans="1:416" s="358" customFormat="1" ht="3" customHeight="1">
      <c r="B458" s="1639"/>
      <c r="D458" s="2561"/>
      <c r="E458" s="2561"/>
      <c r="F458" s="2561"/>
      <c r="G458" s="2561"/>
      <c r="H458" s="2561"/>
      <c r="I458" s="2561"/>
      <c r="J458" s="2561"/>
      <c r="P458" s="2712"/>
      <c r="Q458" s="2713" t="s">
        <v>5141</v>
      </c>
      <c r="R458" s="2714"/>
      <c r="X458" s="359" t="s">
        <v>3561</v>
      </c>
      <c r="Y458" s="359" t="s">
        <v>3562</v>
      </c>
      <c r="Z458" s="359" t="s">
        <v>3563</v>
      </c>
      <c r="AA458" s="359" t="s">
        <v>3564</v>
      </c>
      <c r="AB458" s="359" t="s">
        <v>3565</v>
      </c>
      <c r="AC458" s="359" t="s">
        <v>3566</v>
      </c>
      <c r="AD458" s="359" t="s">
        <v>3567</v>
      </c>
      <c r="AE458" s="359" t="s">
        <v>3568</v>
      </c>
      <c r="AF458" s="359" t="s">
        <v>3569</v>
      </c>
      <c r="AG458" s="359" t="s">
        <v>3570</v>
      </c>
      <c r="AH458" s="359" t="s">
        <v>860</v>
      </c>
      <c r="AI458" s="359" t="s">
        <v>704</v>
      </c>
      <c r="AJ458" s="359" t="s">
        <v>705</v>
      </c>
      <c r="AK458" s="359" t="s">
        <v>706</v>
      </c>
      <c r="AL458" s="359" t="s">
        <v>707</v>
      </c>
      <c r="AM458" s="359" t="s">
        <v>861</v>
      </c>
      <c r="AN458" s="359" t="s">
        <v>2125</v>
      </c>
      <c r="AO458" s="359" t="s">
        <v>2126</v>
      </c>
      <c r="AP458" s="359" t="s">
        <v>2127</v>
      </c>
      <c r="AQ458" s="359" t="s">
        <v>2128</v>
      </c>
      <c r="AR458" s="359" t="s">
        <v>3572</v>
      </c>
      <c r="AS458" s="359" t="s">
        <v>3573</v>
      </c>
      <c r="AT458" s="359" t="s">
        <v>3574</v>
      </c>
      <c r="AU458" s="359" t="s">
        <v>3575</v>
      </c>
      <c r="AV458" s="359" t="s">
        <v>3571</v>
      </c>
      <c r="AW458" s="359" t="s">
        <v>862</v>
      </c>
      <c r="AX458" s="359" t="s">
        <v>2129</v>
      </c>
      <c r="AY458" s="359" t="s">
        <v>2130</v>
      </c>
      <c r="AZ458" s="359" t="s">
        <v>2131</v>
      </c>
      <c r="BA458" s="359" t="s">
        <v>2132</v>
      </c>
      <c r="BB458" s="359" t="s">
        <v>3576</v>
      </c>
      <c r="BC458" s="359" t="s">
        <v>3577</v>
      </c>
      <c r="BD458" s="359" t="s">
        <v>3578</v>
      </c>
      <c r="BE458" s="359" t="s">
        <v>3579</v>
      </c>
      <c r="BF458" s="359" t="s">
        <v>3580</v>
      </c>
      <c r="BG458" s="359" t="s">
        <v>123</v>
      </c>
      <c r="BH458" s="359" t="s">
        <v>2133</v>
      </c>
      <c r="BI458" s="359" t="s">
        <v>2134</v>
      </c>
      <c r="BJ458" s="359" t="s">
        <v>2135</v>
      </c>
      <c r="BK458" s="359" t="s">
        <v>1079</v>
      </c>
      <c r="BL458" s="359" t="s">
        <v>3581</v>
      </c>
      <c r="BM458" s="359" t="s">
        <v>3582</v>
      </c>
      <c r="BN458" s="359" t="s">
        <v>3583</v>
      </c>
      <c r="BO458" s="359" t="s">
        <v>3584</v>
      </c>
      <c r="BP458" s="359" t="s">
        <v>3585</v>
      </c>
      <c r="BQ458" s="359" t="s">
        <v>516</v>
      </c>
      <c r="BR458" s="359" t="s">
        <v>517</v>
      </c>
      <c r="BS458" s="359" t="s">
        <v>534</v>
      </c>
      <c r="BT458" s="359" t="s">
        <v>535</v>
      </c>
      <c r="BU458" s="359" t="s">
        <v>536</v>
      </c>
      <c r="BV458" s="359" t="s">
        <v>3586</v>
      </c>
      <c r="BW458" s="359" t="s">
        <v>3587</v>
      </c>
      <c r="BX458" s="359" t="s">
        <v>3588</v>
      </c>
      <c r="BY458" s="359" t="s">
        <v>3589</v>
      </c>
      <c r="BZ458" s="359" t="s">
        <v>3590</v>
      </c>
      <c r="CA458" s="359" t="s">
        <v>537</v>
      </c>
      <c r="CB458" s="359" t="s">
        <v>538</v>
      </c>
      <c r="CC458" s="359" t="s">
        <v>539</v>
      </c>
      <c r="CD458" s="359" t="s">
        <v>540</v>
      </c>
      <c r="CE458" s="359" t="s">
        <v>541</v>
      </c>
      <c r="CF458" s="359" t="s">
        <v>542</v>
      </c>
      <c r="CG458" s="359" t="s">
        <v>543</v>
      </c>
      <c r="CH458" s="359" t="s">
        <v>871</v>
      </c>
      <c r="CI458" s="359" t="s">
        <v>872</v>
      </c>
      <c r="CJ458" s="359" t="s">
        <v>873</v>
      </c>
      <c r="CK458" s="359" t="s">
        <v>3596</v>
      </c>
      <c r="CL458" s="359" t="s">
        <v>3597</v>
      </c>
      <c r="CM458" s="359" t="s">
        <v>3598</v>
      </c>
      <c r="CN458" s="359" t="s">
        <v>3599</v>
      </c>
      <c r="CO458" s="359" t="s">
        <v>3600</v>
      </c>
      <c r="CP458" s="359" t="s">
        <v>3591</v>
      </c>
      <c r="CQ458" s="359" t="s">
        <v>3592</v>
      </c>
      <c r="CR458" s="359" t="s">
        <v>3593</v>
      </c>
      <c r="CS458" s="359" t="s">
        <v>3594</v>
      </c>
      <c r="CT458" s="359" t="s">
        <v>3595</v>
      </c>
      <c r="CU458" s="359" t="s">
        <v>3601</v>
      </c>
      <c r="CV458" s="359" t="s">
        <v>3602</v>
      </c>
      <c r="CW458" s="359" t="s">
        <v>3603</v>
      </c>
      <c r="CX458" s="359" t="s">
        <v>3604</v>
      </c>
      <c r="CY458" s="359" t="s">
        <v>3605</v>
      </c>
      <c r="CZ458" s="359" t="s">
        <v>465</v>
      </c>
      <c r="DA458" s="359" t="s">
        <v>466</v>
      </c>
      <c r="DB458" s="359" t="s">
        <v>467</v>
      </c>
      <c r="DC458" s="359" t="s">
        <v>468</v>
      </c>
      <c r="DD458" s="359" t="s">
        <v>469</v>
      </c>
      <c r="DE458" s="359" t="s">
        <v>3606</v>
      </c>
      <c r="DF458" s="359" t="s">
        <v>3607</v>
      </c>
      <c r="DG458" s="359" t="s">
        <v>3608</v>
      </c>
      <c r="DH458" s="359" t="s">
        <v>3609</v>
      </c>
      <c r="DI458" s="359" t="s">
        <v>3610</v>
      </c>
      <c r="DJ458" s="359" t="s">
        <v>821</v>
      </c>
      <c r="DK458" s="359" t="s">
        <v>822</v>
      </c>
      <c r="DL458" s="359" t="s">
        <v>823</v>
      </c>
      <c r="DM458" s="359" t="s">
        <v>824</v>
      </c>
      <c r="DN458" s="359" t="s">
        <v>825</v>
      </c>
      <c r="DO458" s="359" t="s">
        <v>826</v>
      </c>
      <c r="DP458" s="359" t="s">
        <v>827</v>
      </c>
      <c r="DQ458" s="359" t="s">
        <v>828</v>
      </c>
      <c r="DR458" s="359" t="s">
        <v>829</v>
      </c>
      <c r="DS458" s="359" t="s">
        <v>830</v>
      </c>
      <c r="DT458" s="359" t="s">
        <v>3611</v>
      </c>
      <c r="DU458" s="359" t="s">
        <v>3612</v>
      </c>
      <c r="DV458" s="359" t="s">
        <v>3613</v>
      </c>
      <c r="DW458" s="359" t="s">
        <v>3614</v>
      </c>
      <c r="DX458" s="359" t="s">
        <v>3615</v>
      </c>
      <c r="DY458" s="359" t="s">
        <v>3616</v>
      </c>
      <c r="DZ458" s="359" t="s">
        <v>3617</v>
      </c>
      <c r="EA458" s="359" t="s">
        <v>3618</v>
      </c>
      <c r="EB458" s="359" t="s">
        <v>3619</v>
      </c>
      <c r="EC458" s="359" t="s">
        <v>3620</v>
      </c>
      <c r="ED458" s="359" t="s">
        <v>5004</v>
      </c>
      <c r="EE458" s="359" t="s">
        <v>5005</v>
      </c>
      <c r="EF458" s="359" t="s">
        <v>5006</v>
      </c>
      <c r="EG458" s="359" t="s">
        <v>5007</v>
      </c>
      <c r="EH458" s="359" t="s">
        <v>5008</v>
      </c>
      <c r="EI458" s="359" t="s">
        <v>5009</v>
      </c>
      <c r="EJ458" s="359" t="s">
        <v>5010</v>
      </c>
      <c r="EK458" s="359" t="s">
        <v>5011</v>
      </c>
      <c r="EL458" s="359" t="s">
        <v>5012</v>
      </c>
      <c r="EM458" s="359" t="s">
        <v>5013</v>
      </c>
      <c r="EN458" s="359" t="s">
        <v>5014</v>
      </c>
      <c r="EO458" s="359" t="s">
        <v>5015</v>
      </c>
      <c r="EP458" s="359" t="s">
        <v>5016</v>
      </c>
      <c r="EQ458" s="359" t="s">
        <v>5017</v>
      </c>
      <c r="ER458" s="359" t="s">
        <v>5018</v>
      </c>
      <c r="ES458" s="359" t="s">
        <v>5019</v>
      </c>
      <c r="ET458" s="359" t="s">
        <v>5020</v>
      </c>
      <c r="EU458" s="359" t="s">
        <v>5021</v>
      </c>
      <c r="EV458" s="359" t="s">
        <v>5022</v>
      </c>
      <c r="EW458" s="359" t="s">
        <v>5023</v>
      </c>
      <c r="EX458" s="359" t="s">
        <v>5024</v>
      </c>
      <c r="EY458" s="359" t="s">
        <v>5025</v>
      </c>
      <c r="EZ458" s="359" t="s">
        <v>5026</v>
      </c>
      <c r="FA458" s="359" t="s">
        <v>5027</v>
      </c>
      <c r="FB458" s="359" t="s">
        <v>5028</v>
      </c>
      <c r="FC458" s="359" t="s">
        <v>5029</v>
      </c>
      <c r="FD458" s="359" t="s">
        <v>5030</v>
      </c>
      <c r="FE458" s="359" t="s">
        <v>5031</v>
      </c>
      <c r="FF458" s="359" t="s">
        <v>5032</v>
      </c>
      <c r="FG458" s="359" t="s">
        <v>5033</v>
      </c>
      <c r="FH458" s="359" t="s">
        <v>5034</v>
      </c>
      <c r="FI458" s="359" t="s">
        <v>5035</v>
      </c>
      <c r="FJ458" s="359" t="s">
        <v>5036</v>
      </c>
      <c r="FK458" s="359" t="s">
        <v>5037</v>
      </c>
      <c r="FL458" s="359" t="s">
        <v>5038</v>
      </c>
      <c r="FM458" s="359" t="s">
        <v>2229</v>
      </c>
      <c r="FN458" s="359" t="s">
        <v>2230</v>
      </c>
      <c r="FO458" s="359" t="s">
        <v>2231</v>
      </c>
      <c r="FP458" s="359" t="s">
        <v>2232</v>
      </c>
      <c r="FQ458" s="359" t="s">
        <v>2233</v>
      </c>
      <c r="FR458" s="359" t="s">
        <v>3621</v>
      </c>
      <c r="FS458" s="359" t="s">
        <v>3622</v>
      </c>
      <c r="FT458" s="359" t="s">
        <v>3623</v>
      </c>
      <c r="FU458" s="359" t="s">
        <v>3624</v>
      </c>
      <c r="FV458" s="359" t="s">
        <v>3625</v>
      </c>
      <c r="FW458" s="359" t="s">
        <v>3626</v>
      </c>
      <c r="FX458" s="359" t="s">
        <v>3627</v>
      </c>
      <c r="FY458" s="359" t="s">
        <v>3628</v>
      </c>
      <c r="FZ458" s="359" t="s">
        <v>3629</v>
      </c>
      <c r="GA458" s="359" t="s">
        <v>3630</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3631</v>
      </c>
      <c r="GM458" s="359" t="s">
        <v>3632</v>
      </c>
      <c r="GN458" s="359" t="s">
        <v>3633</v>
      </c>
      <c r="GO458" s="359" t="s">
        <v>3634</v>
      </c>
      <c r="GP458" s="359" t="s">
        <v>3635</v>
      </c>
      <c r="GQ458" s="359" t="s">
        <v>125</v>
      </c>
      <c r="GR458" s="359" t="s">
        <v>852</v>
      </c>
      <c r="GS458" s="359" t="s">
        <v>853</v>
      </c>
      <c r="GT458" s="359" t="s">
        <v>854</v>
      </c>
      <c r="GU458" s="359" t="s">
        <v>855</v>
      </c>
      <c r="GV458" s="359" t="s">
        <v>3636</v>
      </c>
      <c r="GW458" s="359" t="s">
        <v>3637</v>
      </c>
      <c r="GX458" s="359" t="s">
        <v>3638</v>
      </c>
      <c r="GY458" s="359" t="s">
        <v>3639</v>
      </c>
      <c r="GZ458" s="359" t="s">
        <v>3640</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2468"/>
      <c r="JJ458" s="2468"/>
      <c r="JK458" s="2468"/>
      <c r="JL458" s="2468"/>
      <c r="JM458" s="2468"/>
      <c r="JN458" s="2468"/>
      <c r="JO458" s="2468"/>
      <c r="JP458" s="2468"/>
      <c r="JQ458" s="2468"/>
      <c r="JR458" s="2468"/>
      <c r="JS458" s="2468"/>
      <c r="JT458" s="2468"/>
      <c r="JU458" s="2468"/>
      <c r="JV458" s="2468"/>
      <c r="JW458" s="2468"/>
      <c r="JX458" s="2468"/>
      <c r="JY458" s="2468"/>
      <c r="JZ458" s="2468"/>
      <c r="KA458" s="2468"/>
      <c r="KB458" s="2468"/>
      <c r="KC458" s="2468"/>
      <c r="KD458" s="2468"/>
      <c r="KE458" s="2468"/>
      <c r="KF458" s="2468"/>
      <c r="KG458" s="2468"/>
      <c r="KH458" s="2468"/>
      <c r="KI458" s="2468"/>
      <c r="KJ458" s="2468"/>
      <c r="KK458" s="2468"/>
      <c r="KL458" s="2468"/>
      <c r="KM458" s="2468"/>
      <c r="KN458" s="2468"/>
      <c r="KO458" s="2468"/>
      <c r="KP458" s="2468"/>
      <c r="KQ458" s="2468"/>
      <c r="KR458" s="2468"/>
      <c r="KS458" s="2468"/>
      <c r="KT458" s="2468"/>
      <c r="KU458" s="2468"/>
      <c r="KV458" s="2468"/>
      <c r="KW458" s="2468"/>
      <c r="KX458" s="2468"/>
      <c r="KY458" s="2468"/>
      <c r="KZ458" s="2468"/>
      <c r="LA458" s="2468"/>
      <c r="LB458" s="2468"/>
      <c r="LC458" s="2468"/>
      <c r="LD458" s="2468"/>
      <c r="LE458" s="2468"/>
      <c r="LF458" s="2468"/>
      <c r="LG458" s="2468"/>
      <c r="LH458" s="2468"/>
      <c r="LI458" s="2468"/>
      <c r="LJ458" s="2468"/>
      <c r="LK458" s="2468"/>
      <c r="LL458" s="2468"/>
      <c r="LM458" s="2468"/>
      <c r="LN458" s="2468"/>
      <c r="LO458" s="2468"/>
      <c r="LP458" s="2468"/>
      <c r="LQ458" s="2468"/>
      <c r="LR458" s="2468"/>
      <c r="LS458" s="2468"/>
      <c r="LT458" s="2468"/>
      <c r="LU458" s="246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5" customHeight="1">
      <c r="A459" s="2715" t="str">
        <f>IF(A511&gt;0,"Finish Row!","")</f>
        <v/>
      </c>
      <c r="B459" s="1536" t="s">
        <v>5142</v>
      </c>
      <c r="D459" s="2561"/>
      <c r="E459" s="2561"/>
      <c r="F459" s="2561"/>
      <c r="G459" s="1784" t="str">
        <f>'Part V-Revenues &amp; Expenses'!G6</f>
        <v>&lt;Select&gt;</v>
      </c>
      <c r="H459" s="2716" t="s">
        <v>3994</v>
      </c>
      <c r="I459" s="2716"/>
      <c r="J459" s="2716"/>
      <c r="K459" s="2717" t="s">
        <v>3052</v>
      </c>
      <c r="L459" s="2718" t="str">
        <f>'Part I-Project Identification'!$A$6</f>
        <v>August 11, 2025</v>
      </c>
      <c r="M459" s="2718"/>
      <c r="N459" s="2718"/>
      <c r="O459" s="2719" t="s">
        <v>5143</v>
      </c>
      <c r="P459" s="2720">
        <f>'Part V-Revenues &amp; Expenses'!P6</f>
        <v>114200</v>
      </c>
      <c r="Q459" s="2713"/>
      <c r="R459" s="2714"/>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2468"/>
      <c r="JJ459" s="2468"/>
      <c r="JK459" s="2468"/>
      <c r="JL459" s="2468"/>
      <c r="JM459" s="2468"/>
      <c r="JN459" s="2468"/>
      <c r="JO459" s="2468"/>
      <c r="JP459" s="2468"/>
      <c r="JQ459" s="2468"/>
      <c r="JR459" s="2468"/>
      <c r="JS459" s="2468"/>
      <c r="JT459" s="2468"/>
      <c r="JU459" s="2468"/>
      <c r="JV459" s="2468"/>
      <c r="JW459" s="2468"/>
      <c r="JX459" s="2468"/>
      <c r="JY459" s="2468"/>
      <c r="JZ459" s="2468"/>
      <c r="KA459" s="2468"/>
      <c r="KB459" s="2468"/>
      <c r="KC459" s="2468"/>
      <c r="KD459" s="2468"/>
      <c r="KE459" s="2468"/>
      <c r="KF459" s="2468"/>
      <c r="KG459" s="2468"/>
      <c r="KH459" s="2468"/>
      <c r="KI459" s="2468"/>
      <c r="KJ459" s="2468"/>
      <c r="KK459" s="2468"/>
      <c r="KL459" s="2468"/>
      <c r="KM459" s="2468"/>
      <c r="KN459" s="2468"/>
      <c r="KO459" s="2468"/>
      <c r="KP459" s="2468"/>
      <c r="KQ459" s="2468"/>
      <c r="KR459" s="2468"/>
      <c r="KS459" s="2468"/>
      <c r="KT459" s="2468"/>
      <c r="KU459" s="2468"/>
      <c r="KV459" s="2468"/>
      <c r="KW459" s="2468"/>
      <c r="KX459" s="2468"/>
      <c r="KY459" s="2468"/>
      <c r="KZ459" s="2468"/>
      <c r="LA459" s="2468"/>
      <c r="LB459" s="2468"/>
      <c r="LC459" s="2468"/>
      <c r="LD459" s="2468"/>
      <c r="LE459" s="2468"/>
      <c r="LF459" s="2468"/>
      <c r="LG459" s="2468"/>
      <c r="LH459" s="2468"/>
      <c r="LI459" s="2468"/>
      <c r="LJ459" s="2468"/>
      <c r="LK459" s="2468"/>
      <c r="LL459" s="2468"/>
      <c r="LM459" s="2468"/>
      <c r="LN459" s="2468"/>
      <c r="LO459" s="2468"/>
      <c r="LP459" s="2468"/>
      <c r="LQ459" s="2468"/>
      <c r="LR459" s="2468"/>
      <c r="LS459" s="2468"/>
      <c r="LT459" s="2468"/>
      <c r="LU459" s="246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2958</v>
      </c>
      <c r="NU459" s="1409" t="s">
        <v>2959</v>
      </c>
      <c r="NV459" s="1409" t="s">
        <v>2960</v>
      </c>
      <c r="NW459" s="1409" t="s">
        <v>2961</v>
      </c>
      <c r="NX459" s="1409" t="s">
        <v>2962</v>
      </c>
      <c r="NY459" s="359" t="s">
        <v>4174</v>
      </c>
      <c r="NZ459" s="359" t="s">
        <v>4175</v>
      </c>
      <c r="OA459" s="359" t="s">
        <v>4176</v>
      </c>
      <c r="OB459" s="359" t="s">
        <v>4177</v>
      </c>
      <c r="OC459" s="359" t="s">
        <v>4178</v>
      </c>
      <c r="OZ459" s="1784">
        <v>6</v>
      </c>
    </row>
    <row r="460" spans="1:416" s="358" customFormat="1" ht="12.65" customHeight="1">
      <c r="A460" s="2715"/>
      <c r="B460" s="2721" t="s">
        <v>3993</v>
      </c>
      <c r="E460" s="1639"/>
      <c r="G460" s="1784" t="str">
        <f>'Part V-Revenues &amp; Expenses'!G7</f>
        <v>No</v>
      </c>
      <c r="I460" s="1536" t="s">
        <v>3938</v>
      </c>
      <c r="J460" s="2717" t="s">
        <v>741</v>
      </c>
      <c r="K460" s="2717" t="s">
        <v>3099</v>
      </c>
      <c r="L460" s="2718"/>
      <c r="M460" s="2718"/>
      <c r="N460" s="2718"/>
      <c r="O460" s="2722" t="s">
        <v>3975</v>
      </c>
      <c r="P460" s="2723">
        <f>'Part V-Revenues &amp; Expenses'!P7</f>
        <v>45748</v>
      </c>
      <c r="Q460" s="2713"/>
      <c r="R460" s="1639" t="s">
        <v>2451</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2468"/>
      <c r="JJ460" s="2468"/>
      <c r="JK460" s="2468"/>
      <c r="JL460" s="2468"/>
      <c r="JM460" s="2468"/>
      <c r="JN460" s="2468"/>
      <c r="JO460" s="2468"/>
      <c r="JP460" s="2468"/>
      <c r="JQ460" s="2468"/>
      <c r="JR460" s="2468"/>
      <c r="JS460" s="2468"/>
      <c r="JT460" s="2468"/>
      <c r="JU460" s="2468"/>
      <c r="JV460" s="2468"/>
      <c r="JW460" s="2468"/>
      <c r="JX460" s="2468"/>
      <c r="JY460" s="2468"/>
      <c r="JZ460" s="2468"/>
      <c r="KA460" s="2468"/>
      <c r="KB460" s="2468"/>
      <c r="KC460" s="2468"/>
      <c r="KD460" s="2468"/>
      <c r="KE460" s="2468"/>
      <c r="KF460" s="2468"/>
      <c r="KG460" s="2468"/>
      <c r="KH460" s="2468"/>
      <c r="KI460" s="2468"/>
      <c r="KJ460" s="2468"/>
      <c r="KK460" s="2468"/>
      <c r="KL460" s="2468"/>
      <c r="KM460" s="2468"/>
      <c r="KN460" s="2468"/>
      <c r="KO460" s="2468"/>
      <c r="KP460" s="2468"/>
      <c r="KQ460" s="2468"/>
      <c r="KR460" s="2468"/>
      <c r="KS460" s="2468"/>
      <c r="KT460" s="2468"/>
      <c r="KU460" s="2468"/>
      <c r="KV460" s="2468"/>
      <c r="KW460" s="2468"/>
      <c r="KX460" s="2468"/>
      <c r="KY460" s="2468"/>
      <c r="KZ460" s="2468"/>
      <c r="LA460" s="2468"/>
      <c r="LB460" s="2468"/>
      <c r="LC460" s="2468"/>
      <c r="LD460" s="2468"/>
      <c r="LE460" s="2468"/>
      <c r="LF460" s="2468"/>
      <c r="LG460" s="2468"/>
      <c r="LH460" s="2468"/>
      <c r="LI460" s="2468"/>
      <c r="LJ460" s="2468"/>
      <c r="LK460" s="2468"/>
      <c r="LL460" s="2468"/>
      <c r="LM460" s="2468"/>
      <c r="LN460" s="2468"/>
      <c r="LO460" s="2468"/>
      <c r="LP460" s="2468"/>
      <c r="LQ460" s="2468"/>
      <c r="LR460" s="2468"/>
      <c r="LS460" s="2468"/>
      <c r="LT460" s="2468"/>
      <c r="LU460" s="246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5" customHeight="1">
      <c r="A461" s="2715"/>
      <c r="B461" s="2717" t="s">
        <v>3643</v>
      </c>
      <c r="I461" s="1536"/>
      <c r="J461" s="2717" t="s">
        <v>742</v>
      </c>
      <c r="K461" s="2717" t="s">
        <v>3100</v>
      </c>
      <c r="N461" s="2724" t="s">
        <v>4373</v>
      </c>
      <c r="O461" s="2550" t="str">
        <f>'Part V-Revenues &amp; Expenses'!O8</f>
        <v>Novogradac</v>
      </c>
      <c r="P461" s="2550"/>
      <c r="Q461" s="2713"/>
      <c r="R461" s="1639"/>
      <c r="S461" s="2709" t="s">
        <v>2448</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2468"/>
      <c r="JJ461" s="2468"/>
      <c r="JK461" s="2468"/>
      <c r="JL461" s="2468"/>
      <c r="JM461" s="2468"/>
      <c r="JN461" s="2468"/>
      <c r="JO461" s="2468"/>
      <c r="JP461" s="2468"/>
      <c r="JQ461" s="2468"/>
      <c r="JR461" s="2468"/>
      <c r="JS461" s="2468"/>
      <c r="JT461" s="2468"/>
      <c r="JU461" s="2468"/>
      <c r="JV461" s="2468"/>
      <c r="JW461" s="2468"/>
      <c r="JX461" s="2468"/>
      <c r="JY461" s="2468"/>
      <c r="JZ461" s="2468"/>
      <c r="KA461" s="2468"/>
      <c r="KB461" s="2468"/>
      <c r="KC461" s="2468"/>
      <c r="KD461" s="2468"/>
      <c r="KE461" s="2468"/>
      <c r="KF461" s="2468"/>
      <c r="KG461" s="2468"/>
      <c r="KH461" s="2467" t="s">
        <v>525</v>
      </c>
      <c r="KI461" s="2467" t="s">
        <v>2239</v>
      </c>
      <c r="KJ461" s="2467" t="s">
        <v>2240</v>
      </c>
      <c r="KK461" s="2467" t="s">
        <v>2241</v>
      </c>
      <c r="KL461" s="2467" t="s">
        <v>2242</v>
      </c>
      <c r="KM461" s="2467" t="s">
        <v>525</v>
      </c>
      <c r="KN461" s="2467" t="s">
        <v>2239</v>
      </c>
      <c r="KO461" s="2467" t="s">
        <v>2240</v>
      </c>
      <c r="KP461" s="2467" t="s">
        <v>2241</v>
      </c>
      <c r="KQ461" s="2467" t="s">
        <v>2242</v>
      </c>
      <c r="KR461" s="2467" t="s">
        <v>525</v>
      </c>
      <c r="KS461" s="2467" t="s">
        <v>2239</v>
      </c>
      <c r="KT461" s="2467" t="s">
        <v>2240</v>
      </c>
      <c r="KU461" s="2467" t="s">
        <v>2241</v>
      </c>
      <c r="KV461" s="2467" t="s">
        <v>2242</v>
      </c>
      <c r="KW461" s="2467" t="s">
        <v>525</v>
      </c>
      <c r="KX461" s="2467" t="s">
        <v>2239</v>
      </c>
      <c r="KY461" s="2467" t="s">
        <v>2240</v>
      </c>
      <c r="KZ461" s="2467" t="s">
        <v>2241</v>
      </c>
      <c r="LA461" s="2467" t="s">
        <v>2242</v>
      </c>
      <c r="LB461" s="2467" t="s">
        <v>525</v>
      </c>
      <c r="LC461" s="2467" t="s">
        <v>2239</v>
      </c>
      <c r="LD461" s="2467" t="s">
        <v>2240</v>
      </c>
      <c r="LE461" s="2467" t="s">
        <v>2241</v>
      </c>
      <c r="LF461" s="2467" t="s">
        <v>2242</v>
      </c>
      <c r="LG461" s="2467" t="s">
        <v>525</v>
      </c>
      <c r="LH461" s="2467" t="s">
        <v>2239</v>
      </c>
      <c r="LI461" s="2467" t="s">
        <v>2240</v>
      </c>
      <c r="LJ461" s="2467" t="s">
        <v>2241</v>
      </c>
      <c r="LK461" s="2467" t="s">
        <v>2242</v>
      </c>
      <c r="LL461" s="2467" t="s">
        <v>525</v>
      </c>
      <c r="LM461" s="2467" t="s">
        <v>2239</v>
      </c>
      <c r="LN461" s="2467" t="s">
        <v>2240</v>
      </c>
      <c r="LO461" s="2467" t="s">
        <v>2241</v>
      </c>
      <c r="LP461" s="2467" t="s">
        <v>2242</v>
      </c>
      <c r="LQ461" s="2467" t="s">
        <v>525</v>
      </c>
      <c r="LR461" s="2467" t="s">
        <v>2239</v>
      </c>
      <c r="LS461" s="2467" t="s">
        <v>2240</v>
      </c>
      <c r="LT461" s="2467" t="s">
        <v>2241</v>
      </c>
      <c r="LU461" s="2467" t="s">
        <v>2242</v>
      </c>
      <c r="LV461" s="2467" t="s">
        <v>525</v>
      </c>
      <c r="LW461" s="2467" t="s">
        <v>2239</v>
      </c>
      <c r="LX461" s="2467" t="s">
        <v>2240</v>
      </c>
      <c r="LY461" s="2467" t="s">
        <v>2241</v>
      </c>
      <c r="LZ461" s="2467" t="s">
        <v>2242</v>
      </c>
      <c r="MA461" s="2467" t="s">
        <v>525</v>
      </c>
      <c r="MB461" s="2467" t="s">
        <v>2239</v>
      </c>
      <c r="MC461" s="2467" t="s">
        <v>2240</v>
      </c>
      <c r="MD461" s="2467" t="s">
        <v>2241</v>
      </c>
      <c r="ME461" s="2467" t="s">
        <v>2242</v>
      </c>
      <c r="MF461" s="2467" t="s">
        <v>525</v>
      </c>
      <c r="MG461" s="2467" t="s">
        <v>2239</v>
      </c>
      <c r="MH461" s="2467" t="s">
        <v>2240</v>
      </c>
      <c r="MI461" s="2467" t="s">
        <v>2241</v>
      </c>
      <c r="MJ461" s="2467" t="s">
        <v>2242</v>
      </c>
      <c r="MK461" s="2467" t="s">
        <v>525</v>
      </c>
      <c r="ML461" s="2467" t="s">
        <v>2239</v>
      </c>
      <c r="MM461" s="2467" t="s">
        <v>2240</v>
      </c>
      <c r="MN461" s="2467" t="s">
        <v>2241</v>
      </c>
      <c r="MO461" s="246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715"/>
      <c r="B462" s="2717" t="s">
        <v>3644</v>
      </c>
      <c r="C462" s="2717" t="s">
        <v>165</v>
      </c>
      <c r="D462" s="2717" t="s">
        <v>509</v>
      </c>
      <c r="E462" s="2717" t="s">
        <v>1380</v>
      </c>
      <c r="F462" s="2717" t="s">
        <v>1380</v>
      </c>
      <c r="G462" s="1536" t="s">
        <v>3989</v>
      </c>
      <c r="H462" s="2714" t="s">
        <v>3218</v>
      </c>
      <c r="I462" s="1536"/>
      <c r="J462" s="2725" t="s">
        <v>3983</v>
      </c>
      <c r="K462" s="2717" t="s">
        <v>5144</v>
      </c>
      <c r="L462" s="1536" t="s">
        <v>139</v>
      </c>
      <c r="M462" s="1536"/>
      <c r="N462" s="2717" t="s">
        <v>2178</v>
      </c>
      <c r="O462" s="2717" t="s">
        <v>4376</v>
      </c>
      <c r="P462" s="2713" t="s">
        <v>5145</v>
      </c>
      <c r="Q462" s="2713"/>
      <c r="R462" s="2717" t="s">
        <v>2447</v>
      </c>
      <c r="S462" s="2717" t="s">
        <v>2449</v>
      </c>
      <c r="T462" s="2717"/>
      <c r="JI462" s="359" t="s">
        <v>1369</v>
      </c>
      <c r="JJ462" s="2467" t="s">
        <v>2239</v>
      </c>
      <c r="JK462" s="2467" t="s">
        <v>2240</v>
      </c>
      <c r="JL462" s="2467" t="s">
        <v>2241</v>
      </c>
      <c r="JM462" s="2467" t="s">
        <v>2242</v>
      </c>
      <c r="JN462" s="359" t="s">
        <v>2293</v>
      </c>
      <c r="JO462" s="359" t="s">
        <v>2293</v>
      </c>
      <c r="JP462" s="359" t="s">
        <v>2293</v>
      </c>
      <c r="JQ462" s="359" t="s">
        <v>2293</v>
      </c>
      <c r="JR462" s="359" t="s">
        <v>2293</v>
      </c>
      <c r="JS462" s="359" t="s">
        <v>2929</v>
      </c>
      <c r="JT462" s="359" t="s">
        <v>2929</v>
      </c>
      <c r="JU462" s="359" t="s">
        <v>2929</v>
      </c>
      <c r="JV462" s="359" t="s">
        <v>2929</v>
      </c>
      <c r="JW462" s="359" t="s">
        <v>2929</v>
      </c>
      <c r="JX462" s="2467" t="s">
        <v>525</v>
      </c>
      <c r="JY462" s="2467" t="s">
        <v>2239</v>
      </c>
      <c r="JZ462" s="2467" t="s">
        <v>2240</v>
      </c>
      <c r="KA462" s="2467" t="s">
        <v>2241</v>
      </c>
      <c r="KB462" s="2467" t="s">
        <v>2242</v>
      </c>
      <c r="KC462" s="2467" t="s">
        <v>525</v>
      </c>
      <c r="KD462" s="2467" t="s">
        <v>2239</v>
      </c>
      <c r="KE462" s="2467" t="s">
        <v>2240</v>
      </c>
      <c r="KF462" s="2467" t="s">
        <v>2241</v>
      </c>
      <c r="KG462" s="2467" t="s">
        <v>2242</v>
      </c>
      <c r="KH462" s="359" t="s">
        <v>4179</v>
      </c>
      <c r="KI462" s="359" t="s">
        <v>4179</v>
      </c>
      <c r="KJ462" s="359" t="s">
        <v>4179</v>
      </c>
      <c r="KK462" s="359" t="s">
        <v>4179</v>
      </c>
      <c r="KL462" s="359" t="s">
        <v>4179</v>
      </c>
      <c r="KM462" s="359" t="s">
        <v>4180</v>
      </c>
      <c r="KN462" s="359" t="s">
        <v>4180</v>
      </c>
      <c r="KO462" s="359" t="s">
        <v>4180</v>
      </c>
      <c r="KP462" s="359" t="s">
        <v>4180</v>
      </c>
      <c r="KQ462" s="359" t="s">
        <v>4180</v>
      </c>
      <c r="KR462" s="359" t="s">
        <v>4182</v>
      </c>
      <c r="KS462" s="359" t="s">
        <v>4182</v>
      </c>
      <c r="KT462" s="359" t="s">
        <v>4182</v>
      </c>
      <c r="KU462" s="359" t="s">
        <v>4182</v>
      </c>
      <c r="KV462" s="359" t="s">
        <v>4182</v>
      </c>
      <c r="KW462" s="359" t="s">
        <v>4183</v>
      </c>
      <c r="KX462" s="359" t="s">
        <v>4183</v>
      </c>
      <c r="KY462" s="359" t="s">
        <v>4183</v>
      </c>
      <c r="KZ462" s="359" t="s">
        <v>4183</v>
      </c>
      <c r="LA462" s="359" t="s">
        <v>4183</v>
      </c>
      <c r="LB462" s="359" t="s">
        <v>4184</v>
      </c>
      <c r="LC462" s="359" t="s">
        <v>4184</v>
      </c>
      <c r="LD462" s="359" t="s">
        <v>4184</v>
      </c>
      <c r="LE462" s="359" t="s">
        <v>4184</v>
      </c>
      <c r="LF462" s="359" t="s">
        <v>4184</v>
      </c>
      <c r="LG462" s="359" t="s">
        <v>4377</v>
      </c>
      <c r="LH462" s="359" t="s">
        <v>4377</v>
      </c>
      <c r="LI462" s="359" t="s">
        <v>4377</v>
      </c>
      <c r="LJ462" s="359" t="s">
        <v>4377</v>
      </c>
      <c r="LK462" s="359" t="s">
        <v>4377</v>
      </c>
      <c r="LL462" s="359" t="s">
        <v>5077</v>
      </c>
      <c r="LM462" s="359" t="s">
        <v>5077</v>
      </c>
      <c r="LN462" s="359" t="s">
        <v>5077</v>
      </c>
      <c r="LO462" s="359" t="s">
        <v>5077</v>
      </c>
      <c r="LP462" s="359" t="s">
        <v>5077</v>
      </c>
      <c r="LQ462" s="359" t="s">
        <v>5078</v>
      </c>
      <c r="LR462" s="359" t="s">
        <v>5078</v>
      </c>
      <c r="LS462" s="359" t="s">
        <v>5078</v>
      </c>
      <c r="LT462" s="359" t="s">
        <v>5078</v>
      </c>
      <c r="LU462" s="359" t="s">
        <v>5078</v>
      </c>
      <c r="LV462" s="359" t="s">
        <v>4186</v>
      </c>
      <c r="LW462" s="359" t="s">
        <v>4186</v>
      </c>
      <c r="LX462" s="359" t="s">
        <v>4186</v>
      </c>
      <c r="LY462" s="359" t="s">
        <v>4186</v>
      </c>
      <c r="LZ462" s="359" t="s">
        <v>4186</v>
      </c>
      <c r="MA462" s="359" t="s">
        <v>4378</v>
      </c>
      <c r="MB462" s="359" t="s">
        <v>4378</v>
      </c>
      <c r="MC462" s="359" t="s">
        <v>4378</v>
      </c>
      <c r="MD462" s="359" t="s">
        <v>4378</v>
      </c>
      <c r="ME462" s="359" t="s">
        <v>4378</v>
      </c>
      <c r="MF462" s="359" t="s">
        <v>5079</v>
      </c>
      <c r="MG462" s="359" t="s">
        <v>5079</v>
      </c>
      <c r="MH462" s="359" t="s">
        <v>5079</v>
      </c>
      <c r="MI462" s="359" t="s">
        <v>5079</v>
      </c>
      <c r="MJ462" s="359" t="s">
        <v>5079</v>
      </c>
      <c r="MK462" s="359" t="s">
        <v>5080</v>
      </c>
      <c r="ML462" s="359" t="s">
        <v>5080</v>
      </c>
      <c r="MM462" s="359" t="s">
        <v>5080</v>
      </c>
      <c r="MN462" s="359" t="s">
        <v>5080</v>
      </c>
      <c r="MO462" s="359" t="s">
        <v>5080</v>
      </c>
      <c r="NT462" s="1409"/>
      <c r="NU462" s="1409"/>
      <c r="NV462" s="1409"/>
      <c r="NW462" s="1409"/>
      <c r="NX462" s="1409"/>
      <c r="OZ462" s="2467">
        <v>9</v>
      </c>
    </row>
    <row r="463" spans="1:416" s="359" customFormat="1" ht="11.25" customHeight="1">
      <c r="A463" s="2715"/>
      <c r="B463" s="2726" t="s">
        <v>3805</v>
      </c>
      <c r="C463" s="2717" t="s">
        <v>164</v>
      </c>
      <c r="D463" s="2717" t="s">
        <v>166</v>
      </c>
      <c r="E463" s="2717" t="s">
        <v>1381</v>
      </c>
      <c r="F463" s="2717" t="s">
        <v>1201</v>
      </c>
      <c r="G463" s="1536"/>
      <c r="H463" s="2717" t="s">
        <v>3990</v>
      </c>
      <c r="I463" s="1536"/>
      <c r="J463" s="2725"/>
      <c r="K463" s="2727" t="s">
        <v>334</v>
      </c>
      <c r="L463" s="2717" t="s">
        <v>1430</v>
      </c>
      <c r="M463" s="2717" t="s">
        <v>503</v>
      </c>
      <c r="N463" s="2717" t="s">
        <v>1380</v>
      </c>
      <c r="O463" s="2717" t="s">
        <v>4390</v>
      </c>
      <c r="P463" s="2713"/>
      <c r="Q463" s="2713"/>
      <c r="R463" s="2717" t="s">
        <v>1382</v>
      </c>
      <c r="S463" s="2717" t="s">
        <v>2450</v>
      </c>
      <c r="T463" s="360" t="s">
        <v>1706</v>
      </c>
      <c r="W463" s="360"/>
      <c r="JJ463" s="2467" t="s">
        <v>2292</v>
      </c>
      <c r="JK463" s="2467" t="s">
        <v>2292</v>
      </c>
      <c r="JL463" s="2467" t="s">
        <v>2292</v>
      </c>
      <c r="JM463" s="2467" t="s">
        <v>2292</v>
      </c>
      <c r="JX463" s="2467" t="s">
        <v>2294</v>
      </c>
      <c r="JY463" s="2467" t="s">
        <v>2294</v>
      </c>
      <c r="JZ463" s="2467" t="s">
        <v>2294</v>
      </c>
      <c r="KA463" s="2467" t="s">
        <v>2294</v>
      </c>
      <c r="KB463" s="2467" t="s">
        <v>2294</v>
      </c>
      <c r="KC463" s="2467" t="s">
        <v>2930</v>
      </c>
      <c r="KD463" s="2467" t="s">
        <v>2930</v>
      </c>
      <c r="KE463" s="2467" t="s">
        <v>2930</v>
      </c>
      <c r="KF463" s="2467" t="s">
        <v>2930</v>
      </c>
      <c r="KG463" s="2467" t="s">
        <v>2930</v>
      </c>
      <c r="NT463" s="1409"/>
      <c r="NU463" s="1409"/>
      <c r="NV463" s="1409"/>
      <c r="NW463" s="1409"/>
      <c r="NX463" s="1409"/>
      <c r="OZ463" s="1784">
        <v>10</v>
      </c>
    </row>
    <row r="464" spans="1:416" ht="12" customHeight="1">
      <c r="A464" s="2709" t="str">
        <f t="shared" ref="A464:A510" si="0">IF(AND(E464&gt;0,OR(B464="",C464="",D464="",F464="",G464="", H464="",I464="",N464="",O464="",P464="",Q464="")),1,"")</f>
        <v/>
      </c>
      <c r="B464" s="2728" t="str">
        <f>'Part V-Revenues &amp; Expenses'!B11</f>
        <v>Unrestricted</v>
      </c>
      <c r="C464" s="2729">
        <f>'Part V-Revenues &amp; Expenses'!C11</f>
        <v>1</v>
      </c>
      <c r="D464" s="2730">
        <f>'Part V-Revenues &amp; Expenses'!D11</f>
        <v>1</v>
      </c>
      <c r="E464" s="2731">
        <f>'Part V-Revenues &amp; Expenses'!E11</f>
        <v>1</v>
      </c>
      <c r="F464" s="2731">
        <f>'Part V-Revenues &amp; Expenses'!F11</f>
        <v>650</v>
      </c>
      <c r="G464" s="2731">
        <f>'Part V-Revenues &amp; Expenses'!G11</f>
        <v>0</v>
      </c>
      <c r="H464" s="2731">
        <f>'Part V-Revenues &amp; Expenses'!H11</f>
        <v>1218</v>
      </c>
      <c r="I464" s="2731">
        <f>'Part V-Revenues &amp; Expenses'!I11</f>
        <v>0</v>
      </c>
      <c r="J464" s="2731">
        <f>'Part V-Revenues &amp; Expenses'!J11</f>
        <v>0</v>
      </c>
      <c r="K464" s="2732">
        <f>'Part V-Revenues &amp; Expenses'!K11</f>
        <v>0</v>
      </c>
      <c r="L464" s="2733">
        <f t="shared" ref="L464:L510" si="1">MAX(0,H464-I464-J464)</f>
        <v>1218</v>
      </c>
      <c r="M464" s="2733">
        <f t="shared" ref="M464:M510" si="2">MAX(0,E464*L464)</f>
        <v>1218</v>
      </c>
      <c r="N464" s="2583" t="str">
        <f>'Part V-Revenues &amp; Expenses'!N11</f>
        <v>No</v>
      </c>
      <c r="O464" s="1248" t="str">
        <f>'Part V-Revenues &amp; Expenses'!O11</f>
        <v>Low-Rise Elevator</v>
      </c>
      <c r="P464" s="2583" t="str">
        <f>'Part V-Revenues &amp; Expenses'!P11</f>
        <v>Acquisition/Rehab</v>
      </c>
      <c r="Q464" s="2468" t="str">
        <f>'Part V-Revenues &amp; Expenses'!Q11</f>
        <v>No</v>
      </c>
      <c r="R464" s="2734"/>
      <c r="S464" s="2735"/>
      <c r="T464" s="2650"/>
      <c r="U464" s="2650"/>
      <c r="V464" s="2650"/>
      <c r="W464" s="2650"/>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f t="shared" ref="BH464:BH510" si="39">IF(AND(C464=1,B464="Unrestricted",NOT(N464="Common Space")),E464,"")</f>
        <v>1</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f t="shared" ref="HB464:HB510" si="189">IF(AND(C464=1,B464="Unrestricted",NOT(N464="Common Space")),E464*F464,"")</f>
        <v>650</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f t="shared" ref="IK464:IK510" si="224">IF(AND($C464=1, $P464="Acquisition/Rehab",$B464="Unrestricted",NOT($B464="N/A-CS"),NOT($N464="Common Space")),$E464,"")</f>
        <v>1</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f t="shared" ref="JJ464:JJ510" si="249">IF(AND($C464=1, NOT(OR($O464="SF Detached",$O464="Mfd Home",$O464="Semi-Detached",$O464="Row House/TH"))),$E464,"")</f>
        <v>1</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f t="shared" ref="LH464:LH510" si="299">IF(AND($C464=1, $O464="Low-Rise Elevator",NOT($Q464="Yes")),$E464,"")</f>
        <v>1</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2469" t="str">
        <f t="shared" ref="MP464:MP510" si="333">IF(AND($B464="NSP 120% AMI",$C464="Efficiency", NOT($N464="Common Space")),$E464,"")</f>
        <v/>
      </c>
      <c r="MQ464" s="2469" t="str">
        <f t="shared" ref="MQ464:MQ510" si="334">IF(AND($B464="NSP 120% AMI",$C464=1,NOT($N464="Common Space")),$E464,"")</f>
        <v/>
      </c>
      <c r="MR464" s="2469" t="str">
        <f t="shared" ref="MR464:MR510" si="335">IF(AND($B464="NSP 120% AMI",$C464=2,NOT($N464="Common Space")),$E464,"")</f>
        <v/>
      </c>
      <c r="MS464" s="2469" t="str">
        <f t="shared" ref="MS464:MS510" si="336">IF(AND($B464="NSP 120% AMI",$C464=3,NOT($N464="Common Space")),$E464,"")</f>
        <v/>
      </c>
      <c r="MT464" s="246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1</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4299</v>
      </c>
      <c r="OZ464" s="1640">
        <v>11</v>
      </c>
    </row>
    <row r="465" spans="1:416" ht="12" customHeight="1">
      <c r="A465" s="2709" t="str">
        <f t="shared" si="0"/>
        <v/>
      </c>
      <c r="B465" s="2728" t="str">
        <f>'Part V-Revenues &amp; Expenses'!B12</f>
        <v>Unrestricted</v>
      </c>
      <c r="C465" s="2729">
        <f>'Part V-Revenues &amp; Expenses'!C12</f>
        <v>2</v>
      </c>
      <c r="D465" s="2730">
        <f>'Part V-Revenues &amp; Expenses'!D12</f>
        <v>1</v>
      </c>
      <c r="E465" s="2731">
        <f>'Part V-Revenues &amp; Expenses'!E12</f>
        <v>3</v>
      </c>
      <c r="F465" s="2731">
        <f>'Part V-Revenues &amp; Expenses'!F12</f>
        <v>860</v>
      </c>
      <c r="G465" s="2731">
        <f>'Part V-Revenues &amp; Expenses'!G12</f>
        <v>0</v>
      </c>
      <c r="H465" s="2731">
        <f>'Part V-Revenues &amp; Expenses'!H12</f>
        <v>1386</v>
      </c>
      <c r="I465" s="2731">
        <f>'Part V-Revenues &amp; Expenses'!I12</f>
        <v>0</v>
      </c>
      <c r="J465" s="2731">
        <f>'Part V-Revenues &amp; Expenses'!J12</f>
        <v>0</v>
      </c>
      <c r="K465" s="2732">
        <f>'Part V-Revenues &amp; Expenses'!K12</f>
        <v>0</v>
      </c>
      <c r="L465" s="2733">
        <f t="shared" si="1"/>
        <v>1386</v>
      </c>
      <c r="M465" s="2733">
        <f t="shared" si="2"/>
        <v>4158</v>
      </c>
      <c r="N465" s="2583" t="str">
        <f>'Part V-Revenues &amp; Expenses'!N12</f>
        <v>No</v>
      </c>
      <c r="O465" s="1248" t="str">
        <f>'Part V-Revenues &amp; Expenses'!O12</f>
        <v>Low-Rise Elevator</v>
      </c>
      <c r="P465" s="2583" t="str">
        <f>'Part V-Revenues &amp; Expenses'!P12</f>
        <v>Acquisition/Rehab</v>
      </c>
      <c r="Q465" s="2468" t="str">
        <f>'Part V-Revenues &amp; Expenses'!Q12</f>
        <v>No</v>
      </c>
      <c r="R465" s="2734"/>
      <c r="S465" s="2735"/>
      <c r="T465" s="2650"/>
      <c r="U465" s="2650"/>
      <c r="V465" s="2650"/>
      <c r="W465" s="2650"/>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f t="shared" si="40"/>
        <v>3</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f t="shared" si="190"/>
        <v>2580</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f t="shared" si="225"/>
        <v>3</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f t="shared" si="250"/>
        <v>3</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f t="shared" si="300"/>
        <v>3</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2469" t="str">
        <f t="shared" si="333"/>
        <v/>
      </c>
      <c r="MQ465" s="2469" t="str">
        <f t="shared" si="334"/>
        <v/>
      </c>
      <c r="MR465" s="2469" t="str">
        <f t="shared" si="335"/>
        <v/>
      </c>
      <c r="MS465" s="2469" t="str">
        <f t="shared" si="336"/>
        <v/>
      </c>
      <c r="MT465" s="246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3</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4300</v>
      </c>
      <c r="OZ465" s="1784">
        <v>12</v>
      </c>
    </row>
    <row r="466" spans="1:416" ht="12" customHeight="1">
      <c r="A466" s="2709" t="str">
        <f t="shared" si="0"/>
        <v/>
      </c>
      <c r="B466" s="2728" t="str">
        <f>'Part V-Revenues &amp; Expenses'!B13</f>
        <v>Unrestricted</v>
      </c>
      <c r="C466" s="2729">
        <f>'Part V-Revenues &amp; Expenses'!C13</f>
        <v>2</v>
      </c>
      <c r="D466" s="2730">
        <f>'Part V-Revenues &amp; Expenses'!D13</f>
        <v>2</v>
      </c>
      <c r="E466" s="2731">
        <f>'Part V-Revenues &amp; Expenses'!E13</f>
        <v>3</v>
      </c>
      <c r="F466" s="2731">
        <f>'Part V-Revenues &amp; Expenses'!F13</f>
        <v>952</v>
      </c>
      <c r="G466" s="2731">
        <f>'Part V-Revenues &amp; Expenses'!G13</f>
        <v>0</v>
      </c>
      <c r="H466" s="2731">
        <f>'Part V-Revenues &amp; Expenses'!H13</f>
        <v>1428</v>
      </c>
      <c r="I466" s="2731">
        <f>'Part V-Revenues &amp; Expenses'!I13</f>
        <v>0</v>
      </c>
      <c r="J466" s="2731">
        <f>'Part V-Revenues &amp; Expenses'!J13</f>
        <v>0</v>
      </c>
      <c r="K466" s="2732">
        <f>'Part V-Revenues &amp; Expenses'!K13</f>
        <v>0</v>
      </c>
      <c r="L466" s="2733">
        <f t="shared" si="1"/>
        <v>1428</v>
      </c>
      <c r="M466" s="2733">
        <f t="shared" si="2"/>
        <v>4284</v>
      </c>
      <c r="N466" s="2583" t="str">
        <f>'Part V-Revenues &amp; Expenses'!N13</f>
        <v>No</v>
      </c>
      <c r="O466" s="1248" t="str">
        <f>'Part V-Revenues &amp; Expenses'!O13</f>
        <v>Low-Rise Elevator</v>
      </c>
      <c r="P466" s="2583" t="str">
        <f>'Part V-Revenues &amp; Expenses'!P13</f>
        <v>Acquisition/Rehab</v>
      </c>
      <c r="Q466" s="2468" t="str">
        <f>'Part V-Revenues &amp; Expenses'!Q13</f>
        <v>No</v>
      </c>
      <c r="R466" s="2734"/>
      <c r="S466" s="2735"/>
      <c r="T466" s="2650"/>
      <c r="U466" s="2650"/>
      <c r="V466" s="2650"/>
      <c r="W466" s="2650"/>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f t="shared" si="40"/>
        <v>3</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f t="shared" si="190"/>
        <v>2856</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f t="shared" si="225"/>
        <v>3</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f t="shared" si="250"/>
        <v>3</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f t="shared" si="300"/>
        <v>3</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2469" t="str">
        <f t="shared" si="333"/>
        <v/>
      </c>
      <c r="MQ466" s="2469" t="str">
        <f t="shared" si="334"/>
        <v/>
      </c>
      <c r="MR466" s="2469" t="str">
        <f t="shared" si="335"/>
        <v/>
      </c>
      <c r="MS466" s="2469" t="str">
        <f t="shared" si="336"/>
        <v/>
      </c>
      <c r="MT466" s="246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3</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4301</v>
      </c>
      <c r="OZ466" s="1784">
        <v>13</v>
      </c>
    </row>
    <row r="467" spans="1:416" ht="12" customHeight="1">
      <c r="A467" s="2709" t="str">
        <f t="shared" si="0"/>
        <v/>
      </c>
      <c r="B467" s="2728" t="str">
        <f>'Part V-Revenues &amp; Expenses'!B14</f>
        <v>N/A-CS</v>
      </c>
      <c r="C467" s="2729">
        <f>'Part V-Revenues &amp; Expenses'!C14</f>
        <v>2</v>
      </c>
      <c r="D467" s="2730">
        <f>'Part V-Revenues &amp; Expenses'!D14</f>
        <v>2</v>
      </c>
      <c r="E467" s="2731">
        <f>'Part V-Revenues &amp; Expenses'!E14</f>
        <v>1</v>
      </c>
      <c r="F467" s="2731">
        <f>'Part V-Revenues &amp; Expenses'!F14</f>
        <v>952</v>
      </c>
      <c r="G467" s="2731">
        <f>'Part V-Revenues &amp; Expenses'!G14</f>
        <v>0</v>
      </c>
      <c r="H467" s="2731">
        <f>'Part V-Revenues &amp; Expenses'!H14</f>
        <v>0</v>
      </c>
      <c r="I467" s="2731">
        <f>'Part V-Revenues &amp; Expenses'!I14</f>
        <v>0</v>
      </c>
      <c r="J467" s="2731">
        <f>'Part V-Revenues &amp; Expenses'!J14</f>
        <v>0</v>
      </c>
      <c r="K467" s="2732">
        <f>'Part V-Revenues &amp; Expenses'!K14</f>
        <v>0</v>
      </c>
      <c r="L467" s="2733">
        <f t="shared" si="1"/>
        <v>0</v>
      </c>
      <c r="M467" s="2733">
        <f t="shared" si="2"/>
        <v>0</v>
      </c>
      <c r="N467" s="2583" t="str">
        <f>'Part V-Revenues &amp; Expenses'!N14</f>
        <v>Common Space</v>
      </c>
      <c r="O467" s="1248" t="str">
        <f>'Part V-Revenues &amp; Expenses'!O14</f>
        <v>Low-Rise Elevator</v>
      </c>
      <c r="P467" s="2583" t="str">
        <f>'Part V-Revenues &amp; Expenses'!P14</f>
        <v>Acquisition/Rehab</v>
      </c>
      <c r="Q467" s="2468" t="str">
        <f>'Part V-Revenues &amp; Expenses'!Q14</f>
        <v>No</v>
      </c>
      <c r="R467" s="2734"/>
      <c r="S467" s="2735"/>
      <c r="T467" s="2650"/>
      <c r="U467" s="2650"/>
      <c r="V467" s="2650"/>
      <c r="W467" s="2650"/>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f t="shared" si="150"/>
        <v>1</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f t="shared" si="200"/>
        <v>952</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f t="shared" si="230"/>
        <v>1</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f t="shared" si="250"/>
        <v>1</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f t="shared" si="300"/>
        <v>1</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2469" t="str">
        <f t="shared" si="333"/>
        <v/>
      </c>
      <c r="MQ467" s="2469" t="str">
        <f t="shared" si="334"/>
        <v/>
      </c>
      <c r="MR467" s="2469" t="str">
        <f t="shared" si="335"/>
        <v/>
      </c>
      <c r="MS467" s="2469" t="str">
        <f t="shared" si="336"/>
        <v/>
      </c>
      <c r="MT467" s="246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1</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4302</v>
      </c>
      <c r="OZ467" s="1640">
        <v>14</v>
      </c>
    </row>
    <row r="468" spans="1:416" ht="12" customHeight="1">
      <c r="A468" s="2709" t="str">
        <f t="shared" si="0"/>
        <v/>
      </c>
      <c r="B468" s="2728" t="str">
        <f>'Part V-Revenues &amp; Expenses'!B15</f>
        <v>Unrestricted</v>
      </c>
      <c r="C468" s="2729">
        <f>'Part V-Revenues &amp; Expenses'!C15</f>
        <v>0</v>
      </c>
      <c r="D468" s="2730">
        <f>'Part V-Revenues &amp; Expenses'!D15</f>
        <v>0</v>
      </c>
      <c r="E468" s="2731">
        <f>'Part V-Revenues &amp; Expenses'!E15</f>
        <v>0</v>
      </c>
      <c r="F468" s="2731">
        <f>'Part V-Revenues &amp; Expenses'!F15</f>
        <v>0</v>
      </c>
      <c r="G468" s="2731">
        <f>'Part V-Revenues &amp; Expenses'!G15</f>
        <v>0</v>
      </c>
      <c r="H468" s="2731">
        <f>'Part V-Revenues &amp; Expenses'!H15</f>
        <v>0</v>
      </c>
      <c r="I468" s="2731">
        <f>'Part V-Revenues &amp; Expenses'!I15</f>
        <v>0</v>
      </c>
      <c r="J468" s="2731">
        <f>'Part V-Revenues &amp; Expenses'!J15</f>
        <v>0</v>
      </c>
      <c r="K468" s="2732">
        <f>'Part V-Revenues &amp; Expenses'!K15</f>
        <v>0</v>
      </c>
      <c r="L468" s="2733">
        <f t="shared" si="1"/>
        <v>0</v>
      </c>
      <c r="M468" s="2733">
        <f t="shared" si="2"/>
        <v>0</v>
      </c>
      <c r="N468" s="2583">
        <f>'Part V-Revenues &amp; Expenses'!N15</f>
        <v>0</v>
      </c>
      <c r="O468" s="1248">
        <f>'Part V-Revenues &amp; Expenses'!O15</f>
        <v>0</v>
      </c>
      <c r="P468" s="2583">
        <f>'Part V-Revenues &amp; Expenses'!P15</f>
        <v>0</v>
      </c>
      <c r="Q468" s="2468">
        <f>'Part V-Revenues &amp; Expenses'!Q15</f>
        <v>0</v>
      </c>
      <c r="R468" s="2734"/>
      <c r="S468" s="2735"/>
      <c r="T468" s="2650"/>
      <c r="U468" s="2650"/>
      <c r="V468" s="2650"/>
      <c r="W468" s="2650"/>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2469" t="str">
        <f t="shared" si="333"/>
        <v/>
      </c>
      <c r="MQ468" s="2469" t="str">
        <f t="shared" si="334"/>
        <v/>
      </c>
      <c r="MR468" s="2469" t="str">
        <f t="shared" si="335"/>
        <v/>
      </c>
      <c r="MS468" s="2469" t="str">
        <f t="shared" si="336"/>
        <v/>
      </c>
      <c r="MT468" s="246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4303</v>
      </c>
      <c r="OZ468" s="1784">
        <v>15</v>
      </c>
    </row>
    <row r="469" spans="1:416" ht="12" customHeight="1">
      <c r="A469" s="2709" t="str">
        <f t="shared" si="0"/>
        <v/>
      </c>
      <c r="B469" s="2728" t="str">
        <f>'Part V-Revenues &amp; Expenses'!B16</f>
        <v>Unrestricted</v>
      </c>
      <c r="C469" s="2729">
        <f>'Part V-Revenues &amp; Expenses'!C16</f>
        <v>0</v>
      </c>
      <c r="D469" s="2730">
        <f>'Part V-Revenues &amp; Expenses'!D16</f>
        <v>0</v>
      </c>
      <c r="E469" s="2731">
        <f>'Part V-Revenues &amp; Expenses'!E16</f>
        <v>0</v>
      </c>
      <c r="F469" s="2731">
        <f>'Part V-Revenues &amp; Expenses'!F16</f>
        <v>0</v>
      </c>
      <c r="G469" s="2731">
        <f>'Part V-Revenues &amp; Expenses'!G16</f>
        <v>0</v>
      </c>
      <c r="H469" s="2731">
        <f>'Part V-Revenues &amp; Expenses'!H16</f>
        <v>0</v>
      </c>
      <c r="I469" s="2731">
        <f>'Part V-Revenues &amp; Expenses'!I16</f>
        <v>0</v>
      </c>
      <c r="J469" s="2731">
        <f>'Part V-Revenues &amp; Expenses'!J16</f>
        <v>0</v>
      </c>
      <c r="K469" s="2732">
        <f>'Part V-Revenues &amp; Expenses'!K16</f>
        <v>0</v>
      </c>
      <c r="L469" s="2733">
        <f t="shared" si="1"/>
        <v>0</v>
      </c>
      <c r="M469" s="2733">
        <f t="shared" si="2"/>
        <v>0</v>
      </c>
      <c r="N469" s="2583">
        <f>'Part V-Revenues &amp; Expenses'!N16</f>
        <v>0</v>
      </c>
      <c r="O469" s="1248">
        <f>'Part V-Revenues &amp; Expenses'!O16</f>
        <v>0</v>
      </c>
      <c r="P469" s="2583">
        <f>'Part V-Revenues &amp; Expenses'!P16</f>
        <v>0</v>
      </c>
      <c r="Q469" s="2468">
        <f>'Part V-Revenues &amp; Expenses'!Q16</f>
        <v>0</v>
      </c>
      <c r="R469" s="2734"/>
      <c r="S469" s="2735"/>
      <c r="T469" s="2650"/>
      <c r="U469" s="2650"/>
      <c r="V469" s="2650"/>
      <c r="W469" s="2650"/>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2469" t="str">
        <f t="shared" si="333"/>
        <v/>
      </c>
      <c r="MQ469" s="2469" t="str">
        <f t="shared" si="334"/>
        <v/>
      </c>
      <c r="MR469" s="2469" t="str">
        <f t="shared" si="335"/>
        <v/>
      </c>
      <c r="MS469" s="2469" t="str">
        <f t="shared" si="336"/>
        <v/>
      </c>
      <c r="MT469" s="246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4304</v>
      </c>
      <c r="OZ469" s="1784">
        <v>16</v>
      </c>
    </row>
    <row r="470" spans="1:416" ht="12" customHeight="1">
      <c r="A470" s="2709" t="str">
        <f t="shared" si="0"/>
        <v/>
      </c>
      <c r="B470" s="2728" t="str">
        <f>'Part V-Revenues &amp; Expenses'!B17</f>
        <v>Unrestricted</v>
      </c>
      <c r="C470" s="2729">
        <f>'Part V-Revenues &amp; Expenses'!C17</f>
        <v>0</v>
      </c>
      <c r="D470" s="2730">
        <f>'Part V-Revenues &amp; Expenses'!D17</f>
        <v>0</v>
      </c>
      <c r="E470" s="2731">
        <f>'Part V-Revenues &amp; Expenses'!E17</f>
        <v>0</v>
      </c>
      <c r="F470" s="2731">
        <f>'Part V-Revenues &amp; Expenses'!F17</f>
        <v>0</v>
      </c>
      <c r="G470" s="2731">
        <f>'Part V-Revenues &amp; Expenses'!G17</f>
        <v>0</v>
      </c>
      <c r="H470" s="2731">
        <f>'Part V-Revenues &amp; Expenses'!H17</f>
        <v>0</v>
      </c>
      <c r="I470" s="2731">
        <f>'Part V-Revenues &amp; Expenses'!I17</f>
        <v>0</v>
      </c>
      <c r="J470" s="2731">
        <f>'Part V-Revenues &amp; Expenses'!J17</f>
        <v>0</v>
      </c>
      <c r="K470" s="2732">
        <f>'Part V-Revenues &amp; Expenses'!K17</f>
        <v>0</v>
      </c>
      <c r="L470" s="2733">
        <f t="shared" si="1"/>
        <v>0</v>
      </c>
      <c r="M470" s="2733">
        <f t="shared" si="2"/>
        <v>0</v>
      </c>
      <c r="N470" s="2583">
        <f>'Part V-Revenues &amp; Expenses'!N17</f>
        <v>0</v>
      </c>
      <c r="O470" s="1248">
        <f>'Part V-Revenues &amp; Expenses'!O17</f>
        <v>0</v>
      </c>
      <c r="P470" s="2583">
        <f>'Part V-Revenues &amp; Expenses'!P17</f>
        <v>0</v>
      </c>
      <c r="Q470" s="2468">
        <f>'Part V-Revenues &amp; Expenses'!Q17</f>
        <v>0</v>
      </c>
      <c r="R470" s="2734"/>
      <c r="S470" s="2735"/>
      <c r="T470" s="2650"/>
      <c r="U470" s="2650"/>
      <c r="V470" s="2650"/>
      <c r="W470" s="2650"/>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2469" t="str">
        <f t="shared" si="333"/>
        <v/>
      </c>
      <c r="MQ470" s="2469" t="str">
        <f t="shared" si="334"/>
        <v/>
      </c>
      <c r="MR470" s="2469" t="str">
        <f t="shared" si="335"/>
        <v/>
      </c>
      <c r="MS470" s="2469" t="str">
        <f t="shared" si="336"/>
        <v/>
      </c>
      <c r="MT470" s="246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4305</v>
      </c>
      <c r="OZ470" s="1784">
        <v>17</v>
      </c>
    </row>
    <row r="471" spans="1:416" ht="12" customHeight="1">
      <c r="A471" s="2709" t="str">
        <f t="shared" si="0"/>
        <v/>
      </c>
      <c r="B471" s="2728">
        <f>'Part V-Revenues &amp; Expenses'!B18</f>
        <v>30</v>
      </c>
      <c r="C471" s="2729">
        <f>'Part V-Revenues &amp; Expenses'!C18</f>
        <v>1</v>
      </c>
      <c r="D471" s="2730">
        <f>'Part V-Revenues &amp; Expenses'!D18</f>
        <v>1</v>
      </c>
      <c r="E471" s="2731">
        <f>'Part V-Revenues &amp; Expenses'!E18</f>
        <v>2</v>
      </c>
      <c r="F471" s="2731">
        <f>'Part V-Revenues &amp; Expenses'!F18</f>
        <v>650</v>
      </c>
      <c r="G471" s="2731">
        <f>'Part V-Revenues &amp; Expenses'!G18</f>
        <v>642</v>
      </c>
      <c r="H471" s="2731">
        <f>'Part V-Revenues &amp; Expenses'!H18</f>
        <v>611</v>
      </c>
      <c r="I471" s="2731">
        <f>'Part V-Revenues &amp; Expenses'!I18</f>
        <v>0</v>
      </c>
      <c r="J471" s="2731">
        <f>'Part V-Revenues &amp; Expenses'!J18</f>
        <v>78</v>
      </c>
      <c r="K471" s="2732">
        <f>'Part V-Revenues &amp; Expenses'!K18</f>
        <v>0</v>
      </c>
      <c r="L471" s="2733">
        <f t="shared" si="1"/>
        <v>533</v>
      </c>
      <c r="M471" s="2733">
        <f t="shared" si="2"/>
        <v>1066</v>
      </c>
      <c r="N471" s="2583" t="str">
        <f>'Part V-Revenues &amp; Expenses'!N18</f>
        <v>No</v>
      </c>
      <c r="O471" s="1248" t="str">
        <f>'Part V-Revenues &amp; Expenses'!O18</f>
        <v>Low-Rise Elevator</v>
      </c>
      <c r="P471" s="2583" t="str">
        <f>'Part V-Revenues &amp; Expenses'!P18</f>
        <v>Acquisition/Rehab</v>
      </c>
      <c r="Q471" s="2468" t="str">
        <f>'Part V-Revenues &amp; Expenses'!Q18</f>
        <v>No</v>
      </c>
      <c r="R471" s="2734"/>
      <c r="S471" s="2735"/>
      <c r="T471" s="2650"/>
      <c r="U471" s="2650"/>
      <c r="V471" s="2650"/>
      <c r="W471" s="2650"/>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f t="shared" si="29"/>
        <v>2</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f t="shared" si="49"/>
        <v>2</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f t="shared" si="179"/>
        <v>1300</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f t="shared" si="219"/>
        <v>2</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f t="shared" si="249"/>
        <v>2</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f t="shared" si="299"/>
        <v>2</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2469" t="str">
        <f t="shared" si="333"/>
        <v/>
      </c>
      <c r="MQ471" s="2469" t="str">
        <f t="shared" si="334"/>
        <v/>
      </c>
      <c r="MR471" s="2469" t="str">
        <f t="shared" si="335"/>
        <v/>
      </c>
      <c r="MS471" s="2469" t="str">
        <f t="shared" si="336"/>
        <v/>
      </c>
      <c r="MT471" s="246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2</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4306</v>
      </c>
      <c r="OZ471" s="1784">
        <v>18</v>
      </c>
    </row>
    <row r="472" spans="1:416" ht="12" customHeight="1">
      <c r="A472" s="2709" t="str">
        <f t="shared" si="0"/>
        <v/>
      </c>
      <c r="B472" s="2728">
        <f>'Part V-Revenues &amp; Expenses'!B19</f>
        <v>30</v>
      </c>
      <c r="C472" s="2729">
        <f>'Part V-Revenues &amp; Expenses'!C19</f>
        <v>1</v>
      </c>
      <c r="D472" s="2730">
        <f>'Part V-Revenues &amp; Expenses'!D19</f>
        <v>1</v>
      </c>
      <c r="E472" s="2731">
        <f>'Part V-Revenues &amp; Expenses'!E19</f>
        <v>2</v>
      </c>
      <c r="F472" s="2731">
        <f>'Part V-Revenues &amp; Expenses'!F19</f>
        <v>650</v>
      </c>
      <c r="G472" s="2731">
        <f>'Part V-Revenues &amp; Expenses'!G19</f>
        <v>642</v>
      </c>
      <c r="H472" s="2731">
        <f>'Part V-Revenues &amp; Expenses'!H19</f>
        <v>611</v>
      </c>
      <c r="I472" s="2731">
        <f>'Part V-Revenues &amp; Expenses'!I19</f>
        <v>0</v>
      </c>
      <c r="J472" s="2731">
        <f>'Part V-Revenues &amp; Expenses'!J19</f>
        <v>78</v>
      </c>
      <c r="K472" s="2732">
        <f>'Part V-Revenues &amp; Expenses'!K19</f>
        <v>0</v>
      </c>
      <c r="L472" s="2733">
        <f t="shared" si="1"/>
        <v>533</v>
      </c>
      <c r="M472" s="2733">
        <f t="shared" si="2"/>
        <v>1066</v>
      </c>
      <c r="N472" s="2583" t="str">
        <f>'Part V-Revenues &amp; Expenses'!N19</f>
        <v>No</v>
      </c>
      <c r="O472" s="1248" t="str">
        <f>'Part V-Revenues &amp; Expenses'!O19</f>
        <v>Low-Rise Apt</v>
      </c>
      <c r="P472" s="2583" t="str">
        <f>'Part V-Revenues &amp; Expenses'!P19</f>
        <v>Acquisition/Rehab</v>
      </c>
      <c r="Q472" s="2468" t="str">
        <f>'Part V-Revenues &amp; Expenses'!Q19</f>
        <v>Yes</v>
      </c>
      <c r="R472" s="2734"/>
      <c r="S472" s="2735"/>
      <c r="T472" s="2650"/>
      <c r="U472" s="2650"/>
      <c r="V472" s="2650"/>
      <c r="W472" s="2650"/>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f t="shared" si="29"/>
        <v>2</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f t="shared" si="49"/>
        <v>2</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f t="shared" si="179"/>
        <v>1300</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f t="shared" si="219"/>
        <v>2</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f t="shared" si="249"/>
        <v>2</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t="str">
        <f t="shared" si="294"/>
        <v/>
      </c>
      <c r="LD472" s="1785" t="str">
        <f t="shared" si="295"/>
        <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f t="shared" si="304"/>
        <v>2</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2469" t="str">
        <f t="shared" si="333"/>
        <v/>
      </c>
      <c r="MQ472" s="2469" t="str">
        <f t="shared" si="334"/>
        <v/>
      </c>
      <c r="MR472" s="2469" t="str">
        <f t="shared" si="335"/>
        <v/>
      </c>
      <c r="MS472" s="2469" t="str">
        <f t="shared" si="336"/>
        <v/>
      </c>
      <c r="MT472" s="246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0</v>
      </c>
      <c r="NQ472" s="1640">
        <f t="shared" si="360"/>
        <v>0</v>
      </c>
      <c r="NR472" s="1640">
        <f t="shared" si="361"/>
        <v>0</v>
      </c>
      <c r="NS472" s="1640">
        <f t="shared" si="362"/>
        <v>0</v>
      </c>
      <c r="NT472" s="1640">
        <f t="shared" si="368"/>
        <v>0</v>
      </c>
      <c r="NU472" s="1640">
        <f t="shared" si="369"/>
        <v>0</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4307</v>
      </c>
      <c r="OZ472" s="1784">
        <v>19</v>
      </c>
    </row>
    <row r="473" spans="1:416" ht="12" customHeight="1">
      <c r="A473" s="2709" t="str">
        <f t="shared" si="0"/>
        <v/>
      </c>
      <c r="B473" s="2728">
        <f>'Part V-Revenues &amp; Expenses'!B20</f>
        <v>50</v>
      </c>
      <c r="C473" s="2729">
        <f>'Part V-Revenues &amp; Expenses'!C20</f>
        <v>1</v>
      </c>
      <c r="D473" s="2730">
        <f>'Part V-Revenues &amp; Expenses'!D20</f>
        <v>1</v>
      </c>
      <c r="E473" s="2731">
        <f>'Part V-Revenues &amp; Expenses'!E20</f>
        <v>1</v>
      </c>
      <c r="F473" s="2731">
        <f>'Part V-Revenues &amp; Expenses'!F20</f>
        <v>650</v>
      </c>
      <c r="G473" s="2731">
        <f>'Part V-Revenues &amp; Expenses'!G20</f>
        <v>1071</v>
      </c>
      <c r="H473" s="2731">
        <f>'Part V-Revenues &amp; Expenses'!H20</f>
        <v>978</v>
      </c>
      <c r="I473" s="2731">
        <f>'Part V-Revenues &amp; Expenses'!I20</f>
        <v>0</v>
      </c>
      <c r="J473" s="2731">
        <f>'Part V-Revenues &amp; Expenses'!J20</f>
        <v>78</v>
      </c>
      <c r="K473" s="2732">
        <f>'Part V-Revenues &amp; Expenses'!K20</f>
        <v>0</v>
      </c>
      <c r="L473" s="2733">
        <f t="shared" si="1"/>
        <v>900</v>
      </c>
      <c r="M473" s="2733">
        <f t="shared" si="2"/>
        <v>900</v>
      </c>
      <c r="N473" s="2583" t="str">
        <f>'Part V-Revenues &amp; Expenses'!N20</f>
        <v>No</v>
      </c>
      <c r="O473" s="1248" t="str">
        <f>'Part V-Revenues &amp; Expenses'!O20</f>
        <v>Low-Rise Elevator</v>
      </c>
      <c r="P473" s="2583" t="str">
        <f>'Part V-Revenues &amp; Expenses'!P20</f>
        <v>Acquisition/Rehab</v>
      </c>
      <c r="Q473" s="2468" t="str">
        <f>'Part V-Revenues &amp; Expenses'!Q20</f>
        <v>No</v>
      </c>
      <c r="R473" s="2734"/>
      <c r="S473" s="2735"/>
      <c r="T473" s="2650"/>
      <c r="U473" s="2650"/>
      <c r="V473" s="2650"/>
      <c r="W473" s="2650"/>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f t="shared" si="19"/>
        <v>1</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f t="shared" si="169"/>
        <v>650</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f t="shared" si="219"/>
        <v>1</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f t="shared" si="249"/>
        <v>1</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t="str">
        <f t="shared" si="295"/>
        <v/>
      </c>
      <c r="LE473" s="1785" t="str">
        <f t="shared" si="296"/>
        <v/>
      </c>
      <c r="LF473" s="1785" t="str">
        <f t="shared" si="297"/>
        <v/>
      </c>
      <c r="LG473" s="1785" t="str">
        <f t="shared" si="298"/>
        <v/>
      </c>
      <c r="LH473" s="1785">
        <f t="shared" si="299"/>
        <v>1</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2469" t="str">
        <f t="shared" si="333"/>
        <v/>
      </c>
      <c r="MQ473" s="2469" t="str">
        <f t="shared" si="334"/>
        <v/>
      </c>
      <c r="MR473" s="2469" t="str">
        <f t="shared" si="335"/>
        <v/>
      </c>
      <c r="MS473" s="2469" t="str">
        <f t="shared" si="336"/>
        <v/>
      </c>
      <c r="MT473" s="246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1</v>
      </c>
      <c r="NQ473" s="1640">
        <f t="shared" si="360"/>
        <v>0</v>
      </c>
      <c r="NR473" s="1640">
        <f t="shared" si="361"/>
        <v>0</v>
      </c>
      <c r="NS473" s="1640">
        <f t="shared" si="362"/>
        <v>0</v>
      </c>
      <c r="NT473" s="1640">
        <f t="shared" si="368"/>
        <v>0</v>
      </c>
      <c r="NU473" s="1640">
        <f t="shared" si="369"/>
        <v>0</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4308</v>
      </c>
      <c r="OZ473" s="2467">
        <v>20</v>
      </c>
    </row>
    <row r="474" spans="1:416" ht="12" customHeight="1">
      <c r="A474" s="2709" t="str">
        <f t="shared" si="0"/>
        <v/>
      </c>
      <c r="B474" s="2728">
        <f>'Part V-Revenues &amp; Expenses'!B21</f>
        <v>50</v>
      </c>
      <c r="C474" s="2729">
        <f>'Part V-Revenues &amp; Expenses'!C21</f>
        <v>1</v>
      </c>
      <c r="D474" s="2730">
        <f>'Part V-Revenues &amp; Expenses'!D21</f>
        <v>1</v>
      </c>
      <c r="E474" s="2731">
        <f>'Part V-Revenues &amp; Expenses'!E21</f>
        <v>1</v>
      </c>
      <c r="F474" s="2731">
        <f>'Part V-Revenues &amp; Expenses'!F21</f>
        <v>650</v>
      </c>
      <c r="G474" s="2731">
        <f>'Part V-Revenues &amp; Expenses'!G21</f>
        <v>1071</v>
      </c>
      <c r="H474" s="2731">
        <f>'Part V-Revenues &amp; Expenses'!H21</f>
        <v>978</v>
      </c>
      <c r="I474" s="2731">
        <f>'Part V-Revenues &amp; Expenses'!I21</f>
        <v>0</v>
      </c>
      <c r="J474" s="2731">
        <f>'Part V-Revenues &amp; Expenses'!J21</f>
        <v>78</v>
      </c>
      <c r="K474" s="2732">
        <f>'Part V-Revenues &amp; Expenses'!K21</f>
        <v>0</v>
      </c>
      <c r="L474" s="2733">
        <f t="shared" si="1"/>
        <v>900</v>
      </c>
      <c r="M474" s="2733">
        <f t="shared" si="2"/>
        <v>900</v>
      </c>
      <c r="N474" s="2583" t="str">
        <f>'Part V-Revenues &amp; Expenses'!N21</f>
        <v>No</v>
      </c>
      <c r="O474" s="1248" t="str">
        <f>'Part V-Revenues &amp; Expenses'!O21</f>
        <v>Low-Rise Apt</v>
      </c>
      <c r="P474" s="2583" t="str">
        <f>'Part V-Revenues &amp; Expenses'!P21</f>
        <v>Acquisition/Rehab</v>
      </c>
      <c r="Q474" s="2468" t="str">
        <f>'Part V-Revenues &amp; Expenses'!Q21</f>
        <v>Yes</v>
      </c>
      <c r="R474" s="2734"/>
      <c r="S474" s="2735"/>
      <c r="T474" s="2650"/>
      <c r="U474" s="2650"/>
      <c r="V474" s="2650"/>
      <c r="W474" s="2650"/>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f t="shared" si="19"/>
        <v>1</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f t="shared" si="169"/>
        <v>650</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f t="shared" si="219"/>
        <v>1</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f t="shared" si="249"/>
        <v>1</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t="str">
        <f t="shared" si="296"/>
        <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f t="shared" si="304"/>
        <v>1</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2469" t="str">
        <f t="shared" si="333"/>
        <v/>
      </c>
      <c r="MQ474" s="2469" t="str">
        <f t="shared" si="334"/>
        <v/>
      </c>
      <c r="MR474" s="2469" t="str">
        <f t="shared" si="335"/>
        <v/>
      </c>
      <c r="MS474" s="2469" t="str">
        <f t="shared" si="336"/>
        <v/>
      </c>
      <c r="MT474" s="246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0</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4309</v>
      </c>
      <c r="OZ474" s="1784">
        <v>21</v>
      </c>
    </row>
    <row r="475" spans="1:416" ht="12" customHeight="1">
      <c r="A475" s="2709" t="str">
        <f t="shared" si="0"/>
        <v/>
      </c>
      <c r="B475" s="2728">
        <f>'Part V-Revenues &amp; Expenses'!B22</f>
        <v>60</v>
      </c>
      <c r="C475" s="2729">
        <f>'Part V-Revenues &amp; Expenses'!C22</f>
        <v>1</v>
      </c>
      <c r="D475" s="2730">
        <f>'Part V-Revenues &amp; Expenses'!D22</f>
        <v>1</v>
      </c>
      <c r="E475" s="2731">
        <f>'Part V-Revenues &amp; Expenses'!E22</f>
        <v>15</v>
      </c>
      <c r="F475" s="2731">
        <f>'Part V-Revenues &amp; Expenses'!F22</f>
        <v>650</v>
      </c>
      <c r="G475" s="2731">
        <f>'Part V-Revenues &amp; Expenses'!G22</f>
        <v>1285</v>
      </c>
      <c r="H475" s="2731">
        <f>'Part V-Revenues &amp; Expenses'!H22</f>
        <v>1222</v>
      </c>
      <c r="I475" s="2731">
        <f>'Part V-Revenues &amp; Expenses'!I22</f>
        <v>0</v>
      </c>
      <c r="J475" s="2731">
        <f>'Part V-Revenues &amp; Expenses'!J22</f>
        <v>78</v>
      </c>
      <c r="K475" s="2732">
        <f>'Part V-Revenues &amp; Expenses'!K22</f>
        <v>0</v>
      </c>
      <c r="L475" s="2733">
        <f t="shared" si="1"/>
        <v>1144</v>
      </c>
      <c r="M475" s="2733">
        <f t="shared" si="2"/>
        <v>17160</v>
      </c>
      <c r="N475" s="2583" t="str">
        <f>'Part V-Revenues &amp; Expenses'!N22</f>
        <v>No</v>
      </c>
      <c r="O475" s="1248" t="str">
        <f>'Part V-Revenues &amp; Expenses'!O22</f>
        <v>Low-Rise Elevator</v>
      </c>
      <c r="P475" s="2583" t="str">
        <f>'Part V-Revenues &amp; Expenses'!P22</f>
        <v>Acquisition/Rehab</v>
      </c>
      <c r="Q475" s="2468" t="str">
        <f>'Part V-Revenues &amp; Expenses'!Q22</f>
        <v>No</v>
      </c>
      <c r="R475" s="2734"/>
      <c r="S475" s="2735"/>
      <c r="T475" s="2650"/>
      <c r="U475" s="2650"/>
      <c r="V475" s="2650"/>
      <c r="W475" s="2650"/>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f t="shared" si="14"/>
        <v>15</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f t="shared" si="164"/>
        <v>9750</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f t="shared" si="219"/>
        <v>15</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f t="shared" si="249"/>
        <v>15</v>
      </c>
      <c r="JK475" s="1785" t="str">
        <f t="shared" si="250"/>
        <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t="str">
        <f t="shared" si="295"/>
        <v/>
      </c>
      <c r="LE475" s="1785" t="str">
        <f t="shared" si="296"/>
        <v/>
      </c>
      <c r="LF475" s="1785" t="str">
        <f t="shared" si="297"/>
        <v/>
      </c>
      <c r="LG475" s="1785" t="str">
        <f t="shared" si="298"/>
        <v/>
      </c>
      <c r="LH475" s="1785">
        <f t="shared" si="299"/>
        <v>15</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2469" t="str">
        <f t="shared" si="333"/>
        <v/>
      </c>
      <c r="MQ475" s="2469" t="str">
        <f t="shared" si="334"/>
        <v/>
      </c>
      <c r="MR475" s="2469" t="str">
        <f t="shared" si="335"/>
        <v/>
      </c>
      <c r="MS475" s="2469" t="str">
        <f t="shared" si="336"/>
        <v/>
      </c>
      <c r="MT475" s="246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15</v>
      </c>
      <c r="NQ475" s="1640">
        <f t="shared" si="360"/>
        <v>0</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4310</v>
      </c>
      <c r="OZ475" s="1640">
        <v>22</v>
      </c>
    </row>
    <row r="476" spans="1:416" ht="12" customHeight="1">
      <c r="A476" s="2709" t="str">
        <f t="shared" si="0"/>
        <v/>
      </c>
      <c r="B476" s="2728">
        <f>'Part V-Revenues &amp; Expenses'!B23</f>
        <v>60</v>
      </c>
      <c r="C476" s="2729">
        <f>'Part V-Revenues &amp; Expenses'!C23</f>
        <v>1</v>
      </c>
      <c r="D476" s="2730">
        <f>'Part V-Revenues &amp; Expenses'!D23</f>
        <v>1</v>
      </c>
      <c r="E476" s="2731">
        <f>'Part V-Revenues &amp; Expenses'!E23</f>
        <v>3</v>
      </c>
      <c r="F476" s="2731">
        <f>'Part V-Revenues &amp; Expenses'!F23</f>
        <v>650</v>
      </c>
      <c r="G476" s="2731">
        <f>'Part V-Revenues &amp; Expenses'!G23</f>
        <v>1285</v>
      </c>
      <c r="H476" s="2731">
        <f>'Part V-Revenues &amp; Expenses'!H23</f>
        <v>1222</v>
      </c>
      <c r="I476" s="2731">
        <f>'Part V-Revenues &amp; Expenses'!I23</f>
        <v>0</v>
      </c>
      <c r="J476" s="2731">
        <f>'Part V-Revenues &amp; Expenses'!J23</f>
        <v>78</v>
      </c>
      <c r="K476" s="2732">
        <f>'Part V-Revenues &amp; Expenses'!K23</f>
        <v>0</v>
      </c>
      <c r="L476" s="2733">
        <f t="shared" si="1"/>
        <v>1144</v>
      </c>
      <c r="M476" s="2733">
        <f t="shared" si="2"/>
        <v>3432</v>
      </c>
      <c r="N476" s="2583" t="str">
        <f>'Part V-Revenues &amp; Expenses'!N23</f>
        <v>No</v>
      </c>
      <c r="O476" s="1248" t="str">
        <f>'Part V-Revenues &amp; Expenses'!O23</f>
        <v>Low-Rise Apt</v>
      </c>
      <c r="P476" s="2583" t="str">
        <f>'Part V-Revenues &amp; Expenses'!P23</f>
        <v>Acquisition/Rehab</v>
      </c>
      <c r="Q476" s="2468" t="str">
        <f>'Part V-Revenues &amp; Expenses'!Q23</f>
        <v>Yes</v>
      </c>
      <c r="R476" s="2734"/>
      <c r="S476" s="2735"/>
      <c r="T476" s="2650"/>
      <c r="U476" s="2650"/>
      <c r="V476" s="2650"/>
      <c r="W476" s="2650"/>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f t="shared" si="14"/>
        <v>3</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f t="shared" si="164"/>
        <v>1950</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f t="shared" si="219"/>
        <v>3</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f t="shared" si="249"/>
        <v>3</v>
      </c>
      <c r="JK476" s="1785" t="str">
        <f t="shared" si="250"/>
        <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t="str">
        <f t="shared" si="296"/>
        <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f t="shared" si="304"/>
        <v>3</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2469" t="str">
        <f t="shared" si="333"/>
        <v/>
      </c>
      <c r="MQ476" s="2469" t="str">
        <f t="shared" si="334"/>
        <v/>
      </c>
      <c r="MR476" s="2469" t="str">
        <f t="shared" si="335"/>
        <v/>
      </c>
      <c r="MS476" s="2469" t="str">
        <f t="shared" si="336"/>
        <v/>
      </c>
      <c r="MT476" s="246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0</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4311</v>
      </c>
      <c r="OZ476" s="1784">
        <v>23</v>
      </c>
    </row>
    <row r="477" spans="1:416" ht="12" customHeight="1">
      <c r="A477" s="2709" t="str">
        <f t="shared" si="0"/>
        <v/>
      </c>
      <c r="B477" s="2728">
        <f>'Part V-Revenues &amp; Expenses'!B24</f>
        <v>0</v>
      </c>
      <c r="C477" s="2729">
        <f>'Part V-Revenues &amp; Expenses'!C24</f>
        <v>0</v>
      </c>
      <c r="D477" s="2730">
        <f>'Part V-Revenues &amp; Expenses'!D24</f>
        <v>0</v>
      </c>
      <c r="E477" s="2731">
        <f>'Part V-Revenues &amp; Expenses'!E24</f>
        <v>0</v>
      </c>
      <c r="F477" s="2731">
        <f>'Part V-Revenues &amp; Expenses'!F24</f>
        <v>0</v>
      </c>
      <c r="G477" s="2731">
        <f>'Part V-Revenues &amp; Expenses'!G24</f>
        <v>0</v>
      </c>
      <c r="H477" s="2731">
        <f>'Part V-Revenues &amp; Expenses'!H24</f>
        <v>0</v>
      </c>
      <c r="I477" s="2731">
        <f>'Part V-Revenues &amp; Expenses'!I24</f>
        <v>0</v>
      </c>
      <c r="J477" s="2731">
        <f>'Part V-Revenues &amp; Expenses'!J24</f>
        <v>0</v>
      </c>
      <c r="K477" s="2732">
        <f>'Part V-Revenues &amp; Expenses'!K24</f>
        <v>0</v>
      </c>
      <c r="L477" s="2733">
        <f t="shared" si="1"/>
        <v>0</v>
      </c>
      <c r="M477" s="2733">
        <f t="shared" si="2"/>
        <v>0</v>
      </c>
      <c r="N477" s="2583">
        <f>'Part V-Revenues &amp; Expenses'!N24</f>
        <v>0</v>
      </c>
      <c r="O477" s="1248">
        <f>'Part V-Revenues &amp; Expenses'!O24</f>
        <v>0</v>
      </c>
      <c r="P477" s="2583">
        <f>'Part V-Revenues &amp; Expenses'!P24</f>
        <v>0</v>
      </c>
      <c r="Q477" s="2468">
        <f>'Part V-Revenues &amp; Expenses'!Q24</f>
        <v>0</v>
      </c>
      <c r="R477" s="2734"/>
      <c r="S477" s="2735"/>
      <c r="T477" s="2650"/>
      <c r="U477" s="2650"/>
      <c r="V477" s="2650"/>
      <c r="W477" s="2650"/>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t="str">
        <f t="shared" si="250"/>
        <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t="str">
        <f t="shared" si="295"/>
        <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2469" t="str">
        <f t="shared" si="333"/>
        <v/>
      </c>
      <c r="MQ477" s="2469" t="str">
        <f t="shared" si="334"/>
        <v/>
      </c>
      <c r="MR477" s="2469" t="str">
        <f t="shared" si="335"/>
        <v/>
      </c>
      <c r="MS477" s="2469" t="str">
        <f t="shared" si="336"/>
        <v/>
      </c>
      <c r="MT477" s="246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0</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4312</v>
      </c>
      <c r="OZ477" s="1784">
        <v>24</v>
      </c>
    </row>
    <row r="478" spans="1:416" ht="12" customHeight="1">
      <c r="A478" s="2709" t="str">
        <f t="shared" si="0"/>
        <v/>
      </c>
      <c r="B478" s="2728">
        <f>'Part V-Revenues &amp; Expenses'!B25</f>
        <v>30</v>
      </c>
      <c r="C478" s="2729">
        <f>'Part V-Revenues &amp; Expenses'!C25</f>
        <v>2</v>
      </c>
      <c r="D478" s="2730">
        <f>'Part V-Revenues &amp; Expenses'!D25</f>
        <v>1</v>
      </c>
      <c r="E478" s="2731">
        <f>'Part V-Revenues &amp; Expenses'!E25</f>
        <v>2</v>
      </c>
      <c r="F478" s="2731">
        <f>'Part V-Revenues &amp; Expenses'!F25</f>
        <v>860</v>
      </c>
      <c r="G478" s="2731">
        <f>'Part V-Revenues &amp; Expenses'!G25</f>
        <v>771</v>
      </c>
      <c r="H478" s="2731">
        <f>'Part V-Revenues &amp; Expenses'!H25</f>
        <v>755</v>
      </c>
      <c r="I478" s="2731">
        <f>'Part V-Revenues &amp; Expenses'!I25</f>
        <v>0</v>
      </c>
      <c r="J478" s="2731">
        <f>'Part V-Revenues &amp; Expenses'!J25</f>
        <v>100</v>
      </c>
      <c r="K478" s="2732">
        <f>'Part V-Revenues &amp; Expenses'!K25</f>
        <v>0</v>
      </c>
      <c r="L478" s="2733">
        <f t="shared" si="1"/>
        <v>655</v>
      </c>
      <c r="M478" s="2733">
        <f t="shared" si="2"/>
        <v>1310</v>
      </c>
      <c r="N478" s="2583" t="str">
        <f>'Part V-Revenues &amp; Expenses'!N25</f>
        <v>No</v>
      </c>
      <c r="O478" s="1248" t="str">
        <f>'Part V-Revenues &amp; Expenses'!O25</f>
        <v>Low-Rise Elevator</v>
      </c>
      <c r="P478" s="2583" t="str">
        <f>'Part V-Revenues &amp; Expenses'!P25</f>
        <v>Acquisition/Rehab</v>
      </c>
      <c r="Q478" s="2468" t="str">
        <f>'Part V-Revenues &amp; Expenses'!Q25</f>
        <v>No</v>
      </c>
      <c r="R478" s="2734"/>
      <c r="S478" s="2735"/>
      <c r="T478" s="2650"/>
      <c r="U478" s="2650"/>
      <c r="V478" s="2650"/>
      <c r="W478" s="2650"/>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f t="shared" si="30"/>
        <v>2</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f t="shared" si="50"/>
        <v>2</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f t="shared" si="180"/>
        <v>1720</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f t="shared" si="220"/>
        <v>2</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f t="shared" si="250"/>
        <v>2</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t="str">
        <f t="shared" si="296"/>
        <v/>
      </c>
      <c r="LF478" s="1785" t="str">
        <f t="shared" si="297"/>
        <v/>
      </c>
      <c r="LG478" s="1785" t="str">
        <f t="shared" si="298"/>
        <v/>
      </c>
      <c r="LH478" s="1785" t="str">
        <f t="shared" si="299"/>
        <v/>
      </c>
      <c r="LI478" s="1785">
        <f t="shared" si="300"/>
        <v>2</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2469" t="str">
        <f t="shared" si="333"/>
        <v/>
      </c>
      <c r="MQ478" s="2469" t="str">
        <f t="shared" si="334"/>
        <v/>
      </c>
      <c r="MR478" s="2469" t="str">
        <f t="shared" si="335"/>
        <v/>
      </c>
      <c r="MS478" s="2469" t="str">
        <f t="shared" si="336"/>
        <v/>
      </c>
      <c r="MT478" s="246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2</v>
      </c>
      <c r="NR478" s="1640">
        <f t="shared" si="361"/>
        <v>0</v>
      </c>
      <c r="NS478" s="1640">
        <f t="shared" si="362"/>
        <v>0</v>
      </c>
      <c r="NT478" s="1640">
        <f t="shared" si="368"/>
        <v>0</v>
      </c>
      <c r="NU478" s="1640">
        <f t="shared" si="369"/>
        <v>0</v>
      </c>
      <c r="NV478" s="1640">
        <f t="shared" si="370"/>
        <v>0</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4313</v>
      </c>
      <c r="OZ478" s="1640">
        <v>25</v>
      </c>
    </row>
    <row r="479" spans="1:416" ht="12" customHeight="1">
      <c r="A479" s="2709" t="str">
        <f t="shared" si="0"/>
        <v/>
      </c>
      <c r="B479" s="2728">
        <f>'Part V-Revenues &amp; Expenses'!B26</f>
        <v>50</v>
      </c>
      <c r="C479" s="2729">
        <f>'Part V-Revenues &amp; Expenses'!C26</f>
        <v>2</v>
      </c>
      <c r="D479" s="2730">
        <f>'Part V-Revenues &amp; Expenses'!D26</f>
        <v>1</v>
      </c>
      <c r="E479" s="2731">
        <f>'Part V-Revenues &amp; Expenses'!E26</f>
        <v>3</v>
      </c>
      <c r="F479" s="2731">
        <f>'Part V-Revenues &amp; Expenses'!F26</f>
        <v>860</v>
      </c>
      <c r="G479" s="2731">
        <f>'Part V-Revenues &amp; Expenses'!G26</f>
        <v>1285</v>
      </c>
      <c r="H479" s="2731">
        <f>'Part V-Revenues &amp; Expenses'!H26</f>
        <v>1223</v>
      </c>
      <c r="I479" s="2731">
        <f>'Part V-Revenues &amp; Expenses'!I26</f>
        <v>0</v>
      </c>
      <c r="J479" s="2731">
        <f>'Part V-Revenues &amp; Expenses'!J26</f>
        <v>100</v>
      </c>
      <c r="K479" s="2732">
        <f>'Part V-Revenues &amp; Expenses'!K26</f>
        <v>0</v>
      </c>
      <c r="L479" s="2733">
        <f t="shared" si="1"/>
        <v>1123</v>
      </c>
      <c r="M479" s="2733">
        <f t="shared" si="2"/>
        <v>3369</v>
      </c>
      <c r="N479" s="2583" t="str">
        <f>'Part V-Revenues &amp; Expenses'!N26</f>
        <v>No</v>
      </c>
      <c r="O479" s="1248" t="str">
        <f>'Part V-Revenues &amp; Expenses'!O26</f>
        <v>Low-Rise Elevator</v>
      </c>
      <c r="P479" s="2583" t="str">
        <f>'Part V-Revenues &amp; Expenses'!P26</f>
        <v>Acquisition/Rehab</v>
      </c>
      <c r="Q479" s="2468" t="str">
        <f>'Part V-Revenues &amp; Expenses'!Q26</f>
        <v>No</v>
      </c>
      <c r="R479" s="2734"/>
      <c r="S479" s="2735"/>
      <c r="T479" s="2650"/>
      <c r="U479" s="2650"/>
      <c r="V479" s="2650"/>
      <c r="W479" s="2650"/>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f t="shared" si="20"/>
        <v>3</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f t="shared" si="170"/>
        <v>2580</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f t="shared" si="220"/>
        <v>3</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f t="shared" si="250"/>
        <v>3</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t="str">
        <f t="shared" si="296"/>
        <v/>
      </c>
      <c r="LF479" s="1785" t="str">
        <f t="shared" si="297"/>
        <v/>
      </c>
      <c r="LG479" s="1785" t="str">
        <f t="shared" si="298"/>
        <v/>
      </c>
      <c r="LH479" s="1785" t="str">
        <f t="shared" si="299"/>
        <v/>
      </c>
      <c r="LI479" s="1785">
        <f t="shared" si="300"/>
        <v>3</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2469" t="str">
        <f t="shared" si="333"/>
        <v/>
      </c>
      <c r="MQ479" s="2469" t="str">
        <f t="shared" si="334"/>
        <v/>
      </c>
      <c r="MR479" s="2469" t="str">
        <f t="shared" si="335"/>
        <v/>
      </c>
      <c r="MS479" s="2469" t="str">
        <f t="shared" si="336"/>
        <v/>
      </c>
      <c r="MT479" s="246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3</v>
      </c>
      <c r="NR479" s="1640">
        <f t="shared" si="361"/>
        <v>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4314</v>
      </c>
      <c r="OZ479" s="1784">
        <v>26</v>
      </c>
    </row>
    <row r="480" spans="1:416" ht="12" customHeight="1">
      <c r="A480" s="2709" t="str">
        <f t="shared" si="0"/>
        <v/>
      </c>
      <c r="B480" s="2728">
        <f>'Part V-Revenues &amp; Expenses'!B27</f>
        <v>60</v>
      </c>
      <c r="C480" s="2729">
        <f>'Part V-Revenues &amp; Expenses'!C27</f>
        <v>2</v>
      </c>
      <c r="D480" s="2730">
        <f>'Part V-Revenues &amp; Expenses'!D27</f>
        <v>1</v>
      </c>
      <c r="E480" s="2731">
        <f>'Part V-Revenues &amp; Expenses'!E27</f>
        <v>53</v>
      </c>
      <c r="F480" s="2731">
        <f>'Part V-Revenues &amp; Expenses'!F27</f>
        <v>860</v>
      </c>
      <c r="G480" s="2731">
        <f>'Part V-Revenues &amp; Expenses'!G27</f>
        <v>1542</v>
      </c>
      <c r="H480" s="2731">
        <f>'Part V-Revenues &amp; Expenses'!H27</f>
        <v>1337</v>
      </c>
      <c r="I480" s="2731">
        <f>'Part V-Revenues &amp; Expenses'!I27</f>
        <v>0</v>
      </c>
      <c r="J480" s="2731">
        <f>'Part V-Revenues &amp; Expenses'!J27</f>
        <v>100</v>
      </c>
      <c r="K480" s="2732">
        <f>'Part V-Revenues &amp; Expenses'!K27</f>
        <v>0</v>
      </c>
      <c r="L480" s="2733">
        <f t="shared" si="1"/>
        <v>1237</v>
      </c>
      <c r="M480" s="2733">
        <f t="shared" si="2"/>
        <v>65561</v>
      </c>
      <c r="N480" s="2583" t="str">
        <f>'Part V-Revenues &amp; Expenses'!N27</f>
        <v>No</v>
      </c>
      <c r="O480" s="1248" t="str">
        <f>'Part V-Revenues &amp; Expenses'!O27</f>
        <v>Low-Rise Elevator</v>
      </c>
      <c r="P480" s="2583" t="str">
        <f>'Part V-Revenues &amp; Expenses'!P27</f>
        <v>Acquisition/Rehab</v>
      </c>
      <c r="Q480" s="2468" t="str">
        <f>'Part V-Revenues &amp; Expenses'!Q27</f>
        <v>No</v>
      </c>
      <c r="R480" s="2734"/>
      <c r="S480" s="2735"/>
      <c r="T480" s="2650"/>
      <c r="U480" s="2650"/>
      <c r="V480" s="2650"/>
      <c r="W480" s="2650"/>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f t="shared" si="15"/>
        <v>53</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f t="shared" si="165"/>
        <v>45580</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f t="shared" si="220"/>
        <v>53</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f t="shared" si="250"/>
        <v>53</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t="str">
        <f t="shared" si="295"/>
        <v/>
      </c>
      <c r="LE480" s="1785" t="str">
        <f t="shared" si="296"/>
        <v/>
      </c>
      <c r="LF480" s="1785" t="str">
        <f t="shared" si="297"/>
        <v/>
      </c>
      <c r="LG480" s="1785" t="str">
        <f t="shared" si="298"/>
        <v/>
      </c>
      <c r="LH480" s="1785" t="str">
        <f t="shared" si="299"/>
        <v/>
      </c>
      <c r="LI480" s="1785">
        <f t="shared" si="300"/>
        <v>53</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2469" t="str">
        <f t="shared" si="333"/>
        <v/>
      </c>
      <c r="MQ480" s="2469" t="str">
        <f t="shared" si="334"/>
        <v/>
      </c>
      <c r="MR480" s="2469" t="str">
        <f t="shared" si="335"/>
        <v/>
      </c>
      <c r="MS480" s="2469" t="str">
        <f t="shared" si="336"/>
        <v/>
      </c>
      <c r="MT480" s="246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53</v>
      </c>
      <c r="NR480" s="1640">
        <f t="shared" si="361"/>
        <v>0</v>
      </c>
      <c r="NS480" s="1640">
        <f t="shared" si="362"/>
        <v>0</v>
      </c>
      <c r="NT480" s="1640">
        <f t="shared" si="368"/>
        <v>0</v>
      </c>
      <c r="NU480" s="1640">
        <f t="shared" si="369"/>
        <v>0</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4315</v>
      </c>
      <c r="OZ480" s="1784">
        <v>27</v>
      </c>
    </row>
    <row r="481" spans="1:416" ht="12" customHeight="1">
      <c r="A481" s="2709" t="str">
        <f t="shared" si="0"/>
        <v/>
      </c>
      <c r="B481" s="2728">
        <f>'Part V-Revenues &amp; Expenses'!B28</f>
        <v>60</v>
      </c>
      <c r="C481" s="2729">
        <f>'Part V-Revenues &amp; Expenses'!C28</f>
        <v>2</v>
      </c>
      <c r="D481" s="2730">
        <f>'Part V-Revenues &amp; Expenses'!D28</f>
        <v>1</v>
      </c>
      <c r="E481" s="2731">
        <f>'Part V-Revenues &amp; Expenses'!E28</f>
        <v>2</v>
      </c>
      <c r="F481" s="2731">
        <f>'Part V-Revenues &amp; Expenses'!F28</f>
        <v>860</v>
      </c>
      <c r="G481" s="2731">
        <f>'Part V-Revenues &amp; Expenses'!G28</f>
        <v>1542</v>
      </c>
      <c r="H481" s="2731">
        <f>'Part V-Revenues &amp; Expenses'!H28</f>
        <v>1337</v>
      </c>
      <c r="I481" s="2731">
        <f>'Part V-Revenues &amp; Expenses'!I28</f>
        <v>0</v>
      </c>
      <c r="J481" s="2731">
        <f>'Part V-Revenues &amp; Expenses'!J28</f>
        <v>100</v>
      </c>
      <c r="K481" s="2732">
        <f>'Part V-Revenues &amp; Expenses'!K28</f>
        <v>0</v>
      </c>
      <c r="L481" s="2733">
        <f t="shared" si="1"/>
        <v>1237</v>
      </c>
      <c r="M481" s="2733">
        <f t="shared" si="2"/>
        <v>2474</v>
      </c>
      <c r="N481" s="2583" t="str">
        <f>'Part V-Revenues &amp; Expenses'!N28</f>
        <v>No</v>
      </c>
      <c r="O481" s="1248" t="str">
        <f>'Part V-Revenues &amp; Expenses'!O28</f>
        <v>Low-Rise Apt</v>
      </c>
      <c r="P481" s="2583" t="str">
        <f>'Part V-Revenues &amp; Expenses'!P28</f>
        <v>Acquisition/Rehab</v>
      </c>
      <c r="Q481" s="2468" t="str">
        <f>'Part V-Revenues &amp; Expenses'!Q28</f>
        <v>Yes</v>
      </c>
      <c r="R481" s="2734"/>
      <c r="S481" s="2735"/>
      <c r="T481" s="2650"/>
      <c r="U481" s="2650"/>
      <c r="V481" s="2650"/>
      <c r="W481" s="2650"/>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f t="shared" si="15"/>
        <v>2</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f t="shared" si="165"/>
        <v>1720</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f t="shared" si="220"/>
        <v>2</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f t="shared" si="250"/>
        <v>2</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t="str">
        <f t="shared" si="295"/>
        <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f t="shared" si="305"/>
        <v>2</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2469" t="str">
        <f t="shared" si="333"/>
        <v/>
      </c>
      <c r="MQ481" s="2469" t="str">
        <f t="shared" si="334"/>
        <v/>
      </c>
      <c r="MR481" s="2469" t="str">
        <f t="shared" si="335"/>
        <v/>
      </c>
      <c r="MS481" s="2469" t="str">
        <f t="shared" si="336"/>
        <v/>
      </c>
      <c r="MT481" s="246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0</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4316</v>
      </c>
      <c r="OZ481" s="1784">
        <v>28</v>
      </c>
    </row>
    <row r="482" spans="1:416" ht="12" customHeight="1">
      <c r="A482" s="2709" t="str">
        <f t="shared" si="0"/>
        <v/>
      </c>
      <c r="B482" s="2728">
        <f>'Part V-Revenues &amp; Expenses'!B29</f>
        <v>0</v>
      </c>
      <c r="C482" s="2729">
        <f>'Part V-Revenues &amp; Expenses'!C29</f>
        <v>0</v>
      </c>
      <c r="D482" s="2730">
        <f>'Part V-Revenues &amp; Expenses'!D29</f>
        <v>0</v>
      </c>
      <c r="E482" s="2731">
        <f>'Part V-Revenues &amp; Expenses'!E29</f>
        <v>0</v>
      </c>
      <c r="F482" s="2731">
        <f>'Part V-Revenues &amp; Expenses'!F29</f>
        <v>0</v>
      </c>
      <c r="G482" s="2731">
        <f>'Part V-Revenues &amp; Expenses'!G29</f>
        <v>0</v>
      </c>
      <c r="H482" s="2731">
        <f>'Part V-Revenues &amp; Expenses'!H29</f>
        <v>0</v>
      </c>
      <c r="I482" s="2731">
        <f>'Part V-Revenues &amp; Expenses'!I29</f>
        <v>0</v>
      </c>
      <c r="J482" s="2731">
        <f>'Part V-Revenues &amp; Expenses'!J29</f>
        <v>0</v>
      </c>
      <c r="K482" s="2732">
        <f>'Part V-Revenues &amp; Expenses'!K29</f>
        <v>0</v>
      </c>
      <c r="L482" s="2733">
        <f t="shared" si="1"/>
        <v>0</v>
      </c>
      <c r="M482" s="2733">
        <f t="shared" si="2"/>
        <v>0</v>
      </c>
      <c r="N482" s="2583">
        <f>'Part V-Revenues &amp; Expenses'!N29</f>
        <v>0</v>
      </c>
      <c r="O482" s="1248">
        <f>'Part V-Revenues &amp; Expenses'!O29</f>
        <v>0</v>
      </c>
      <c r="P482" s="2583">
        <f>'Part V-Revenues &amp; Expenses'!P29</f>
        <v>0</v>
      </c>
      <c r="Q482" s="2468">
        <f>'Part V-Revenues &amp; Expenses'!Q29</f>
        <v>0</v>
      </c>
      <c r="R482" s="2734"/>
      <c r="S482" s="2735"/>
      <c r="T482" s="2650"/>
      <c r="U482" s="2650"/>
      <c r="V482" s="2650"/>
      <c r="W482" s="2650"/>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2469" t="str">
        <f t="shared" si="333"/>
        <v/>
      </c>
      <c r="MQ482" s="2469" t="str">
        <f t="shared" si="334"/>
        <v/>
      </c>
      <c r="MR482" s="2469" t="str">
        <f t="shared" si="335"/>
        <v/>
      </c>
      <c r="MS482" s="2469" t="str">
        <f t="shared" si="336"/>
        <v/>
      </c>
      <c r="MT482" s="246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4317</v>
      </c>
      <c r="OZ482" s="1784">
        <v>29</v>
      </c>
    </row>
    <row r="483" spans="1:416" ht="12" customHeight="1">
      <c r="A483" s="2709" t="str">
        <f t="shared" si="0"/>
        <v/>
      </c>
      <c r="B483" s="2728">
        <f>'Part V-Revenues &amp; Expenses'!B30</f>
        <v>30</v>
      </c>
      <c r="C483" s="2729">
        <f>'Part V-Revenues &amp; Expenses'!C30</f>
        <v>2</v>
      </c>
      <c r="D483" s="2730">
        <f>'Part V-Revenues &amp; Expenses'!D30</f>
        <v>2</v>
      </c>
      <c r="E483" s="2731">
        <f>'Part V-Revenues &amp; Expenses'!E30</f>
        <v>1</v>
      </c>
      <c r="F483" s="2731">
        <f>'Part V-Revenues &amp; Expenses'!F30</f>
        <v>952</v>
      </c>
      <c r="G483" s="2731">
        <f>'Part V-Revenues &amp; Expenses'!G30</f>
        <v>771</v>
      </c>
      <c r="H483" s="2731">
        <f>'Part V-Revenues &amp; Expenses'!H30</f>
        <v>771</v>
      </c>
      <c r="I483" s="2731">
        <f>'Part V-Revenues &amp; Expenses'!I30</f>
        <v>0</v>
      </c>
      <c r="J483" s="2731">
        <f>'Part V-Revenues &amp; Expenses'!J30</f>
        <v>100</v>
      </c>
      <c r="K483" s="2732">
        <f>'Part V-Revenues &amp; Expenses'!K30</f>
        <v>0</v>
      </c>
      <c r="L483" s="2733">
        <f t="shared" si="1"/>
        <v>671</v>
      </c>
      <c r="M483" s="2733">
        <f t="shared" si="2"/>
        <v>671</v>
      </c>
      <c r="N483" s="2583" t="str">
        <f>'Part V-Revenues &amp; Expenses'!N30</f>
        <v>No</v>
      </c>
      <c r="O483" s="1248" t="str">
        <f>'Part V-Revenues &amp; Expenses'!O30</f>
        <v>Low-Rise Elevator</v>
      </c>
      <c r="P483" s="2583" t="str">
        <f>'Part V-Revenues &amp; Expenses'!P30</f>
        <v>Acquisition/Rehab</v>
      </c>
      <c r="Q483" s="2468" t="str">
        <f>'Part V-Revenues &amp; Expenses'!Q30</f>
        <v>No</v>
      </c>
      <c r="R483" s="2734"/>
      <c r="S483" s="2735"/>
      <c r="T483" s="2650"/>
      <c r="U483" s="2650"/>
      <c r="V483" s="2650"/>
      <c r="W483" s="2650"/>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f t="shared" si="30"/>
        <v>1</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f t="shared" si="50"/>
        <v>1</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f t="shared" si="180"/>
        <v>952</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f t="shared" si="220"/>
        <v>1</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f t="shared" si="250"/>
        <v>1</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f t="shared" si="300"/>
        <v>1</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2469" t="str">
        <f t="shared" si="333"/>
        <v/>
      </c>
      <c r="MQ483" s="2469" t="str">
        <f t="shared" si="334"/>
        <v/>
      </c>
      <c r="MR483" s="2469" t="str">
        <f t="shared" si="335"/>
        <v/>
      </c>
      <c r="MS483" s="2469" t="str">
        <f t="shared" si="336"/>
        <v/>
      </c>
      <c r="MT483" s="246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1</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4318</v>
      </c>
      <c r="OZ483" s="1784">
        <v>30</v>
      </c>
    </row>
    <row r="484" spans="1:416" ht="12" customHeight="1">
      <c r="A484" s="2709" t="str">
        <f t="shared" si="0"/>
        <v/>
      </c>
      <c r="B484" s="2728">
        <f>'Part V-Revenues &amp; Expenses'!B31</f>
        <v>30</v>
      </c>
      <c r="C484" s="2729">
        <f>'Part V-Revenues &amp; Expenses'!C31</f>
        <v>2</v>
      </c>
      <c r="D484" s="2730">
        <f>'Part V-Revenues &amp; Expenses'!D31</f>
        <v>2</v>
      </c>
      <c r="E484" s="2731">
        <f>'Part V-Revenues &amp; Expenses'!E31</f>
        <v>1</v>
      </c>
      <c r="F484" s="2731">
        <f>'Part V-Revenues &amp; Expenses'!F31</f>
        <v>952</v>
      </c>
      <c r="G484" s="2731">
        <f>'Part V-Revenues &amp; Expenses'!G31</f>
        <v>771</v>
      </c>
      <c r="H484" s="2731">
        <f>'Part V-Revenues &amp; Expenses'!H31</f>
        <v>771</v>
      </c>
      <c r="I484" s="2731">
        <f>'Part V-Revenues &amp; Expenses'!I31</f>
        <v>0</v>
      </c>
      <c r="J484" s="2731">
        <f>'Part V-Revenues &amp; Expenses'!J31</f>
        <v>100</v>
      </c>
      <c r="K484" s="2732">
        <f>'Part V-Revenues &amp; Expenses'!K31</f>
        <v>0</v>
      </c>
      <c r="L484" s="2733">
        <f t="shared" si="1"/>
        <v>671</v>
      </c>
      <c r="M484" s="2733">
        <f t="shared" si="2"/>
        <v>671</v>
      </c>
      <c r="N484" s="2583" t="str">
        <f>'Part V-Revenues &amp; Expenses'!N31</f>
        <v>No</v>
      </c>
      <c r="O484" s="1248" t="str">
        <f>'Part V-Revenues &amp; Expenses'!O31</f>
        <v>Low-Rise Apt</v>
      </c>
      <c r="P484" s="2583" t="str">
        <f>'Part V-Revenues &amp; Expenses'!P31</f>
        <v>Acquisition/Rehab</v>
      </c>
      <c r="Q484" s="2468" t="str">
        <f>'Part V-Revenues &amp; Expenses'!Q31</f>
        <v>Yes</v>
      </c>
      <c r="R484" s="2734"/>
      <c r="S484" s="2735"/>
      <c r="T484" s="2650"/>
      <c r="U484" s="2650"/>
      <c r="V484" s="2650"/>
      <c r="W484" s="2650"/>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f t="shared" si="30"/>
        <v>1</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f t="shared" si="50"/>
        <v>1</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f t="shared" si="180"/>
        <v>952</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f t="shared" si="220"/>
        <v>1</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f t="shared" si="250"/>
        <v>1</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f t="shared" si="305"/>
        <v>1</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2469" t="str">
        <f t="shared" si="333"/>
        <v/>
      </c>
      <c r="MQ484" s="2469" t="str">
        <f t="shared" si="334"/>
        <v/>
      </c>
      <c r="MR484" s="2469" t="str">
        <f t="shared" si="335"/>
        <v/>
      </c>
      <c r="MS484" s="2469" t="str">
        <f t="shared" si="336"/>
        <v/>
      </c>
      <c r="MT484" s="246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4319</v>
      </c>
      <c r="OZ484" s="2467">
        <v>31</v>
      </c>
    </row>
    <row r="485" spans="1:416" ht="12" customHeight="1">
      <c r="A485" s="2709" t="str">
        <f t="shared" si="0"/>
        <v/>
      </c>
      <c r="B485" s="2728">
        <f>'Part V-Revenues &amp; Expenses'!B32</f>
        <v>50</v>
      </c>
      <c r="C485" s="2729">
        <f>'Part V-Revenues &amp; Expenses'!C32</f>
        <v>2</v>
      </c>
      <c r="D485" s="2730">
        <f>'Part V-Revenues &amp; Expenses'!D32</f>
        <v>2</v>
      </c>
      <c r="E485" s="2731">
        <f>'Part V-Revenues &amp; Expenses'!E32</f>
        <v>1</v>
      </c>
      <c r="F485" s="2731">
        <f>'Part V-Revenues &amp; Expenses'!F32</f>
        <v>952</v>
      </c>
      <c r="G485" s="2731">
        <f>'Part V-Revenues &amp; Expenses'!G32</f>
        <v>1285</v>
      </c>
      <c r="H485" s="2731">
        <f>'Part V-Revenues &amp; Expenses'!H32</f>
        <v>1249</v>
      </c>
      <c r="I485" s="2731">
        <f>'Part V-Revenues &amp; Expenses'!I32</f>
        <v>0</v>
      </c>
      <c r="J485" s="2731">
        <f>'Part V-Revenues &amp; Expenses'!J32</f>
        <v>100</v>
      </c>
      <c r="K485" s="2732">
        <f>'Part V-Revenues &amp; Expenses'!K32</f>
        <v>0</v>
      </c>
      <c r="L485" s="2733">
        <f t="shared" si="1"/>
        <v>1149</v>
      </c>
      <c r="M485" s="2733">
        <f t="shared" si="2"/>
        <v>1149</v>
      </c>
      <c r="N485" s="2583" t="str">
        <f>'Part V-Revenues &amp; Expenses'!N32</f>
        <v>No</v>
      </c>
      <c r="O485" s="1248" t="str">
        <f>'Part V-Revenues &amp; Expenses'!O32</f>
        <v>Low-Rise Elevator</v>
      </c>
      <c r="P485" s="2583" t="str">
        <f>'Part V-Revenues &amp; Expenses'!P32</f>
        <v>Acquisition/Rehab</v>
      </c>
      <c r="Q485" s="2468" t="str">
        <f>'Part V-Revenues &amp; Expenses'!Q32</f>
        <v>No</v>
      </c>
      <c r="R485" s="2734"/>
      <c r="S485" s="2735"/>
      <c r="T485" s="2650"/>
      <c r="U485" s="2650"/>
      <c r="V485" s="2650"/>
      <c r="W485" s="2650"/>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f t="shared" si="20"/>
        <v>1</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f t="shared" si="170"/>
        <v>952</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f t="shared" si="220"/>
        <v>1</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f t="shared" si="250"/>
        <v>1</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t="str">
        <f t="shared" si="296"/>
        <v/>
      </c>
      <c r="LF485" s="1785" t="str">
        <f t="shared" si="297"/>
        <v/>
      </c>
      <c r="LG485" s="1785" t="str">
        <f t="shared" si="298"/>
        <v/>
      </c>
      <c r="LH485" s="1785" t="str">
        <f t="shared" si="299"/>
        <v/>
      </c>
      <c r="LI485" s="1785">
        <f t="shared" si="300"/>
        <v>1</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2469" t="str">
        <f t="shared" si="333"/>
        <v/>
      </c>
      <c r="MQ485" s="2469" t="str">
        <f t="shared" si="334"/>
        <v/>
      </c>
      <c r="MR485" s="2469" t="str">
        <f t="shared" si="335"/>
        <v/>
      </c>
      <c r="MS485" s="2469" t="str">
        <f t="shared" si="336"/>
        <v/>
      </c>
      <c r="MT485" s="246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1</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4320</v>
      </c>
      <c r="OZ485" s="1784">
        <v>32</v>
      </c>
    </row>
    <row r="486" spans="1:416" ht="12" customHeight="1">
      <c r="A486" s="2709" t="str">
        <f t="shared" si="0"/>
        <v/>
      </c>
      <c r="B486" s="2728">
        <f>'Part V-Revenues &amp; Expenses'!B33</f>
        <v>50</v>
      </c>
      <c r="C486" s="2729">
        <f>'Part V-Revenues &amp; Expenses'!C33</f>
        <v>2</v>
      </c>
      <c r="D486" s="2730">
        <f>'Part V-Revenues &amp; Expenses'!D33</f>
        <v>2</v>
      </c>
      <c r="E486" s="2731">
        <f>'Part V-Revenues &amp; Expenses'!E33</f>
        <v>1</v>
      </c>
      <c r="F486" s="2731">
        <f>'Part V-Revenues &amp; Expenses'!F33</f>
        <v>952</v>
      </c>
      <c r="G486" s="2731">
        <f>'Part V-Revenues &amp; Expenses'!G33</f>
        <v>1285</v>
      </c>
      <c r="H486" s="2731">
        <f>'Part V-Revenues &amp; Expenses'!H33</f>
        <v>1249</v>
      </c>
      <c r="I486" s="2731">
        <f>'Part V-Revenues &amp; Expenses'!I33</f>
        <v>0</v>
      </c>
      <c r="J486" s="2731">
        <f>'Part V-Revenues &amp; Expenses'!J33</f>
        <v>100</v>
      </c>
      <c r="K486" s="2732">
        <f>'Part V-Revenues &amp; Expenses'!K33</f>
        <v>0</v>
      </c>
      <c r="L486" s="2733">
        <f t="shared" si="1"/>
        <v>1149</v>
      </c>
      <c r="M486" s="2733">
        <f t="shared" si="2"/>
        <v>1149</v>
      </c>
      <c r="N486" s="2583" t="str">
        <f>'Part V-Revenues &amp; Expenses'!N33</f>
        <v>No</v>
      </c>
      <c r="O486" s="1248" t="str">
        <f>'Part V-Revenues &amp; Expenses'!O33</f>
        <v>Low-Rise Apt</v>
      </c>
      <c r="P486" s="2583" t="str">
        <f>'Part V-Revenues &amp; Expenses'!P33</f>
        <v>Acquisition/Rehab</v>
      </c>
      <c r="Q486" s="2468" t="str">
        <f>'Part V-Revenues &amp; Expenses'!Q33</f>
        <v>Yes</v>
      </c>
      <c r="R486" s="2734"/>
      <c r="S486" s="2735"/>
      <c r="T486" s="2650"/>
      <c r="U486" s="2650"/>
      <c r="V486" s="2650"/>
      <c r="W486" s="2650"/>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f t="shared" si="20"/>
        <v>1</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f t="shared" si="170"/>
        <v>952</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f t="shared" si="220"/>
        <v>1</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f t="shared" si="250"/>
        <v>1</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f t="shared" si="305"/>
        <v>1</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2469" t="str">
        <f t="shared" si="333"/>
        <v/>
      </c>
      <c r="MQ486" s="2469" t="str">
        <f t="shared" si="334"/>
        <v/>
      </c>
      <c r="MR486" s="2469" t="str">
        <f t="shared" si="335"/>
        <v/>
      </c>
      <c r="MS486" s="2469" t="str">
        <f t="shared" si="336"/>
        <v/>
      </c>
      <c r="MT486" s="246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4321</v>
      </c>
      <c r="OZ486" s="1640">
        <v>33</v>
      </c>
    </row>
    <row r="487" spans="1:416" ht="12" customHeight="1">
      <c r="A487" s="2709" t="str">
        <f t="shared" si="0"/>
        <v/>
      </c>
      <c r="B487" s="2728">
        <f>'Part V-Revenues &amp; Expenses'!B34</f>
        <v>60</v>
      </c>
      <c r="C487" s="2729">
        <f>'Part V-Revenues &amp; Expenses'!C34</f>
        <v>2</v>
      </c>
      <c r="D487" s="2730">
        <f>'Part V-Revenues &amp; Expenses'!D34</f>
        <v>2</v>
      </c>
      <c r="E487" s="2731">
        <f>'Part V-Revenues &amp; Expenses'!E34</f>
        <v>18</v>
      </c>
      <c r="F487" s="2731">
        <f>'Part V-Revenues &amp; Expenses'!F34</f>
        <v>952</v>
      </c>
      <c r="G487" s="2731">
        <f>'Part V-Revenues &amp; Expenses'!G34</f>
        <v>1542</v>
      </c>
      <c r="H487" s="2731">
        <f>'Part V-Revenues &amp; Expenses'!H34</f>
        <v>1326</v>
      </c>
      <c r="I487" s="2731">
        <f>'Part V-Revenues &amp; Expenses'!I34</f>
        <v>0</v>
      </c>
      <c r="J487" s="2731">
        <f>'Part V-Revenues &amp; Expenses'!J34</f>
        <v>100</v>
      </c>
      <c r="K487" s="2732">
        <f>'Part V-Revenues &amp; Expenses'!K34</f>
        <v>0</v>
      </c>
      <c r="L487" s="2733">
        <f t="shared" si="1"/>
        <v>1226</v>
      </c>
      <c r="M487" s="2733">
        <f t="shared" si="2"/>
        <v>22068</v>
      </c>
      <c r="N487" s="2583" t="str">
        <f>'Part V-Revenues &amp; Expenses'!N34</f>
        <v>No</v>
      </c>
      <c r="O487" s="1248" t="str">
        <f>'Part V-Revenues &amp; Expenses'!O34</f>
        <v>Low-Rise Elevator</v>
      </c>
      <c r="P487" s="2583" t="str">
        <f>'Part V-Revenues &amp; Expenses'!P34</f>
        <v>Acquisition/Rehab</v>
      </c>
      <c r="Q487" s="2468" t="str">
        <f>'Part V-Revenues &amp; Expenses'!Q34</f>
        <v>No</v>
      </c>
      <c r="R487" s="2734"/>
      <c r="S487" s="2735"/>
      <c r="T487" s="2650"/>
      <c r="U487" s="2650"/>
      <c r="V487" s="2650"/>
      <c r="W487" s="2650"/>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f t="shared" si="15"/>
        <v>18</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f t="shared" si="165"/>
        <v>17136</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f t="shared" si="220"/>
        <v>18</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f t="shared" si="250"/>
        <v>18</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f t="shared" si="300"/>
        <v>18</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2469" t="str">
        <f t="shared" si="333"/>
        <v/>
      </c>
      <c r="MQ487" s="2469" t="str">
        <f t="shared" si="334"/>
        <v/>
      </c>
      <c r="MR487" s="2469" t="str">
        <f t="shared" si="335"/>
        <v/>
      </c>
      <c r="MS487" s="2469" t="str">
        <f t="shared" si="336"/>
        <v/>
      </c>
      <c r="MT487" s="246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18</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4322</v>
      </c>
      <c r="OZ487" s="1784">
        <v>34</v>
      </c>
    </row>
    <row r="488" spans="1:416" ht="12" customHeight="1">
      <c r="A488" s="2709" t="str">
        <f t="shared" si="0"/>
        <v/>
      </c>
      <c r="B488" s="2728">
        <f>'Part V-Revenues &amp; Expenses'!B35</f>
        <v>60</v>
      </c>
      <c r="C488" s="2729">
        <f>'Part V-Revenues &amp; Expenses'!C35</f>
        <v>2</v>
      </c>
      <c r="D488" s="2730">
        <f>'Part V-Revenues &amp; Expenses'!D35</f>
        <v>2</v>
      </c>
      <c r="E488" s="2731">
        <f>'Part V-Revenues &amp; Expenses'!E35</f>
        <v>2</v>
      </c>
      <c r="F488" s="2731">
        <f>'Part V-Revenues &amp; Expenses'!F35</f>
        <v>952</v>
      </c>
      <c r="G488" s="2731">
        <f>'Part V-Revenues &amp; Expenses'!G35</f>
        <v>1542</v>
      </c>
      <c r="H488" s="2731">
        <f>'Part V-Revenues &amp; Expenses'!H35</f>
        <v>1326</v>
      </c>
      <c r="I488" s="2731">
        <f>'Part V-Revenues &amp; Expenses'!I35</f>
        <v>0</v>
      </c>
      <c r="J488" s="2731">
        <f>'Part V-Revenues &amp; Expenses'!J35</f>
        <v>100</v>
      </c>
      <c r="K488" s="2732">
        <f>'Part V-Revenues &amp; Expenses'!K35</f>
        <v>0</v>
      </c>
      <c r="L488" s="2733">
        <f t="shared" si="1"/>
        <v>1226</v>
      </c>
      <c r="M488" s="2733">
        <f t="shared" si="2"/>
        <v>2452</v>
      </c>
      <c r="N488" s="2583" t="str">
        <f>'Part V-Revenues &amp; Expenses'!N35</f>
        <v>No</v>
      </c>
      <c r="O488" s="1248" t="str">
        <f>'Part V-Revenues &amp; Expenses'!O35</f>
        <v>Low-Rise Apt</v>
      </c>
      <c r="P488" s="2583" t="str">
        <f>'Part V-Revenues &amp; Expenses'!P35</f>
        <v>Acquisition/Rehab</v>
      </c>
      <c r="Q488" s="2468" t="str">
        <f>'Part V-Revenues &amp; Expenses'!Q35</f>
        <v>Yes</v>
      </c>
      <c r="R488" s="2734"/>
      <c r="S488" s="2735"/>
      <c r="T488" s="2650"/>
      <c r="U488" s="2650"/>
      <c r="V488" s="2650"/>
      <c r="W488" s="2650"/>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f t="shared" si="15"/>
        <v>2</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f t="shared" si="165"/>
        <v>1904</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f t="shared" si="220"/>
        <v>2</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f t="shared" si="250"/>
        <v>2</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f t="shared" si="305"/>
        <v>2</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2469" t="str">
        <f t="shared" si="333"/>
        <v/>
      </c>
      <c r="MQ488" s="2469" t="str">
        <f t="shared" si="334"/>
        <v/>
      </c>
      <c r="MR488" s="2469" t="str">
        <f t="shared" si="335"/>
        <v/>
      </c>
      <c r="MS488" s="2469" t="str">
        <f t="shared" si="336"/>
        <v/>
      </c>
      <c r="MT488" s="246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4323</v>
      </c>
      <c r="OZ488" s="1784">
        <v>35</v>
      </c>
    </row>
    <row r="489" spans="1:416" ht="12" customHeight="1">
      <c r="A489" s="2709" t="str">
        <f t="shared" si="0"/>
        <v/>
      </c>
      <c r="B489" s="2728">
        <f>'Part V-Revenues &amp; Expenses'!B36</f>
        <v>0</v>
      </c>
      <c r="C489" s="2729">
        <f>'Part V-Revenues &amp; Expenses'!C36</f>
        <v>0</v>
      </c>
      <c r="D489" s="2730">
        <f>'Part V-Revenues &amp; Expenses'!D36</f>
        <v>0</v>
      </c>
      <c r="E489" s="2731">
        <f>'Part V-Revenues &amp; Expenses'!E36</f>
        <v>0</v>
      </c>
      <c r="F489" s="2731">
        <f>'Part V-Revenues &amp; Expenses'!F36</f>
        <v>0</v>
      </c>
      <c r="G489" s="2731">
        <f>'Part V-Revenues &amp; Expenses'!G36</f>
        <v>0</v>
      </c>
      <c r="H489" s="2731">
        <f>'Part V-Revenues &amp; Expenses'!H36</f>
        <v>0</v>
      </c>
      <c r="I489" s="2731">
        <f>'Part V-Revenues &amp; Expenses'!I36</f>
        <v>0</v>
      </c>
      <c r="J489" s="2731">
        <f>'Part V-Revenues &amp; Expenses'!J36</f>
        <v>0</v>
      </c>
      <c r="K489" s="2732">
        <f>'Part V-Revenues &amp; Expenses'!K36</f>
        <v>0</v>
      </c>
      <c r="L489" s="2733">
        <f t="shared" si="1"/>
        <v>0</v>
      </c>
      <c r="M489" s="2733">
        <f t="shared" si="2"/>
        <v>0</v>
      </c>
      <c r="N489" s="2583">
        <f>'Part V-Revenues &amp; Expenses'!N36</f>
        <v>0</v>
      </c>
      <c r="O489" s="1248">
        <f>'Part V-Revenues &amp; Expenses'!O36</f>
        <v>0</v>
      </c>
      <c r="P489" s="2583">
        <f>'Part V-Revenues &amp; Expenses'!P36</f>
        <v>0</v>
      </c>
      <c r="Q489" s="2468">
        <f>'Part V-Revenues &amp; Expenses'!Q36</f>
        <v>0</v>
      </c>
      <c r="R489" s="2734"/>
      <c r="S489" s="2735"/>
      <c r="T489" s="2650"/>
      <c r="U489" s="2650"/>
      <c r="V489" s="2650"/>
      <c r="W489" s="2650"/>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2469" t="str">
        <f t="shared" si="333"/>
        <v/>
      </c>
      <c r="MQ489" s="2469" t="str">
        <f t="shared" si="334"/>
        <v/>
      </c>
      <c r="MR489" s="2469" t="str">
        <f t="shared" si="335"/>
        <v/>
      </c>
      <c r="MS489" s="2469" t="str">
        <f t="shared" si="336"/>
        <v/>
      </c>
      <c r="MT489" s="246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4324</v>
      </c>
      <c r="OZ489" s="1640">
        <v>36</v>
      </c>
    </row>
    <row r="490" spans="1:416" ht="12" customHeight="1">
      <c r="A490" s="2709" t="str">
        <f t="shared" si="0"/>
        <v/>
      </c>
      <c r="B490" s="2728">
        <f>'Part V-Revenues &amp; Expenses'!B37</f>
        <v>0</v>
      </c>
      <c r="C490" s="2729">
        <f>'Part V-Revenues &amp; Expenses'!C37</f>
        <v>0</v>
      </c>
      <c r="D490" s="2730">
        <f>'Part V-Revenues &amp; Expenses'!D37</f>
        <v>0</v>
      </c>
      <c r="E490" s="2731">
        <f>'Part V-Revenues &amp; Expenses'!E37</f>
        <v>0</v>
      </c>
      <c r="F490" s="2731">
        <f>'Part V-Revenues &amp; Expenses'!F37</f>
        <v>0</v>
      </c>
      <c r="G490" s="2731">
        <f>'Part V-Revenues &amp; Expenses'!G37</f>
        <v>0</v>
      </c>
      <c r="H490" s="2731">
        <f>'Part V-Revenues &amp; Expenses'!H37</f>
        <v>0</v>
      </c>
      <c r="I490" s="2731">
        <f>'Part V-Revenues &amp; Expenses'!I37</f>
        <v>0</v>
      </c>
      <c r="J490" s="2731">
        <f>'Part V-Revenues &amp; Expenses'!J37</f>
        <v>0</v>
      </c>
      <c r="K490" s="2732">
        <f>'Part V-Revenues &amp; Expenses'!K37</f>
        <v>0</v>
      </c>
      <c r="L490" s="2733">
        <f t="shared" si="1"/>
        <v>0</v>
      </c>
      <c r="M490" s="2733">
        <f t="shared" si="2"/>
        <v>0</v>
      </c>
      <c r="N490" s="2583">
        <f>'Part V-Revenues &amp; Expenses'!N37</f>
        <v>0</v>
      </c>
      <c r="O490" s="1248">
        <f>'Part V-Revenues &amp; Expenses'!O37</f>
        <v>0</v>
      </c>
      <c r="P490" s="2583">
        <f>'Part V-Revenues &amp; Expenses'!P37</f>
        <v>0</v>
      </c>
      <c r="Q490" s="2468">
        <f>'Part V-Revenues &amp; Expenses'!Q37</f>
        <v>0</v>
      </c>
      <c r="R490" s="2734"/>
      <c r="S490" s="2735"/>
      <c r="T490" s="2650"/>
      <c r="U490" s="2650"/>
      <c r="V490" s="2650"/>
      <c r="W490" s="2650"/>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2469" t="str">
        <f t="shared" si="333"/>
        <v/>
      </c>
      <c r="MQ490" s="2469" t="str">
        <f t="shared" si="334"/>
        <v/>
      </c>
      <c r="MR490" s="2469" t="str">
        <f t="shared" si="335"/>
        <v/>
      </c>
      <c r="MS490" s="2469" t="str">
        <f t="shared" si="336"/>
        <v/>
      </c>
      <c r="MT490" s="246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4325</v>
      </c>
      <c r="OZ490" s="1784">
        <v>37</v>
      </c>
    </row>
    <row r="491" spans="1:416" ht="12" customHeight="1">
      <c r="A491" s="2709" t="str">
        <f t="shared" si="0"/>
        <v/>
      </c>
      <c r="B491" s="2728">
        <f>'Part V-Revenues &amp; Expenses'!B38</f>
        <v>0</v>
      </c>
      <c r="C491" s="2729">
        <f>'Part V-Revenues &amp; Expenses'!C38</f>
        <v>0</v>
      </c>
      <c r="D491" s="2730">
        <f>'Part V-Revenues &amp; Expenses'!D38</f>
        <v>0</v>
      </c>
      <c r="E491" s="2731">
        <f>'Part V-Revenues &amp; Expenses'!E38</f>
        <v>0</v>
      </c>
      <c r="F491" s="2731">
        <f>'Part V-Revenues &amp; Expenses'!F38</f>
        <v>0</v>
      </c>
      <c r="G491" s="2731">
        <f>'Part V-Revenues &amp; Expenses'!G38</f>
        <v>0</v>
      </c>
      <c r="H491" s="2731">
        <f>'Part V-Revenues &amp; Expenses'!H38</f>
        <v>0</v>
      </c>
      <c r="I491" s="2731">
        <f>'Part V-Revenues &amp; Expenses'!I38</f>
        <v>0</v>
      </c>
      <c r="J491" s="2731">
        <f>'Part V-Revenues &amp; Expenses'!J38</f>
        <v>0</v>
      </c>
      <c r="K491" s="2732">
        <f>'Part V-Revenues &amp; Expenses'!K38</f>
        <v>0</v>
      </c>
      <c r="L491" s="2733">
        <f t="shared" si="1"/>
        <v>0</v>
      </c>
      <c r="M491" s="2733">
        <f t="shared" si="2"/>
        <v>0</v>
      </c>
      <c r="N491" s="2583">
        <f>'Part V-Revenues &amp; Expenses'!N38</f>
        <v>0</v>
      </c>
      <c r="O491" s="1248">
        <f>'Part V-Revenues &amp; Expenses'!O38</f>
        <v>0</v>
      </c>
      <c r="P491" s="2583">
        <f>'Part V-Revenues &amp; Expenses'!P38</f>
        <v>0</v>
      </c>
      <c r="Q491" s="2468">
        <f>'Part V-Revenues &amp; Expenses'!Q38</f>
        <v>0</v>
      </c>
      <c r="R491" s="2734"/>
      <c r="S491" s="2735"/>
      <c r="T491" s="2650"/>
      <c r="U491" s="2650"/>
      <c r="V491" s="2650"/>
      <c r="W491" s="2650"/>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2469" t="str">
        <f t="shared" si="333"/>
        <v/>
      </c>
      <c r="MQ491" s="2469" t="str">
        <f t="shared" si="334"/>
        <v/>
      </c>
      <c r="MR491" s="2469" t="str">
        <f t="shared" si="335"/>
        <v/>
      </c>
      <c r="MS491" s="2469" t="str">
        <f t="shared" si="336"/>
        <v/>
      </c>
      <c r="MT491" s="246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4326</v>
      </c>
      <c r="OZ491" s="1784">
        <v>38</v>
      </c>
    </row>
    <row r="492" spans="1:416" ht="12" customHeight="1">
      <c r="A492" s="2709" t="str">
        <f t="shared" si="0"/>
        <v/>
      </c>
      <c r="B492" s="2728">
        <f>'Part V-Revenues &amp; Expenses'!B39</f>
        <v>0</v>
      </c>
      <c r="C492" s="2729">
        <f>'Part V-Revenues &amp; Expenses'!C39</f>
        <v>0</v>
      </c>
      <c r="D492" s="2730">
        <f>'Part V-Revenues &amp; Expenses'!D39</f>
        <v>0</v>
      </c>
      <c r="E492" s="2731">
        <f>'Part V-Revenues &amp; Expenses'!E39</f>
        <v>0</v>
      </c>
      <c r="F492" s="2731">
        <f>'Part V-Revenues &amp; Expenses'!F39</f>
        <v>0</v>
      </c>
      <c r="G492" s="2731">
        <f>'Part V-Revenues &amp; Expenses'!G39</f>
        <v>0</v>
      </c>
      <c r="H492" s="2731">
        <f>'Part V-Revenues &amp; Expenses'!H39</f>
        <v>0</v>
      </c>
      <c r="I492" s="2731">
        <f>'Part V-Revenues &amp; Expenses'!I39</f>
        <v>0</v>
      </c>
      <c r="J492" s="2731">
        <f>'Part V-Revenues &amp; Expenses'!J39</f>
        <v>0</v>
      </c>
      <c r="K492" s="2732">
        <f>'Part V-Revenues &amp; Expenses'!K39</f>
        <v>0</v>
      </c>
      <c r="L492" s="2733">
        <f t="shared" si="1"/>
        <v>0</v>
      </c>
      <c r="M492" s="2733">
        <f t="shared" si="2"/>
        <v>0</v>
      </c>
      <c r="N492" s="2583">
        <f>'Part V-Revenues &amp; Expenses'!N39</f>
        <v>0</v>
      </c>
      <c r="O492" s="1248">
        <f>'Part V-Revenues &amp; Expenses'!O39</f>
        <v>0</v>
      </c>
      <c r="P492" s="2583">
        <f>'Part V-Revenues &amp; Expenses'!P39</f>
        <v>0</v>
      </c>
      <c r="Q492" s="2468">
        <f>'Part V-Revenues &amp; Expenses'!Q39</f>
        <v>0</v>
      </c>
      <c r="R492" s="2734"/>
      <c r="S492" s="2735"/>
      <c r="T492" s="2650"/>
      <c r="U492" s="2650"/>
      <c r="V492" s="2650"/>
      <c r="W492" s="2650"/>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2469" t="str">
        <f t="shared" si="333"/>
        <v/>
      </c>
      <c r="MQ492" s="2469" t="str">
        <f t="shared" si="334"/>
        <v/>
      </c>
      <c r="MR492" s="2469" t="str">
        <f t="shared" si="335"/>
        <v/>
      </c>
      <c r="MS492" s="2469" t="str">
        <f t="shared" si="336"/>
        <v/>
      </c>
      <c r="MT492" s="246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4327</v>
      </c>
      <c r="OZ492" s="1784">
        <v>39</v>
      </c>
    </row>
    <row r="493" spans="1:416" ht="12" customHeight="1">
      <c r="A493" s="2709" t="str">
        <f t="shared" si="0"/>
        <v/>
      </c>
      <c r="B493" s="2728">
        <f>'Part V-Revenues &amp; Expenses'!B40</f>
        <v>0</v>
      </c>
      <c r="C493" s="2729">
        <f>'Part V-Revenues &amp; Expenses'!C40</f>
        <v>0</v>
      </c>
      <c r="D493" s="2730">
        <f>'Part V-Revenues &amp; Expenses'!D40</f>
        <v>0</v>
      </c>
      <c r="E493" s="2731">
        <f>'Part V-Revenues &amp; Expenses'!E40</f>
        <v>0</v>
      </c>
      <c r="F493" s="2731">
        <f>'Part V-Revenues &amp; Expenses'!F40</f>
        <v>0</v>
      </c>
      <c r="G493" s="2731">
        <f>'Part V-Revenues &amp; Expenses'!G40</f>
        <v>0</v>
      </c>
      <c r="H493" s="2731">
        <f>'Part V-Revenues &amp; Expenses'!H40</f>
        <v>0</v>
      </c>
      <c r="I493" s="2731">
        <f>'Part V-Revenues &amp; Expenses'!I40</f>
        <v>0</v>
      </c>
      <c r="J493" s="2731">
        <f>'Part V-Revenues &amp; Expenses'!J40</f>
        <v>0</v>
      </c>
      <c r="K493" s="2732">
        <f>'Part V-Revenues &amp; Expenses'!K40</f>
        <v>0</v>
      </c>
      <c r="L493" s="2733">
        <f t="shared" si="1"/>
        <v>0</v>
      </c>
      <c r="M493" s="2733">
        <f t="shared" si="2"/>
        <v>0</v>
      </c>
      <c r="N493" s="2583">
        <f>'Part V-Revenues &amp; Expenses'!N40</f>
        <v>0</v>
      </c>
      <c r="O493" s="1248">
        <f>'Part V-Revenues &amp; Expenses'!O40</f>
        <v>0</v>
      </c>
      <c r="P493" s="2583">
        <f>'Part V-Revenues &amp; Expenses'!P40</f>
        <v>0</v>
      </c>
      <c r="Q493" s="2468">
        <f>'Part V-Revenues &amp; Expenses'!Q40</f>
        <v>0</v>
      </c>
      <c r="R493" s="2734"/>
      <c r="S493" s="2735"/>
      <c r="T493" s="2650"/>
      <c r="U493" s="2650"/>
      <c r="V493" s="2650"/>
      <c r="W493" s="2650"/>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2469" t="str">
        <f t="shared" si="333"/>
        <v/>
      </c>
      <c r="MQ493" s="2469" t="str">
        <f t="shared" si="334"/>
        <v/>
      </c>
      <c r="MR493" s="2469" t="str">
        <f t="shared" si="335"/>
        <v/>
      </c>
      <c r="MS493" s="2469" t="str">
        <f t="shared" si="336"/>
        <v/>
      </c>
      <c r="MT493" s="246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4328</v>
      </c>
      <c r="OZ493" s="1784">
        <v>40</v>
      </c>
    </row>
    <row r="494" spans="1:416" ht="12" customHeight="1">
      <c r="A494" s="2709" t="str">
        <f t="shared" si="0"/>
        <v/>
      </c>
      <c r="B494" s="2728">
        <f>'Part V-Revenues &amp; Expenses'!B41</f>
        <v>0</v>
      </c>
      <c r="C494" s="2729">
        <f>'Part V-Revenues &amp; Expenses'!C41</f>
        <v>0</v>
      </c>
      <c r="D494" s="2730">
        <f>'Part V-Revenues &amp; Expenses'!D41</f>
        <v>0</v>
      </c>
      <c r="E494" s="2731">
        <f>'Part V-Revenues &amp; Expenses'!E41</f>
        <v>0</v>
      </c>
      <c r="F494" s="2731">
        <f>'Part V-Revenues &amp; Expenses'!F41</f>
        <v>0</v>
      </c>
      <c r="G494" s="2731">
        <f>'Part V-Revenues &amp; Expenses'!G41</f>
        <v>0</v>
      </c>
      <c r="H494" s="2731">
        <f>'Part V-Revenues &amp; Expenses'!H41</f>
        <v>0</v>
      </c>
      <c r="I494" s="2731">
        <f>'Part V-Revenues &amp; Expenses'!I41</f>
        <v>0</v>
      </c>
      <c r="J494" s="2731">
        <f>'Part V-Revenues &amp; Expenses'!J41</f>
        <v>0</v>
      </c>
      <c r="K494" s="2732">
        <f>'Part V-Revenues &amp; Expenses'!K41</f>
        <v>0</v>
      </c>
      <c r="L494" s="2733">
        <f t="shared" si="1"/>
        <v>0</v>
      </c>
      <c r="M494" s="2733">
        <f t="shared" si="2"/>
        <v>0</v>
      </c>
      <c r="N494" s="2583">
        <f>'Part V-Revenues &amp; Expenses'!N41</f>
        <v>0</v>
      </c>
      <c r="O494" s="1248">
        <f>'Part V-Revenues &amp; Expenses'!O41</f>
        <v>0</v>
      </c>
      <c r="P494" s="2583">
        <f>'Part V-Revenues &amp; Expenses'!P41</f>
        <v>0</v>
      </c>
      <c r="Q494" s="2468">
        <f>'Part V-Revenues &amp; Expenses'!Q41</f>
        <v>0</v>
      </c>
      <c r="R494" s="2734"/>
      <c r="S494" s="2735"/>
      <c r="T494" s="2650"/>
      <c r="U494" s="2650"/>
      <c r="V494" s="2650"/>
      <c r="W494" s="2650"/>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2469" t="str">
        <f t="shared" si="333"/>
        <v/>
      </c>
      <c r="MQ494" s="2469" t="str">
        <f t="shared" si="334"/>
        <v/>
      </c>
      <c r="MR494" s="2469" t="str">
        <f t="shared" si="335"/>
        <v/>
      </c>
      <c r="MS494" s="2469" t="str">
        <f t="shared" si="336"/>
        <v/>
      </c>
      <c r="MT494" s="246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4329</v>
      </c>
      <c r="OZ494" s="1784">
        <v>41</v>
      </c>
    </row>
    <row r="495" spans="1:416" ht="12" customHeight="1">
      <c r="A495" s="2709" t="str">
        <f t="shared" si="0"/>
        <v/>
      </c>
      <c r="B495" s="2728">
        <f>'Part V-Revenues &amp; Expenses'!B42</f>
        <v>0</v>
      </c>
      <c r="C495" s="2729">
        <f>'Part V-Revenues &amp; Expenses'!C42</f>
        <v>0</v>
      </c>
      <c r="D495" s="2730">
        <f>'Part V-Revenues &amp; Expenses'!D42</f>
        <v>0</v>
      </c>
      <c r="E495" s="2731">
        <f>'Part V-Revenues &amp; Expenses'!E42</f>
        <v>0</v>
      </c>
      <c r="F495" s="2731">
        <f>'Part V-Revenues &amp; Expenses'!F42</f>
        <v>0</v>
      </c>
      <c r="G495" s="2731">
        <f>'Part V-Revenues &amp; Expenses'!G42</f>
        <v>0</v>
      </c>
      <c r="H495" s="2731">
        <f>'Part V-Revenues &amp; Expenses'!H42</f>
        <v>0</v>
      </c>
      <c r="I495" s="2731">
        <f>'Part V-Revenues &amp; Expenses'!I42</f>
        <v>0</v>
      </c>
      <c r="J495" s="2731">
        <f>'Part V-Revenues &amp; Expenses'!J42</f>
        <v>0</v>
      </c>
      <c r="K495" s="2732">
        <f>'Part V-Revenues &amp; Expenses'!K42</f>
        <v>0</v>
      </c>
      <c r="L495" s="2733">
        <f t="shared" si="1"/>
        <v>0</v>
      </c>
      <c r="M495" s="2733">
        <f t="shared" si="2"/>
        <v>0</v>
      </c>
      <c r="N495" s="2583">
        <f>'Part V-Revenues &amp; Expenses'!N42</f>
        <v>0</v>
      </c>
      <c r="O495" s="1248">
        <f>'Part V-Revenues &amp; Expenses'!O42</f>
        <v>0</v>
      </c>
      <c r="P495" s="2583">
        <f>'Part V-Revenues &amp; Expenses'!P42</f>
        <v>0</v>
      </c>
      <c r="Q495" s="2468">
        <f>'Part V-Revenues &amp; Expenses'!Q42</f>
        <v>0</v>
      </c>
      <c r="R495" s="2734"/>
      <c r="S495" s="2735"/>
      <c r="T495" s="2650"/>
      <c r="U495" s="2650"/>
      <c r="V495" s="2650"/>
      <c r="W495" s="2650"/>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2469" t="str">
        <f t="shared" si="333"/>
        <v/>
      </c>
      <c r="MQ495" s="2469" t="str">
        <f t="shared" si="334"/>
        <v/>
      </c>
      <c r="MR495" s="2469" t="str">
        <f t="shared" si="335"/>
        <v/>
      </c>
      <c r="MS495" s="2469" t="str">
        <f t="shared" si="336"/>
        <v/>
      </c>
      <c r="MT495" s="246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4330</v>
      </c>
      <c r="OZ495" s="2467">
        <v>42</v>
      </c>
    </row>
    <row r="496" spans="1:416" ht="12" customHeight="1">
      <c r="A496" s="2709" t="str">
        <f t="shared" si="0"/>
        <v/>
      </c>
      <c r="B496" s="2728">
        <f>'Part V-Revenues &amp; Expenses'!B43</f>
        <v>0</v>
      </c>
      <c r="C496" s="2729">
        <f>'Part V-Revenues &amp; Expenses'!C43</f>
        <v>0</v>
      </c>
      <c r="D496" s="2730">
        <f>'Part V-Revenues &amp; Expenses'!D43</f>
        <v>0</v>
      </c>
      <c r="E496" s="2731">
        <f>'Part V-Revenues &amp; Expenses'!E43</f>
        <v>0</v>
      </c>
      <c r="F496" s="2731">
        <f>'Part V-Revenues &amp; Expenses'!F43</f>
        <v>0</v>
      </c>
      <c r="G496" s="2731">
        <f>'Part V-Revenues &amp; Expenses'!G43</f>
        <v>0</v>
      </c>
      <c r="H496" s="2731">
        <f>'Part V-Revenues &amp; Expenses'!H43</f>
        <v>0</v>
      </c>
      <c r="I496" s="2731">
        <f>'Part V-Revenues &amp; Expenses'!I43</f>
        <v>0</v>
      </c>
      <c r="J496" s="2731">
        <f>'Part V-Revenues &amp; Expenses'!J43</f>
        <v>0</v>
      </c>
      <c r="K496" s="2732">
        <f>'Part V-Revenues &amp; Expenses'!K43</f>
        <v>0</v>
      </c>
      <c r="L496" s="2733">
        <f t="shared" si="1"/>
        <v>0</v>
      </c>
      <c r="M496" s="2733">
        <f t="shared" si="2"/>
        <v>0</v>
      </c>
      <c r="N496" s="2583">
        <f>'Part V-Revenues &amp; Expenses'!N43</f>
        <v>0</v>
      </c>
      <c r="O496" s="1248">
        <f>'Part V-Revenues &amp; Expenses'!O43</f>
        <v>0</v>
      </c>
      <c r="P496" s="2583">
        <f>'Part V-Revenues &amp; Expenses'!P43</f>
        <v>0</v>
      </c>
      <c r="Q496" s="2468">
        <f>'Part V-Revenues &amp; Expenses'!Q43</f>
        <v>0</v>
      </c>
      <c r="R496" s="2734"/>
      <c r="S496" s="2735"/>
      <c r="T496" s="2650"/>
      <c r="U496" s="2650"/>
      <c r="V496" s="2650"/>
      <c r="W496" s="2650"/>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2469" t="str">
        <f t="shared" si="333"/>
        <v/>
      </c>
      <c r="MQ496" s="2469" t="str">
        <f t="shared" si="334"/>
        <v/>
      </c>
      <c r="MR496" s="2469" t="str">
        <f t="shared" si="335"/>
        <v/>
      </c>
      <c r="MS496" s="2469" t="str">
        <f t="shared" si="336"/>
        <v/>
      </c>
      <c r="MT496" s="246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4331</v>
      </c>
      <c r="OZ496" s="1784">
        <v>43</v>
      </c>
    </row>
    <row r="497" spans="1:416" ht="12" customHeight="1">
      <c r="A497" s="2709" t="str">
        <f t="shared" si="0"/>
        <v/>
      </c>
      <c r="B497" s="2728">
        <f>'Part V-Revenues &amp; Expenses'!B44</f>
        <v>0</v>
      </c>
      <c r="C497" s="2729">
        <f>'Part V-Revenues &amp; Expenses'!C44</f>
        <v>0</v>
      </c>
      <c r="D497" s="2730">
        <f>'Part V-Revenues &amp; Expenses'!D44</f>
        <v>0</v>
      </c>
      <c r="E497" s="2731">
        <f>'Part V-Revenues &amp; Expenses'!E44</f>
        <v>0</v>
      </c>
      <c r="F497" s="2731">
        <f>'Part V-Revenues &amp; Expenses'!F44</f>
        <v>0</v>
      </c>
      <c r="G497" s="2731">
        <f>'Part V-Revenues &amp; Expenses'!G44</f>
        <v>0</v>
      </c>
      <c r="H497" s="2731">
        <f>'Part V-Revenues &amp; Expenses'!H44</f>
        <v>0</v>
      </c>
      <c r="I497" s="2731">
        <f>'Part V-Revenues &amp; Expenses'!I44</f>
        <v>0</v>
      </c>
      <c r="J497" s="2731">
        <f>'Part V-Revenues &amp; Expenses'!J44</f>
        <v>0</v>
      </c>
      <c r="K497" s="2732">
        <f>'Part V-Revenues &amp; Expenses'!K44</f>
        <v>0</v>
      </c>
      <c r="L497" s="2733">
        <f t="shared" si="1"/>
        <v>0</v>
      </c>
      <c r="M497" s="2733">
        <f t="shared" si="2"/>
        <v>0</v>
      </c>
      <c r="N497" s="2583">
        <f>'Part V-Revenues &amp; Expenses'!N44</f>
        <v>0</v>
      </c>
      <c r="O497" s="1248">
        <f>'Part V-Revenues &amp; Expenses'!O44</f>
        <v>0</v>
      </c>
      <c r="P497" s="2583">
        <f>'Part V-Revenues &amp; Expenses'!P44</f>
        <v>0</v>
      </c>
      <c r="Q497" s="2468">
        <f>'Part V-Revenues &amp; Expenses'!Q44</f>
        <v>0</v>
      </c>
      <c r="R497" s="2734"/>
      <c r="S497" s="2735"/>
      <c r="T497" s="2650"/>
      <c r="U497" s="2650"/>
      <c r="V497" s="2650"/>
      <c r="W497" s="2650"/>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2469" t="str">
        <f t="shared" si="333"/>
        <v/>
      </c>
      <c r="MQ497" s="2469" t="str">
        <f t="shared" si="334"/>
        <v/>
      </c>
      <c r="MR497" s="2469" t="str">
        <f t="shared" si="335"/>
        <v/>
      </c>
      <c r="MS497" s="2469" t="str">
        <f t="shared" si="336"/>
        <v/>
      </c>
      <c r="MT497" s="246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4332</v>
      </c>
      <c r="OZ497" s="1640">
        <v>44</v>
      </c>
    </row>
    <row r="498" spans="1:416" ht="12" customHeight="1">
      <c r="A498" s="2709" t="str">
        <f t="shared" si="0"/>
        <v/>
      </c>
      <c r="B498" s="2728">
        <f>'Part V-Revenues &amp; Expenses'!B45</f>
        <v>0</v>
      </c>
      <c r="C498" s="2729">
        <f>'Part V-Revenues &amp; Expenses'!C45</f>
        <v>0</v>
      </c>
      <c r="D498" s="2730">
        <f>'Part V-Revenues &amp; Expenses'!D45</f>
        <v>0</v>
      </c>
      <c r="E498" s="2731">
        <f>'Part V-Revenues &amp; Expenses'!E45</f>
        <v>0</v>
      </c>
      <c r="F498" s="2731">
        <f>'Part V-Revenues &amp; Expenses'!F45</f>
        <v>0</v>
      </c>
      <c r="G498" s="2731">
        <f>'Part V-Revenues &amp; Expenses'!G45</f>
        <v>0</v>
      </c>
      <c r="H498" s="2731">
        <f>'Part V-Revenues &amp; Expenses'!H45</f>
        <v>0</v>
      </c>
      <c r="I498" s="2731">
        <f>'Part V-Revenues &amp; Expenses'!I45</f>
        <v>0</v>
      </c>
      <c r="J498" s="2731">
        <f>'Part V-Revenues &amp; Expenses'!J45</f>
        <v>0</v>
      </c>
      <c r="K498" s="2732">
        <f>'Part V-Revenues &amp; Expenses'!K45</f>
        <v>0</v>
      </c>
      <c r="L498" s="2733">
        <f t="shared" si="1"/>
        <v>0</v>
      </c>
      <c r="M498" s="2733">
        <f t="shared" si="2"/>
        <v>0</v>
      </c>
      <c r="N498" s="2583">
        <f>'Part V-Revenues &amp; Expenses'!N45</f>
        <v>0</v>
      </c>
      <c r="O498" s="1248">
        <f>'Part V-Revenues &amp; Expenses'!O45</f>
        <v>0</v>
      </c>
      <c r="P498" s="2583">
        <f>'Part V-Revenues &amp; Expenses'!P45</f>
        <v>0</v>
      </c>
      <c r="Q498" s="2468">
        <f>'Part V-Revenues &amp; Expenses'!Q45</f>
        <v>0</v>
      </c>
      <c r="R498" s="2734"/>
      <c r="S498" s="2735"/>
      <c r="T498" s="2650"/>
      <c r="U498" s="2650"/>
      <c r="V498" s="2650"/>
      <c r="W498" s="2650"/>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2469" t="str">
        <f t="shared" si="333"/>
        <v/>
      </c>
      <c r="MQ498" s="2469" t="str">
        <f t="shared" si="334"/>
        <v/>
      </c>
      <c r="MR498" s="2469" t="str">
        <f t="shared" si="335"/>
        <v/>
      </c>
      <c r="MS498" s="2469" t="str">
        <f t="shared" si="336"/>
        <v/>
      </c>
      <c r="MT498" s="246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4333</v>
      </c>
      <c r="OZ498" s="1784">
        <v>45</v>
      </c>
    </row>
    <row r="499" spans="1:416" ht="12" customHeight="1">
      <c r="A499" s="2709" t="str">
        <f t="shared" si="0"/>
        <v/>
      </c>
      <c r="B499" s="2728">
        <f>'Part V-Revenues &amp; Expenses'!B46</f>
        <v>0</v>
      </c>
      <c r="C499" s="2729">
        <f>'Part V-Revenues &amp; Expenses'!C46</f>
        <v>0</v>
      </c>
      <c r="D499" s="2730">
        <f>'Part V-Revenues &amp; Expenses'!D46</f>
        <v>0</v>
      </c>
      <c r="E499" s="2731">
        <f>'Part V-Revenues &amp; Expenses'!E46</f>
        <v>0</v>
      </c>
      <c r="F499" s="2731">
        <f>'Part V-Revenues &amp; Expenses'!F46</f>
        <v>0</v>
      </c>
      <c r="G499" s="2731">
        <f>'Part V-Revenues &amp; Expenses'!G46</f>
        <v>0</v>
      </c>
      <c r="H499" s="2731">
        <f>'Part V-Revenues &amp; Expenses'!H46</f>
        <v>0</v>
      </c>
      <c r="I499" s="2731">
        <f>'Part V-Revenues &amp; Expenses'!I46</f>
        <v>0</v>
      </c>
      <c r="J499" s="2731">
        <f>'Part V-Revenues &amp; Expenses'!J46</f>
        <v>0</v>
      </c>
      <c r="K499" s="2732">
        <f>'Part V-Revenues &amp; Expenses'!K46</f>
        <v>0</v>
      </c>
      <c r="L499" s="2733">
        <f t="shared" si="1"/>
        <v>0</v>
      </c>
      <c r="M499" s="2733">
        <f t="shared" si="2"/>
        <v>0</v>
      </c>
      <c r="N499" s="2583">
        <f>'Part V-Revenues &amp; Expenses'!N46</f>
        <v>0</v>
      </c>
      <c r="O499" s="1248">
        <f>'Part V-Revenues &amp; Expenses'!O46</f>
        <v>0</v>
      </c>
      <c r="P499" s="2583">
        <f>'Part V-Revenues &amp; Expenses'!P46</f>
        <v>0</v>
      </c>
      <c r="Q499" s="2468">
        <f>'Part V-Revenues &amp; Expenses'!Q46</f>
        <v>0</v>
      </c>
      <c r="R499" s="2734"/>
      <c r="S499" s="2735"/>
      <c r="T499" s="2650"/>
      <c r="U499" s="2650"/>
      <c r="V499" s="2650"/>
      <c r="W499" s="2650"/>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2469" t="str">
        <f t="shared" si="333"/>
        <v/>
      </c>
      <c r="MQ499" s="2469" t="str">
        <f t="shared" si="334"/>
        <v/>
      </c>
      <c r="MR499" s="2469" t="str">
        <f t="shared" si="335"/>
        <v/>
      </c>
      <c r="MS499" s="2469" t="str">
        <f t="shared" si="336"/>
        <v/>
      </c>
      <c r="MT499" s="246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4334</v>
      </c>
      <c r="OZ499" s="1784">
        <v>46</v>
      </c>
    </row>
    <row r="500" spans="1:416" ht="12" customHeight="1">
      <c r="A500" s="2709" t="str">
        <f t="shared" si="0"/>
        <v/>
      </c>
      <c r="B500" s="2728">
        <f>'Part V-Revenues &amp; Expenses'!B47</f>
        <v>0</v>
      </c>
      <c r="C500" s="2729">
        <f>'Part V-Revenues &amp; Expenses'!C47</f>
        <v>0</v>
      </c>
      <c r="D500" s="2730">
        <f>'Part V-Revenues &amp; Expenses'!D47</f>
        <v>0</v>
      </c>
      <c r="E500" s="2731">
        <f>'Part V-Revenues &amp; Expenses'!E47</f>
        <v>0</v>
      </c>
      <c r="F500" s="2731">
        <f>'Part V-Revenues &amp; Expenses'!F47</f>
        <v>0</v>
      </c>
      <c r="G500" s="2731">
        <f>'Part V-Revenues &amp; Expenses'!G47</f>
        <v>0</v>
      </c>
      <c r="H500" s="2731">
        <f>'Part V-Revenues &amp; Expenses'!H47</f>
        <v>0</v>
      </c>
      <c r="I500" s="2731">
        <f>'Part V-Revenues &amp; Expenses'!I47</f>
        <v>0</v>
      </c>
      <c r="J500" s="2731">
        <f>'Part V-Revenues &amp; Expenses'!J47</f>
        <v>0</v>
      </c>
      <c r="K500" s="2732">
        <f>'Part V-Revenues &amp; Expenses'!K47</f>
        <v>0</v>
      </c>
      <c r="L500" s="2733">
        <f t="shared" si="1"/>
        <v>0</v>
      </c>
      <c r="M500" s="2733">
        <f t="shared" si="2"/>
        <v>0</v>
      </c>
      <c r="N500" s="2583">
        <f>'Part V-Revenues &amp; Expenses'!N47</f>
        <v>0</v>
      </c>
      <c r="O500" s="1248">
        <f>'Part V-Revenues &amp; Expenses'!O47</f>
        <v>0</v>
      </c>
      <c r="P500" s="2583">
        <f>'Part V-Revenues &amp; Expenses'!P47</f>
        <v>0</v>
      </c>
      <c r="Q500" s="2468">
        <f>'Part V-Revenues &amp; Expenses'!Q47</f>
        <v>0</v>
      </c>
      <c r="R500" s="2734"/>
      <c r="S500" s="2735"/>
      <c r="T500" s="2650"/>
      <c r="U500" s="2650"/>
      <c r="V500" s="2650"/>
      <c r="W500" s="2650"/>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2469" t="str">
        <f t="shared" si="333"/>
        <v/>
      </c>
      <c r="MQ500" s="2469" t="str">
        <f t="shared" si="334"/>
        <v/>
      </c>
      <c r="MR500" s="2469" t="str">
        <f t="shared" si="335"/>
        <v/>
      </c>
      <c r="MS500" s="2469" t="str">
        <f t="shared" si="336"/>
        <v/>
      </c>
      <c r="MT500" s="246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4335</v>
      </c>
      <c r="OZ500" s="1640">
        <v>47</v>
      </c>
    </row>
    <row r="501" spans="1:416" ht="12" customHeight="1">
      <c r="A501" s="2709" t="str">
        <f t="shared" si="0"/>
        <v/>
      </c>
      <c r="B501" s="2728">
        <f>'Part V-Revenues &amp; Expenses'!B48</f>
        <v>0</v>
      </c>
      <c r="C501" s="2729">
        <f>'Part V-Revenues &amp; Expenses'!C48</f>
        <v>0</v>
      </c>
      <c r="D501" s="2730">
        <f>'Part V-Revenues &amp; Expenses'!D48</f>
        <v>0</v>
      </c>
      <c r="E501" s="2731">
        <f>'Part V-Revenues &amp; Expenses'!E48</f>
        <v>0</v>
      </c>
      <c r="F501" s="2731">
        <f>'Part V-Revenues &amp; Expenses'!F48</f>
        <v>0</v>
      </c>
      <c r="G501" s="2731">
        <f>'Part V-Revenues &amp; Expenses'!G48</f>
        <v>0</v>
      </c>
      <c r="H501" s="2731">
        <f>'Part V-Revenues &amp; Expenses'!H48</f>
        <v>0</v>
      </c>
      <c r="I501" s="2731">
        <f>'Part V-Revenues &amp; Expenses'!I48</f>
        <v>0</v>
      </c>
      <c r="J501" s="2731">
        <f>'Part V-Revenues &amp; Expenses'!J48</f>
        <v>0</v>
      </c>
      <c r="K501" s="2732">
        <f>'Part V-Revenues &amp; Expenses'!K48</f>
        <v>0</v>
      </c>
      <c r="L501" s="2733">
        <f t="shared" si="1"/>
        <v>0</v>
      </c>
      <c r="M501" s="2733">
        <f t="shared" si="2"/>
        <v>0</v>
      </c>
      <c r="N501" s="2583">
        <f>'Part V-Revenues &amp; Expenses'!N48</f>
        <v>0</v>
      </c>
      <c r="O501" s="1248">
        <f>'Part V-Revenues &amp; Expenses'!O48</f>
        <v>0</v>
      </c>
      <c r="P501" s="2583">
        <f>'Part V-Revenues &amp; Expenses'!P48</f>
        <v>0</v>
      </c>
      <c r="Q501" s="2468">
        <f>'Part V-Revenues &amp; Expenses'!Q48</f>
        <v>0</v>
      </c>
      <c r="R501" s="2734"/>
      <c r="S501" s="2735"/>
      <c r="T501" s="2650"/>
      <c r="U501" s="2650"/>
      <c r="V501" s="2650"/>
      <c r="W501" s="2650"/>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2469" t="str">
        <f t="shared" si="333"/>
        <v/>
      </c>
      <c r="MQ501" s="2469" t="str">
        <f t="shared" si="334"/>
        <v/>
      </c>
      <c r="MR501" s="2469" t="str">
        <f t="shared" si="335"/>
        <v/>
      </c>
      <c r="MS501" s="2469" t="str">
        <f t="shared" si="336"/>
        <v/>
      </c>
      <c r="MT501" s="246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4335</v>
      </c>
      <c r="OZ501" s="1640">
        <v>48</v>
      </c>
    </row>
    <row r="502" spans="1:416" ht="12" customHeight="1">
      <c r="A502" s="2709" t="str">
        <f t="shared" si="0"/>
        <v/>
      </c>
      <c r="B502" s="2728">
        <f>'Part V-Revenues &amp; Expenses'!B49</f>
        <v>0</v>
      </c>
      <c r="C502" s="2729">
        <f>'Part V-Revenues &amp; Expenses'!C49</f>
        <v>0</v>
      </c>
      <c r="D502" s="2730">
        <f>'Part V-Revenues &amp; Expenses'!D49</f>
        <v>0</v>
      </c>
      <c r="E502" s="2731">
        <f>'Part V-Revenues &amp; Expenses'!E49</f>
        <v>0</v>
      </c>
      <c r="F502" s="2731">
        <f>'Part V-Revenues &amp; Expenses'!F49</f>
        <v>0</v>
      </c>
      <c r="G502" s="2731">
        <f>'Part V-Revenues &amp; Expenses'!G49</f>
        <v>0</v>
      </c>
      <c r="H502" s="2731">
        <f>'Part V-Revenues &amp; Expenses'!H49</f>
        <v>0</v>
      </c>
      <c r="I502" s="2731">
        <f>'Part V-Revenues &amp; Expenses'!I49</f>
        <v>0</v>
      </c>
      <c r="J502" s="2731">
        <f>'Part V-Revenues &amp; Expenses'!J49</f>
        <v>0</v>
      </c>
      <c r="K502" s="2732">
        <f>'Part V-Revenues &amp; Expenses'!K49</f>
        <v>0</v>
      </c>
      <c r="L502" s="2733">
        <f t="shared" si="1"/>
        <v>0</v>
      </c>
      <c r="M502" s="2733">
        <f t="shared" si="2"/>
        <v>0</v>
      </c>
      <c r="N502" s="2583">
        <f>'Part V-Revenues &amp; Expenses'!N49</f>
        <v>0</v>
      </c>
      <c r="O502" s="1248">
        <f>'Part V-Revenues &amp; Expenses'!O49</f>
        <v>0</v>
      </c>
      <c r="P502" s="2583">
        <f>'Part V-Revenues &amp; Expenses'!P49</f>
        <v>0</v>
      </c>
      <c r="Q502" s="2468">
        <f>'Part V-Revenues &amp; Expenses'!Q49</f>
        <v>0</v>
      </c>
      <c r="R502" s="2734"/>
      <c r="S502" s="2735"/>
      <c r="T502" s="2650"/>
      <c r="U502" s="2650"/>
      <c r="V502" s="2650"/>
      <c r="W502" s="2650"/>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2469" t="str">
        <f t="shared" si="333"/>
        <v/>
      </c>
      <c r="MQ502" s="2469" t="str">
        <f t="shared" si="334"/>
        <v/>
      </c>
      <c r="MR502" s="2469" t="str">
        <f t="shared" si="335"/>
        <v/>
      </c>
      <c r="MS502" s="2469" t="str">
        <f t="shared" si="336"/>
        <v/>
      </c>
      <c r="MT502" s="246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4333</v>
      </c>
      <c r="OZ502" s="1784">
        <v>49</v>
      </c>
    </row>
    <row r="503" spans="1:416" ht="12" customHeight="1">
      <c r="A503" s="2709" t="str">
        <f t="shared" si="0"/>
        <v/>
      </c>
      <c r="B503" s="2728">
        <f>'Part V-Revenues &amp; Expenses'!B50</f>
        <v>0</v>
      </c>
      <c r="C503" s="2729">
        <f>'Part V-Revenues &amp; Expenses'!C50</f>
        <v>0</v>
      </c>
      <c r="D503" s="2730">
        <f>'Part V-Revenues &amp; Expenses'!D50</f>
        <v>0</v>
      </c>
      <c r="E503" s="2731">
        <f>'Part V-Revenues &amp; Expenses'!E50</f>
        <v>0</v>
      </c>
      <c r="F503" s="2731">
        <f>'Part V-Revenues &amp; Expenses'!F50</f>
        <v>0</v>
      </c>
      <c r="G503" s="2731">
        <f>'Part V-Revenues &amp; Expenses'!G50</f>
        <v>0</v>
      </c>
      <c r="H503" s="2731">
        <f>'Part V-Revenues &amp; Expenses'!H50</f>
        <v>0</v>
      </c>
      <c r="I503" s="2731">
        <f>'Part V-Revenues &amp; Expenses'!I50</f>
        <v>0</v>
      </c>
      <c r="J503" s="2731">
        <f>'Part V-Revenues &amp; Expenses'!J50</f>
        <v>0</v>
      </c>
      <c r="K503" s="2732">
        <f>'Part V-Revenues &amp; Expenses'!K50</f>
        <v>0</v>
      </c>
      <c r="L503" s="2733">
        <f t="shared" si="1"/>
        <v>0</v>
      </c>
      <c r="M503" s="2733">
        <f t="shared" si="2"/>
        <v>0</v>
      </c>
      <c r="N503" s="2583">
        <f>'Part V-Revenues &amp; Expenses'!N50</f>
        <v>0</v>
      </c>
      <c r="O503" s="1248">
        <f>'Part V-Revenues &amp; Expenses'!O50</f>
        <v>0</v>
      </c>
      <c r="P503" s="2583">
        <f>'Part V-Revenues &amp; Expenses'!P50</f>
        <v>0</v>
      </c>
      <c r="Q503" s="2468">
        <f>'Part V-Revenues &amp; Expenses'!Q50</f>
        <v>0</v>
      </c>
      <c r="R503" s="2734"/>
      <c r="S503" s="2735"/>
      <c r="T503" s="2650"/>
      <c r="U503" s="2650"/>
      <c r="V503" s="2650"/>
      <c r="W503" s="2650"/>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2469" t="str">
        <f t="shared" si="333"/>
        <v/>
      </c>
      <c r="MQ503" s="2469" t="str">
        <f t="shared" si="334"/>
        <v/>
      </c>
      <c r="MR503" s="2469" t="str">
        <f t="shared" si="335"/>
        <v/>
      </c>
      <c r="MS503" s="2469" t="str">
        <f t="shared" si="336"/>
        <v/>
      </c>
      <c r="MT503" s="246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4334</v>
      </c>
      <c r="OZ503" s="1784">
        <v>50</v>
      </c>
    </row>
    <row r="504" spans="1:416" ht="12" customHeight="1">
      <c r="A504" s="2709" t="str">
        <f t="shared" si="0"/>
        <v/>
      </c>
      <c r="B504" s="2728">
        <f>'Part V-Revenues &amp; Expenses'!B51</f>
        <v>0</v>
      </c>
      <c r="C504" s="2729">
        <f>'Part V-Revenues &amp; Expenses'!C51</f>
        <v>0</v>
      </c>
      <c r="D504" s="2730">
        <f>'Part V-Revenues &amp; Expenses'!D51</f>
        <v>0</v>
      </c>
      <c r="E504" s="2731">
        <f>'Part V-Revenues &amp; Expenses'!E51</f>
        <v>0</v>
      </c>
      <c r="F504" s="2731">
        <f>'Part V-Revenues &amp; Expenses'!F51</f>
        <v>0</v>
      </c>
      <c r="G504" s="2731">
        <f>'Part V-Revenues &amp; Expenses'!G51</f>
        <v>0</v>
      </c>
      <c r="H504" s="2731">
        <f>'Part V-Revenues &amp; Expenses'!H51</f>
        <v>0</v>
      </c>
      <c r="I504" s="2731">
        <f>'Part V-Revenues &amp; Expenses'!I51</f>
        <v>0</v>
      </c>
      <c r="J504" s="2731">
        <f>'Part V-Revenues &amp; Expenses'!J51</f>
        <v>0</v>
      </c>
      <c r="K504" s="2732">
        <f>'Part V-Revenues &amp; Expenses'!K51</f>
        <v>0</v>
      </c>
      <c r="L504" s="2733">
        <f t="shared" si="1"/>
        <v>0</v>
      </c>
      <c r="M504" s="2733">
        <f t="shared" si="2"/>
        <v>0</v>
      </c>
      <c r="N504" s="2583">
        <f>'Part V-Revenues &amp; Expenses'!N51</f>
        <v>0</v>
      </c>
      <c r="O504" s="1248">
        <f>'Part V-Revenues &amp; Expenses'!O51</f>
        <v>0</v>
      </c>
      <c r="P504" s="2583">
        <f>'Part V-Revenues &amp; Expenses'!P51</f>
        <v>0</v>
      </c>
      <c r="Q504" s="2468">
        <f>'Part V-Revenues &amp; Expenses'!Q51</f>
        <v>0</v>
      </c>
      <c r="R504" s="2734"/>
      <c r="S504" s="2735"/>
      <c r="T504" s="2650"/>
      <c r="U504" s="2650"/>
      <c r="V504" s="2650"/>
      <c r="W504" s="2650"/>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2469" t="str">
        <f t="shared" si="333"/>
        <v/>
      </c>
      <c r="MQ504" s="2469" t="str">
        <f t="shared" si="334"/>
        <v/>
      </c>
      <c r="MR504" s="2469" t="str">
        <f t="shared" si="335"/>
        <v/>
      </c>
      <c r="MS504" s="2469" t="str">
        <f t="shared" si="336"/>
        <v/>
      </c>
      <c r="MT504" s="246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4335</v>
      </c>
      <c r="OZ504" s="1640">
        <v>51</v>
      </c>
    </row>
    <row r="505" spans="1:416" ht="12" customHeight="1">
      <c r="A505" s="2709" t="str">
        <f t="shared" si="0"/>
        <v/>
      </c>
      <c r="B505" s="2728">
        <f>'Part V-Revenues &amp; Expenses'!B52</f>
        <v>0</v>
      </c>
      <c r="C505" s="2729">
        <f>'Part V-Revenues &amp; Expenses'!C52</f>
        <v>0</v>
      </c>
      <c r="D505" s="2730">
        <f>'Part V-Revenues &amp; Expenses'!D52</f>
        <v>0</v>
      </c>
      <c r="E505" s="2731">
        <f>'Part V-Revenues &amp; Expenses'!E52</f>
        <v>0</v>
      </c>
      <c r="F505" s="2731">
        <f>'Part V-Revenues &amp; Expenses'!F52</f>
        <v>0</v>
      </c>
      <c r="G505" s="2731">
        <f>'Part V-Revenues &amp; Expenses'!G52</f>
        <v>0</v>
      </c>
      <c r="H505" s="2731">
        <f>'Part V-Revenues &amp; Expenses'!H52</f>
        <v>0</v>
      </c>
      <c r="I505" s="2731">
        <f>'Part V-Revenues &amp; Expenses'!I52</f>
        <v>0</v>
      </c>
      <c r="J505" s="2731">
        <f>'Part V-Revenues &amp; Expenses'!J52</f>
        <v>0</v>
      </c>
      <c r="K505" s="2732">
        <f>'Part V-Revenues &amp; Expenses'!K52</f>
        <v>0</v>
      </c>
      <c r="L505" s="2733">
        <f t="shared" si="1"/>
        <v>0</v>
      </c>
      <c r="M505" s="2733">
        <f t="shared" si="2"/>
        <v>0</v>
      </c>
      <c r="N505" s="2583">
        <f>'Part V-Revenues &amp; Expenses'!N52</f>
        <v>0</v>
      </c>
      <c r="O505" s="1248">
        <f>'Part V-Revenues &amp; Expenses'!O52</f>
        <v>0</v>
      </c>
      <c r="P505" s="2583">
        <f>'Part V-Revenues &amp; Expenses'!P52</f>
        <v>0</v>
      </c>
      <c r="Q505" s="2468">
        <f>'Part V-Revenues &amp; Expenses'!Q52</f>
        <v>0</v>
      </c>
      <c r="R505" s="2734"/>
      <c r="S505" s="2735"/>
      <c r="T505" s="2650"/>
      <c r="U505" s="2650"/>
      <c r="V505" s="2650"/>
      <c r="W505" s="2650"/>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2469" t="str">
        <f t="shared" si="333"/>
        <v/>
      </c>
      <c r="MQ505" s="2469" t="str">
        <f t="shared" si="334"/>
        <v/>
      </c>
      <c r="MR505" s="2469" t="str">
        <f t="shared" si="335"/>
        <v/>
      </c>
      <c r="MS505" s="2469" t="str">
        <f t="shared" si="336"/>
        <v/>
      </c>
      <c r="MT505" s="246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4335</v>
      </c>
      <c r="OZ505" s="1640">
        <v>52</v>
      </c>
    </row>
    <row r="506" spans="1:416" ht="12" customHeight="1">
      <c r="A506" s="2709" t="str">
        <f t="shared" si="0"/>
        <v/>
      </c>
      <c r="B506" s="2728">
        <f>'Part V-Revenues &amp; Expenses'!B53</f>
        <v>0</v>
      </c>
      <c r="C506" s="2729">
        <f>'Part V-Revenues &amp; Expenses'!C53</f>
        <v>0</v>
      </c>
      <c r="D506" s="2730">
        <f>'Part V-Revenues &amp; Expenses'!D53</f>
        <v>0</v>
      </c>
      <c r="E506" s="2731">
        <f>'Part V-Revenues &amp; Expenses'!E53</f>
        <v>0</v>
      </c>
      <c r="F506" s="2731">
        <f>'Part V-Revenues &amp; Expenses'!F53</f>
        <v>0</v>
      </c>
      <c r="G506" s="2731">
        <f>'Part V-Revenues &amp; Expenses'!G53</f>
        <v>0</v>
      </c>
      <c r="H506" s="2731">
        <f>'Part V-Revenues &amp; Expenses'!H53</f>
        <v>0</v>
      </c>
      <c r="I506" s="2731">
        <f>'Part V-Revenues &amp; Expenses'!I53</f>
        <v>0</v>
      </c>
      <c r="J506" s="2731">
        <f>'Part V-Revenues &amp; Expenses'!J53</f>
        <v>0</v>
      </c>
      <c r="K506" s="2732">
        <f>'Part V-Revenues &amp; Expenses'!K53</f>
        <v>0</v>
      </c>
      <c r="L506" s="2733">
        <f t="shared" si="1"/>
        <v>0</v>
      </c>
      <c r="M506" s="2733">
        <f t="shared" si="2"/>
        <v>0</v>
      </c>
      <c r="N506" s="2583">
        <f>'Part V-Revenues &amp; Expenses'!N53</f>
        <v>0</v>
      </c>
      <c r="O506" s="1248">
        <f>'Part V-Revenues &amp; Expenses'!O53</f>
        <v>0</v>
      </c>
      <c r="P506" s="2583">
        <f>'Part V-Revenues &amp; Expenses'!P53</f>
        <v>0</v>
      </c>
      <c r="Q506" s="2468">
        <f>'Part V-Revenues &amp; Expenses'!Q53</f>
        <v>0</v>
      </c>
      <c r="R506" s="2734"/>
      <c r="S506" s="2735"/>
      <c r="T506" s="2650"/>
      <c r="U506" s="2650"/>
      <c r="V506" s="2650"/>
      <c r="W506" s="2650"/>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2469" t="str">
        <f t="shared" si="333"/>
        <v/>
      </c>
      <c r="MQ506" s="2469" t="str">
        <f t="shared" si="334"/>
        <v/>
      </c>
      <c r="MR506" s="2469" t="str">
        <f t="shared" si="335"/>
        <v/>
      </c>
      <c r="MS506" s="2469" t="str">
        <f t="shared" si="336"/>
        <v/>
      </c>
      <c r="MT506" s="246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4335</v>
      </c>
      <c r="OZ506" s="1640">
        <v>51</v>
      </c>
    </row>
    <row r="507" spans="1:416" ht="12" customHeight="1">
      <c r="A507" s="2709" t="str">
        <f t="shared" si="0"/>
        <v/>
      </c>
      <c r="B507" s="2728">
        <f>'Part V-Revenues &amp; Expenses'!B54</f>
        <v>0</v>
      </c>
      <c r="C507" s="2729">
        <f>'Part V-Revenues &amp; Expenses'!C54</f>
        <v>0</v>
      </c>
      <c r="D507" s="2730">
        <f>'Part V-Revenues &amp; Expenses'!D54</f>
        <v>0</v>
      </c>
      <c r="E507" s="2731">
        <f>'Part V-Revenues &amp; Expenses'!E54</f>
        <v>0</v>
      </c>
      <c r="F507" s="2731">
        <f>'Part V-Revenues &amp; Expenses'!F54</f>
        <v>0</v>
      </c>
      <c r="G507" s="2731">
        <f>'Part V-Revenues &amp; Expenses'!G54</f>
        <v>0</v>
      </c>
      <c r="H507" s="2731">
        <f>'Part V-Revenues &amp; Expenses'!H54</f>
        <v>0</v>
      </c>
      <c r="I507" s="2731">
        <f>'Part V-Revenues &amp; Expenses'!I54</f>
        <v>0</v>
      </c>
      <c r="J507" s="2731">
        <f>'Part V-Revenues &amp; Expenses'!J54</f>
        <v>0</v>
      </c>
      <c r="K507" s="2732">
        <f>'Part V-Revenues &amp; Expenses'!K54</f>
        <v>0</v>
      </c>
      <c r="L507" s="2733">
        <f t="shared" si="1"/>
        <v>0</v>
      </c>
      <c r="M507" s="2733">
        <f t="shared" si="2"/>
        <v>0</v>
      </c>
      <c r="N507" s="2583">
        <f>'Part V-Revenues &amp; Expenses'!N54</f>
        <v>0</v>
      </c>
      <c r="O507" s="1248">
        <f>'Part V-Revenues &amp; Expenses'!O54</f>
        <v>0</v>
      </c>
      <c r="P507" s="2583">
        <f>'Part V-Revenues &amp; Expenses'!P54</f>
        <v>0</v>
      </c>
      <c r="Q507" s="2468">
        <f>'Part V-Revenues &amp; Expenses'!Q54</f>
        <v>0</v>
      </c>
      <c r="R507" s="2734"/>
      <c r="S507" s="2735"/>
      <c r="T507" s="2650"/>
      <c r="U507" s="2650"/>
      <c r="V507" s="2650"/>
      <c r="W507" s="2650"/>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2469" t="str">
        <f t="shared" si="333"/>
        <v/>
      </c>
      <c r="MQ507" s="2469" t="str">
        <f t="shared" si="334"/>
        <v/>
      </c>
      <c r="MR507" s="2469" t="str">
        <f t="shared" si="335"/>
        <v/>
      </c>
      <c r="MS507" s="2469" t="str">
        <f t="shared" si="336"/>
        <v/>
      </c>
      <c r="MT507" s="246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4335</v>
      </c>
      <c r="OZ507" s="1640">
        <v>52</v>
      </c>
    </row>
    <row r="508" spans="1:416" ht="12" customHeight="1">
      <c r="A508" s="2709" t="str">
        <f t="shared" si="0"/>
        <v/>
      </c>
      <c r="B508" s="2728">
        <f>'Part V-Revenues &amp; Expenses'!B55</f>
        <v>0</v>
      </c>
      <c r="C508" s="2729">
        <f>'Part V-Revenues &amp; Expenses'!C55</f>
        <v>0</v>
      </c>
      <c r="D508" s="2730">
        <f>'Part V-Revenues &amp; Expenses'!D55</f>
        <v>0</v>
      </c>
      <c r="E508" s="2731">
        <f>'Part V-Revenues &amp; Expenses'!E55</f>
        <v>0</v>
      </c>
      <c r="F508" s="2731">
        <f>'Part V-Revenues &amp; Expenses'!F55</f>
        <v>0</v>
      </c>
      <c r="G508" s="2731">
        <f>'Part V-Revenues &amp; Expenses'!G55</f>
        <v>0</v>
      </c>
      <c r="H508" s="2731">
        <f>'Part V-Revenues &amp; Expenses'!H55</f>
        <v>0</v>
      </c>
      <c r="I508" s="2731">
        <f>'Part V-Revenues &amp; Expenses'!I55</f>
        <v>0</v>
      </c>
      <c r="J508" s="2731">
        <f>'Part V-Revenues &amp; Expenses'!J55</f>
        <v>0</v>
      </c>
      <c r="K508" s="2732">
        <f>'Part V-Revenues &amp; Expenses'!K55</f>
        <v>0</v>
      </c>
      <c r="L508" s="2733">
        <f t="shared" si="1"/>
        <v>0</v>
      </c>
      <c r="M508" s="2733">
        <f t="shared" si="2"/>
        <v>0</v>
      </c>
      <c r="N508" s="2583">
        <f>'Part V-Revenues &amp; Expenses'!N55</f>
        <v>0</v>
      </c>
      <c r="O508" s="1248">
        <f>'Part V-Revenues &amp; Expenses'!O55</f>
        <v>0</v>
      </c>
      <c r="P508" s="2583">
        <f>'Part V-Revenues &amp; Expenses'!P55</f>
        <v>0</v>
      </c>
      <c r="Q508" s="2468">
        <f>'Part V-Revenues &amp; Expenses'!Q55</f>
        <v>0</v>
      </c>
      <c r="R508" s="2734"/>
      <c r="S508" s="2735"/>
      <c r="T508" s="2650"/>
      <c r="U508" s="2650"/>
      <c r="V508" s="2650"/>
      <c r="W508" s="2650"/>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2469" t="str">
        <f t="shared" si="333"/>
        <v/>
      </c>
      <c r="MQ508" s="2469" t="str">
        <f t="shared" si="334"/>
        <v/>
      </c>
      <c r="MR508" s="2469" t="str">
        <f t="shared" si="335"/>
        <v/>
      </c>
      <c r="MS508" s="2469" t="str">
        <f t="shared" si="336"/>
        <v/>
      </c>
      <c r="MT508" s="246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4335</v>
      </c>
      <c r="OZ508" s="1640">
        <v>51</v>
      </c>
    </row>
    <row r="509" spans="1:416" ht="12" customHeight="1">
      <c r="A509" s="2709" t="str">
        <f t="shared" si="0"/>
        <v/>
      </c>
      <c r="B509" s="2728">
        <f>'Part V-Revenues &amp; Expenses'!B56</f>
        <v>0</v>
      </c>
      <c r="C509" s="2729">
        <f>'Part V-Revenues &amp; Expenses'!C56</f>
        <v>0</v>
      </c>
      <c r="D509" s="2730">
        <f>'Part V-Revenues &amp; Expenses'!D56</f>
        <v>0</v>
      </c>
      <c r="E509" s="2731">
        <f>'Part V-Revenues &amp; Expenses'!E56</f>
        <v>0</v>
      </c>
      <c r="F509" s="2731">
        <f>'Part V-Revenues &amp; Expenses'!F56</f>
        <v>0</v>
      </c>
      <c r="G509" s="2731">
        <f>'Part V-Revenues &amp; Expenses'!G56</f>
        <v>0</v>
      </c>
      <c r="H509" s="2731">
        <f>'Part V-Revenues &amp; Expenses'!H56</f>
        <v>0</v>
      </c>
      <c r="I509" s="2731">
        <f>'Part V-Revenues &amp; Expenses'!I56</f>
        <v>0</v>
      </c>
      <c r="J509" s="2731">
        <f>'Part V-Revenues &amp; Expenses'!J56</f>
        <v>0</v>
      </c>
      <c r="K509" s="2732">
        <f>'Part V-Revenues &amp; Expenses'!K56</f>
        <v>0</v>
      </c>
      <c r="L509" s="2733">
        <f t="shared" si="1"/>
        <v>0</v>
      </c>
      <c r="M509" s="2733">
        <f t="shared" si="2"/>
        <v>0</v>
      </c>
      <c r="N509" s="2583">
        <f>'Part V-Revenues &amp; Expenses'!N56</f>
        <v>0</v>
      </c>
      <c r="O509" s="1248">
        <f>'Part V-Revenues &amp; Expenses'!O56</f>
        <v>0</v>
      </c>
      <c r="P509" s="2583">
        <f>'Part V-Revenues &amp; Expenses'!P56</f>
        <v>0</v>
      </c>
      <c r="Q509" s="2468">
        <f>'Part V-Revenues &amp; Expenses'!Q56</f>
        <v>0</v>
      </c>
      <c r="R509" s="2734"/>
      <c r="S509" s="2735"/>
      <c r="T509" s="2650"/>
      <c r="U509" s="2650"/>
      <c r="V509" s="2650"/>
      <c r="W509" s="2650"/>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2469" t="str">
        <f t="shared" si="333"/>
        <v/>
      </c>
      <c r="MQ509" s="2469" t="str">
        <f t="shared" si="334"/>
        <v/>
      </c>
      <c r="MR509" s="2469" t="str">
        <f t="shared" si="335"/>
        <v/>
      </c>
      <c r="MS509" s="2469" t="str">
        <f t="shared" si="336"/>
        <v/>
      </c>
      <c r="MT509" s="246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4335</v>
      </c>
      <c r="OZ509" s="1640">
        <v>52</v>
      </c>
    </row>
    <row r="510" spans="1:416" ht="12" customHeight="1">
      <c r="A510" s="2709" t="str">
        <f t="shared" si="0"/>
        <v/>
      </c>
      <c r="B510" s="2728">
        <f>'Part V-Revenues &amp; Expenses'!B57</f>
        <v>0</v>
      </c>
      <c r="C510" s="2729">
        <f>'Part V-Revenues &amp; Expenses'!C57</f>
        <v>0</v>
      </c>
      <c r="D510" s="2730">
        <f>'Part V-Revenues &amp; Expenses'!D57</f>
        <v>0</v>
      </c>
      <c r="E510" s="2731">
        <f>'Part V-Revenues &amp; Expenses'!E57</f>
        <v>0</v>
      </c>
      <c r="F510" s="2731">
        <f>'Part V-Revenues &amp; Expenses'!F57</f>
        <v>0</v>
      </c>
      <c r="G510" s="2731">
        <f>'Part V-Revenues &amp; Expenses'!G57</f>
        <v>0</v>
      </c>
      <c r="H510" s="2731">
        <f>'Part V-Revenues &amp; Expenses'!H57</f>
        <v>0</v>
      </c>
      <c r="I510" s="2731">
        <f>'Part V-Revenues &amp; Expenses'!I57</f>
        <v>0</v>
      </c>
      <c r="J510" s="2731">
        <f>'Part V-Revenues &amp; Expenses'!J57</f>
        <v>0</v>
      </c>
      <c r="K510" s="2732">
        <f>'Part V-Revenues &amp; Expenses'!K57</f>
        <v>0</v>
      </c>
      <c r="L510" s="2733">
        <f t="shared" si="1"/>
        <v>0</v>
      </c>
      <c r="M510" s="2733">
        <f t="shared" si="2"/>
        <v>0</v>
      </c>
      <c r="N510" s="2583">
        <f>'Part V-Revenues &amp; Expenses'!N57</f>
        <v>0</v>
      </c>
      <c r="O510" s="1248">
        <f>'Part V-Revenues &amp; Expenses'!O57</f>
        <v>0</v>
      </c>
      <c r="P510" s="2583">
        <f>'Part V-Revenues &amp; Expenses'!P57</f>
        <v>0</v>
      </c>
      <c r="Q510" s="2468">
        <f>'Part V-Revenues &amp; Expenses'!Q57</f>
        <v>0</v>
      </c>
      <c r="R510" s="2734"/>
      <c r="S510" s="2735"/>
      <c r="T510" s="2650"/>
      <c r="U510" s="2650"/>
      <c r="V510" s="2650"/>
      <c r="W510" s="2650"/>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2469" t="str">
        <f t="shared" si="333"/>
        <v/>
      </c>
      <c r="MQ510" s="2469" t="str">
        <f t="shared" si="334"/>
        <v/>
      </c>
      <c r="MR510" s="2469" t="str">
        <f t="shared" si="335"/>
        <v/>
      </c>
      <c r="MS510" s="2469" t="str">
        <f t="shared" si="336"/>
        <v/>
      </c>
      <c r="MT510" s="246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4336</v>
      </c>
      <c r="OZ510" s="1784">
        <v>53</v>
      </c>
    </row>
    <row r="511" spans="1:416" ht="12.75" customHeight="1">
      <c r="A511" s="2709">
        <f>COUNT(A464,A465,A466,A467,A468,A469,A470,A471,A472,A473,A474,A475,A476,A477,A478,A479,A480,A481,A482,A483,A484,A485,A486,A487,A488,A489,A490,A491,A492,A493,A494,A495,A496,A497,A498,A499,A500,A501,A502,A503,A504,A505,A506,A507,A508,A509,A510)</f>
        <v>0</v>
      </c>
      <c r="B511" s="2736" t="s">
        <v>3648</v>
      </c>
      <c r="C511" s="2736"/>
      <c r="D511" s="2737" t="s">
        <v>953</v>
      </c>
      <c r="E511" s="2738">
        <f>SUM(E464:E510)</f>
        <v>116</v>
      </c>
      <c r="F511" s="2739">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97086</v>
      </c>
      <c r="H511" s="2740" t="s">
        <v>3645</v>
      </c>
      <c r="I511" s="2741" t="s">
        <v>3646</v>
      </c>
      <c r="J511" s="2742" t="str">
        <f>IF(P518=0,"",IF(SUM(#REF!)/P518&gt;=0.4,"Pass","Fail"))</f>
        <v/>
      </c>
      <c r="K511" s="362"/>
      <c r="L511" s="2743" t="s">
        <v>1223</v>
      </c>
      <c r="M511" s="2744">
        <f>SUM(M464:M510)</f>
        <v>135058</v>
      </c>
      <c r="N511" s="358"/>
      <c r="O511" s="358"/>
      <c r="P511" s="358"/>
      <c r="Q511" s="358"/>
      <c r="R511" s="358"/>
      <c r="S511" s="358"/>
      <c r="T511" s="358"/>
      <c r="U511" s="358"/>
      <c r="V511" s="2717"/>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18</v>
      </c>
      <c r="AJ511" s="1641">
        <f t="shared" si="373"/>
        <v>75</v>
      </c>
      <c r="AK511" s="1641">
        <f t="shared" si="373"/>
        <v>0</v>
      </c>
      <c r="AL511" s="1641">
        <f t="shared" si="373"/>
        <v>0</v>
      </c>
      <c r="AM511" s="1641">
        <f>SUM(AM464:AM510)</f>
        <v>0</v>
      </c>
      <c r="AN511" s="1641">
        <f>SUM(AN464:AN510)</f>
        <v>2</v>
      </c>
      <c r="AO511" s="1641">
        <f>SUM(AO464:AO510)</f>
        <v>5</v>
      </c>
      <c r="AP511" s="1641">
        <f>SUM(AP464:AP510)</f>
        <v>0</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4</v>
      </c>
      <c r="AY511" s="1641">
        <f t="shared" si="373"/>
        <v>4</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1</v>
      </c>
      <c r="BI511" s="1641">
        <f t="shared" si="373"/>
        <v>6</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4</v>
      </c>
      <c r="BS511" s="1641">
        <f t="shared" si="373"/>
        <v>4</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0</v>
      </c>
      <c r="CH511" s="1641">
        <f t="shared" si="373"/>
        <v>0</v>
      </c>
      <c r="CI511" s="1641">
        <f t="shared" si="373"/>
        <v>0</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1</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11700</v>
      </c>
      <c r="GD511" s="1641">
        <f t="shared" si="373"/>
        <v>66340</v>
      </c>
      <c r="GE511" s="1641">
        <f t="shared" si="373"/>
        <v>0</v>
      </c>
      <c r="GF511" s="1641">
        <f t="shared" si="373"/>
        <v>0</v>
      </c>
      <c r="GG511" s="1641">
        <f t="shared" si="373"/>
        <v>0</v>
      </c>
      <c r="GH511" s="1641">
        <f t="shared" si="373"/>
        <v>1300</v>
      </c>
      <c r="GI511" s="1641">
        <f t="shared" si="373"/>
        <v>4484</v>
      </c>
      <c r="GJ511" s="1641">
        <f t="shared" si="373"/>
        <v>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2600</v>
      </c>
      <c r="GS511" s="1641">
        <f t="shared" si="375"/>
        <v>3624</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650</v>
      </c>
      <c r="HC511" s="1641">
        <f t="shared" si="375"/>
        <v>5436</v>
      </c>
      <c r="HD511" s="1641">
        <f t="shared" si="375"/>
        <v>0</v>
      </c>
      <c r="HE511" s="1641">
        <f t="shared" si="375"/>
        <v>0</v>
      </c>
      <c r="HF511" s="1641">
        <f t="shared" si="375"/>
        <v>0</v>
      </c>
      <c r="HG511" s="1641">
        <f t="shared" si="375"/>
        <v>0</v>
      </c>
      <c r="HH511" s="1641">
        <f t="shared" si="375"/>
        <v>0</v>
      </c>
      <c r="HI511" s="1641">
        <f t="shared" si="375"/>
        <v>0</v>
      </c>
      <c r="HJ511" s="1641">
        <f t="shared" si="375"/>
        <v>0</v>
      </c>
      <c r="HK511" s="1641">
        <f t="shared" si="375"/>
        <v>0</v>
      </c>
      <c r="HL511" s="1641">
        <f t="shared" si="375"/>
        <v>0</v>
      </c>
      <c r="HM511" s="1641">
        <f t="shared" si="375"/>
        <v>952</v>
      </c>
      <c r="HN511" s="1641">
        <f t="shared" si="375"/>
        <v>0</v>
      </c>
      <c r="HO511" s="1641">
        <f t="shared" si="375"/>
        <v>0</v>
      </c>
      <c r="HP511" s="1641">
        <f t="shared" si="375"/>
        <v>0</v>
      </c>
      <c r="HQ511" s="1641">
        <f t="shared" si="375"/>
        <v>0</v>
      </c>
      <c r="HR511" s="1641">
        <f t="shared" si="375"/>
        <v>0</v>
      </c>
      <c r="HS511" s="1641">
        <f t="shared" si="375"/>
        <v>0</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24</v>
      </c>
      <c r="IG511" s="1641">
        <f t="shared" si="375"/>
        <v>84</v>
      </c>
      <c r="IH511" s="1641">
        <f t="shared" si="375"/>
        <v>0</v>
      </c>
      <c r="II511" s="1641">
        <f t="shared" si="375"/>
        <v>0</v>
      </c>
      <c r="IJ511" s="1641">
        <f t="shared" si="375"/>
        <v>0</v>
      </c>
      <c r="IK511" s="1641">
        <f t="shared" si="375"/>
        <v>1</v>
      </c>
      <c r="IL511" s="1641">
        <f t="shared" si="375"/>
        <v>6</v>
      </c>
      <c r="IM511" s="1641">
        <f t="shared" si="375"/>
        <v>0</v>
      </c>
      <c r="IN511" s="1641">
        <f t="shared" si="375"/>
        <v>0</v>
      </c>
      <c r="IO511" s="1641">
        <f t="shared" si="375"/>
        <v>0</v>
      </c>
      <c r="IP511" s="1641">
        <f t="shared" si="375"/>
        <v>0</v>
      </c>
      <c r="IQ511" s="1641">
        <f t="shared" si="375"/>
        <v>1</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25</v>
      </c>
      <c r="JK511" s="1641">
        <f t="shared" si="376"/>
        <v>91</v>
      </c>
      <c r="JL511" s="1641">
        <f t="shared" si="376"/>
        <v>0</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0</v>
      </c>
      <c r="LD511" s="1641">
        <f t="shared" si="376"/>
        <v>0</v>
      </c>
      <c r="LE511" s="1641">
        <f t="shared" si="376"/>
        <v>0</v>
      </c>
      <c r="LF511" s="1641">
        <f t="shared" si="376"/>
        <v>0</v>
      </c>
      <c r="LG511" s="1641">
        <f>SUM(LG464:LG510)</f>
        <v>0</v>
      </c>
      <c r="LH511" s="1641">
        <f>SUM(LH464:LH510)</f>
        <v>19</v>
      </c>
      <c r="LI511" s="1641">
        <f>SUM(LI464:LI510)</f>
        <v>85</v>
      </c>
      <c r="LJ511" s="1641">
        <f>SUM(LJ464:LJ510)</f>
        <v>0</v>
      </c>
      <c r="LK511" s="1641">
        <f>SUM(LK464:LK510)</f>
        <v>0</v>
      </c>
      <c r="LL511" s="1641">
        <f t="shared" si="376"/>
        <v>0</v>
      </c>
      <c r="LM511" s="1641">
        <f t="shared" si="376"/>
        <v>6</v>
      </c>
      <c r="LN511" s="1641">
        <f t="shared" si="376"/>
        <v>6</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19</v>
      </c>
      <c r="NQ511" s="1641">
        <f t="shared" si="378"/>
        <v>85</v>
      </c>
      <c r="NR511" s="1641">
        <f t="shared" si="378"/>
        <v>0</v>
      </c>
      <c r="NS511" s="1641">
        <f t="shared" si="378"/>
        <v>0</v>
      </c>
      <c r="NT511" s="1641">
        <f t="shared" si="378"/>
        <v>0</v>
      </c>
      <c r="NU511" s="1641">
        <f t="shared" si="378"/>
        <v>0</v>
      </c>
      <c r="NV511" s="1641">
        <f t="shared" si="378"/>
        <v>0</v>
      </c>
      <c r="NW511" s="1641">
        <f t="shared" si="378"/>
        <v>0</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4337</v>
      </c>
      <c r="OZ511" s="1784">
        <v>54</v>
      </c>
    </row>
    <row r="512" spans="1:416" ht="13.9" customHeight="1">
      <c r="B512" s="2745">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57.129629629629626</v>
      </c>
      <c r="C512" s="2745"/>
      <c r="D512" s="2709" t="s">
        <v>3555</v>
      </c>
      <c r="E512" s="2738">
        <f>SUM(E471:E510)</f>
        <v>108</v>
      </c>
      <c r="F512" s="2739">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90048</v>
      </c>
      <c r="H512" s="2740"/>
      <c r="I512" s="2741" t="s">
        <v>3647</v>
      </c>
      <c r="J512" s="2742" t="str">
        <f>IF(P518=0,"",IF(SUM(#REF!)/P518&gt;=0.2,"Pass","Fail"))</f>
        <v/>
      </c>
      <c r="K512" s="362"/>
      <c r="L512" s="2737" t="s">
        <v>756</v>
      </c>
      <c r="M512" s="2744">
        <f>M511*12</f>
        <v>1620696</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4338</v>
      </c>
      <c r="OZ512" s="1784">
        <v>55</v>
      </c>
    </row>
    <row r="513" spans="1:416" ht="7.5" customHeight="1">
      <c r="A513" s="4977" t="s">
        <v>5146</v>
      </c>
      <c r="B513" s="4977"/>
      <c r="C513" s="4977"/>
      <c r="D513" s="4977"/>
      <c r="E513" s="4977"/>
      <c r="F513" s="4977"/>
      <c r="G513" s="4977"/>
      <c r="H513" s="4977"/>
      <c r="I513" s="4977"/>
      <c r="J513" s="4977"/>
      <c r="K513" s="4977"/>
      <c r="L513" s="4977"/>
      <c r="M513" s="4977"/>
      <c r="N513" s="4977"/>
      <c r="O513" s="4977"/>
      <c r="P513" s="4977"/>
      <c r="Q513" s="4977"/>
      <c r="R513" s="2746"/>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77"/>
      <c r="B514" s="4977"/>
      <c r="C514" s="4977"/>
      <c r="D514" s="4977"/>
      <c r="E514" s="4977"/>
      <c r="F514" s="4977"/>
      <c r="G514" s="4977"/>
      <c r="H514" s="4977"/>
      <c r="I514" s="4977"/>
      <c r="J514" s="4977"/>
      <c r="K514" s="4977"/>
      <c r="L514" s="4977"/>
      <c r="M514" s="4977"/>
      <c r="N514" s="4977"/>
      <c r="O514" s="4977"/>
      <c r="P514" s="4977"/>
      <c r="Q514" s="4977"/>
      <c r="R514" s="2746"/>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65" customHeight="1">
      <c r="A515" s="360" t="s">
        <v>688</v>
      </c>
      <c r="B515" s="360" t="s">
        <v>498</v>
      </c>
      <c r="K515" s="2747" t="s">
        <v>4532</v>
      </c>
      <c r="O515" s="2545" t="str">
        <f>'Part V-Revenues &amp; Expenses'!O62</f>
        <v>40% of Units at 60% of AMI</v>
      </c>
      <c r="P515" s="2545"/>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4533</v>
      </c>
      <c r="O516" s="2545" t="str">
        <f>'Part V-Revenues &amp; Expenses'!O63</f>
        <v>N/a</v>
      </c>
      <c r="P516" s="2545"/>
      <c r="S516" s="360"/>
      <c r="T516" s="360"/>
      <c r="U516" s="2709"/>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65" customHeight="1">
      <c r="A517" s="360"/>
      <c r="B517" s="360" t="s">
        <v>4387</v>
      </c>
      <c r="H517" s="356" t="s">
        <v>974</v>
      </c>
      <c r="K517" s="2748" t="s">
        <v>525</v>
      </c>
      <c r="L517" s="1786" t="s">
        <v>499</v>
      </c>
      <c r="M517" s="1786" t="s">
        <v>500</v>
      </c>
      <c r="N517" s="1786" t="s">
        <v>501</v>
      </c>
      <c r="O517" s="1786" t="s">
        <v>502</v>
      </c>
      <c r="P517" s="1786" t="s">
        <v>503</v>
      </c>
      <c r="S517" s="360" t="s">
        <v>1706</v>
      </c>
      <c r="T517" s="360"/>
      <c r="U517" s="2709"/>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749" t="s">
        <v>3943</v>
      </c>
      <c r="B518" s="2749"/>
      <c r="C518" s="358" t="s">
        <v>1068</v>
      </c>
      <c r="D518" s="358"/>
      <c r="E518" s="358"/>
      <c r="F518" s="358"/>
      <c r="H518" s="1409" t="s">
        <v>3556</v>
      </c>
      <c r="I518" s="361"/>
      <c r="K518" s="2750">
        <f>X511</f>
        <v>0</v>
      </c>
      <c r="L518" s="2750">
        <f>Y511</f>
        <v>0</v>
      </c>
      <c r="M518" s="2750">
        <f>Z511</f>
        <v>0</v>
      </c>
      <c r="N518" s="2750">
        <f>AA511</f>
        <v>0</v>
      </c>
      <c r="O518" s="2750">
        <f>AB511</f>
        <v>0</v>
      </c>
      <c r="P518" s="2750">
        <f t="shared" ref="P518:P529" si="379">SUM(K518:O518)</f>
        <v>0</v>
      </c>
      <c r="Q518" s="2550" t="s">
        <v>3101</v>
      </c>
      <c r="R518" s="1769"/>
      <c r="S518" s="2650"/>
      <c r="T518" s="2650"/>
      <c r="U518" s="2650"/>
      <c r="V518" s="2650"/>
      <c r="W518" s="2650"/>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749"/>
      <c r="B519" s="2749"/>
      <c r="C519" s="358"/>
      <c r="D519" s="358"/>
      <c r="E519" s="358"/>
      <c r="F519" s="358"/>
      <c r="H519" s="1409" t="s">
        <v>3557</v>
      </c>
      <c r="I519" s="361"/>
      <c r="K519" s="2750">
        <f>AC511</f>
        <v>0</v>
      </c>
      <c r="L519" s="2750">
        <f>AD511</f>
        <v>0</v>
      </c>
      <c r="M519" s="2750">
        <f>AE511</f>
        <v>0</v>
      </c>
      <c r="N519" s="2750">
        <f>AF511</f>
        <v>0</v>
      </c>
      <c r="O519" s="2750">
        <f>AG511</f>
        <v>0</v>
      </c>
      <c r="P519" s="2750">
        <f t="shared" si="379"/>
        <v>0</v>
      </c>
      <c r="Q519" s="2550"/>
      <c r="R519" s="1769"/>
      <c r="S519" s="2650"/>
      <c r="T519" s="2650"/>
      <c r="U519" s="2650"/>
      <c r="V519" s="2650"/>
      <c r="W519" s="2650"/>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749"/>
      <c r="B520" s="2749"/>
      <c r="C520" s="358"/>
      <c r="D520" s="358"/>
      <c r="E520" s="358"/>
      <c r="F520" s="358"/>
      <c r="H520" s="1409" t="s">
        <v>1080</v>
      </c>
      <c r="I520" s="361"/>
      <c r="K520" s="2750">
        <f>AH511</f>
        <v>0</v>
      </c>
      <c r="L520" s="2750">
        <f>AI511</f>
        <v>18</v>
      </c>
      <c r="M520" s="2750">
        <f>AJ511</f>
        <v>75</v>
      </c>
      <c r="N520" s="2750">
        <f>AK511</f>
        <v>0</v>
      </c>
      <c r="O520" s="2750">
        <f>AL511</f>
        <v>0</v>
      </c>
      <c r="P520" s="2750">
        <f t="shared" si="379"/>
        <v>93</v>
      </c>
      <c r="Q520" s="2550"/>
      <c r="R520" s="1769"/>
      <c r="S520" s="2650"/>
      <c r="T520" s="2650"/>
      <c r="U520" s="2650"/>
      <c r="V520" s="2650"/>
      <c r="W520" s="2650"/>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749"/>
      <c r="B521" s="2749"/>
      <c r="C521" s="358"/>
      <c r="D521" s="358"/>
      <c r="E521" s="358"/>
      <c r="F521" s="358"/>
      <c r="H521" s="1409" t="s">
        <v>112</v>
      </c>
      <c r="I521" s="361"/>
      <c r="K521" s="2750">
        <f>AM511</f>
        <v>0</v>
      </c>
      <c r="L521" s="2750">
        <f>AN511</f>
        <v>2</v>
      </c>
      <c r="M521" s="2750">
        <f>AO511</f>
        <v>5</v>
      </c>
      <c r="N521" s="2750">
        <f>AP511</f>
        <v>0</v>
      </c>
      <c r="O521" s="2750">
        <f>AQ511</f>
        <v>0</v>
      </c>
      <c r="P521" s="2750">
        <f t="shared" si="379"/>
        <v>7</v>
      </c>
      <c r="Q521" s="2550"/>
      <c r="R521" s="1769"/>
      <c r="S521" s="2650"/>
      <c r="T521" s="2650"/>
      <c r="U521" s="2650"/>
      <c r="V521" s="2650"/>
      <c r="W521" s="2650"/>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749"/>
      <c r="B522" s="2749"/>
      <c r="C522" s="358"/>
      <c r="D522" s="358"/>
      <c r="E522" s="358"/>
      <c r="F522" s="358"/>
      <c r="H522" s="1409" t="s">
        <v>3558</v>
      </c>
      <c r="I522" s="361"/>
      <c r="K522" s="2750">
        <f>AR511</f>
        <v>0</v>
      </c>
      <c r="L522" s="2750">
        <f>AS511</f>
        <v>0</v>
      </c>
      <c r="M522" s="2750">
        <f>AT511</f>
        <v>0</v>
      </c>
      <c r="N522" s="2750">
        <f>AU511</f>
        <v>0</v>
      </c>
      <c r="O522" s="2750">
        <f>AV511</f>
        <v>0</v>
      </c>
      <c r="P522" s="2750">
        <f t="shared" si="379"/>
        <v>0</v>
      </c>
      <c r="Q522" s="2550"/>
      <c r="R522" s="1769"/>
      <c r="S522" s="2650"/>
      <c r="T522" s="2650"/>
      <c r="U522" s="2650"/>
      <c r="V522" s="2650"/>
      <c r="W522" s="2650"/>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749"/>
      <c r="B523" s="2749"/>
      <c r="C523" s="358"/>
      <c r="D523" s="358"/>
      <c r="E523" s="358"/>
      <c r="F523" s="358"/>
      <c r="H523" s="1409" t="s">
        <v>3559</v>
      </c>
      <c r="I523" s="361"/>
      <c r="K523" s="2750">
        <f>AW511</f>
        <v>0</v>
      </c>
      <c r="L523" s="2750">
        <f>AX511</f>
        <v>4</v>
      </c>
      <c r="M523" s="2750">
        <f>AY511</f>
        <v>4</v>
      </c>
      <c r="N523" s="2750">
        <f>AZ511</f>
        <v>0</v>
      </c>
      <c r="O523" s="2750">
        <f>BA511</f>
        <v>0</v>
      </c>
      <c r="P523" s="2750">
        <f t="shared" si="379"/>
        <v>8</v>
      </c>
      <c r="Q523" s="2550"/>
      <c r="R523" s="1769"/>
      <c r="S523" s="2650"/>
      <c r="T523" s="2650"/>
      <c r="U523" s="2650"/>
      <c r="V523" s="2650"/>
      <c r="W523" s="2650"/>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749"/>
      <c r="B524" s="2749"/>
      <c r="C524" s="1639"/>
      <c r="D524" s="358"/>
      <c r="E524" s="358"/>
      <c r="F524" s="358"/>
      <c r="H524" s="1409" t="s">
        <v>3560</v>
      </c>
      <c r="I524" s="361"/>
      <c r="K524" s="2750">
        <f>BB511</f>
        <v>0</v>
      </c>
      <c r="L524" s="2750">
        <f>BC511</f>
        <v>0</v>
      </c>
      <c r="M524" s="2750">
        <f>BD511</f>
        <v>0</v>
      </c>
      <c r="N524" s="2750">
        <f>BE511</f>
        <v>0</v>
      </c>
      <c r="O524" s="2750">
        <f>BF511</f>
        <v>0</v>
      </c>
      <c r="P524" s="2750">
        <f t="shared" si="379"/>
        <v>0</v>
      </c>
      <c r="Q524" s="2550"/>
      <c r="R524" s="1769"/>
      <c r="S524" s="2650"/>
      <c r="T524" s="2650"/>
      <c r="U524" s="2650"/>
      <c r="V524" s="2650"/>
      <c r="W524" s="2650"/>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749"/>
      <c r="B525" s="2749"/>
      <c r="C525" s="1409" t="s">
        <v>3642</v>
      </c>
      <c r="D525" s="358"/>
      <c r="E525" s="358"/>
      <c r="F525" s="358"/>
      <c r="H525" s="359"/>
      <c r="I525" s="790"/>
      <c r="K525" s="2750">
        <f>SUM(K518:K524)</f>
        <v>0</v>
      </c>
      <c r="L525" s="2750">
        <f>SUM(L518:L524)</f>
        <v>24</v>
      </c>
      <c r="M525" s="2750">
        <f>SUM(M518:M524)</f>
        <v>84</v>
      </c>
      <c r="N525" s="2750">
        <f>SUM(N518:N524)</f>
        <v>0</v>
      </c>
      <c r="O525" s="2750">
        <f>SUM(O518:O524)</f>
        <v>0</v>
      </c>
      <c r="P525" s="2750">
        <f t="shared" si="379"/>
        <v>108</v>
      </c>
      <c r="Q525" s="2550"/>
      <c r="S525" s="2650"/>
      <c r="T525" s="2650"/>
      <c r="U525" s="2650"/>
      <c r="V525" s="2650"/>
      <c r="W525" s="2650"/>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749"/>
      <c r="B526" s="2749"/>
      <c r="D526" s="358"/>
      <c r="E526" s="358"/>
      <c r="F526" s="358"/>
      <c r="H526" s="1409" t="s">
        <v>290</v>
      </c>
      <c r="I526" s="361"/>
      <c r="K526" s="2750">
        <f>BG511</f>
        <v>0</v>
      </c>
      <c r="L526" s="2750">
        <f>BH511</f>
        <v>1</v>
      </c>
      <c r="M526" s="2750">
        <f>BI511</f>
        <v>6</v>
      </c>
      <c r="N526" s="2750">
        <f>BJ511</f>
        <v>0</v>
      </c>
      <c r="O526" s="2750">
        <f>BK511</f>
        <v>0</v>
      </c>
      <c r="P526" s="2750">
        <f t="shared" si="379"/>
        <v>7</v>
      </c>
      <c r="S526" s="2650"/>
      <c r="T526" s="2650"/>
      <c r="U526" s="2650"/>
      <c r="V526" s="2650"/>
      <c r="W526" s="2650"/>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749"/>
      <c r="B527" s="2749"/>
      <c r="C527" s="2751" t="s">
        <v>1069</v>
      </c>
      <c r="D527" s="2751"/>
      <c r="E527" s="2751"/>
      <c r="F527" s="2751"/>
      <c r="G527" s="2752"/>
      <c r="H527" s="2753"/>
      <c r="I527" s="2754"/>
      <c r="J527" s="2752"/>
      <c r="K527" s="2755">
        <f>SUM(K525:K526)</f>
        <v>0</v>
      </c>
      <c r="L527" s="2755">
        <f>SUM(L525:L526)</f>
        <v>25</v>
      </c>
      <c r="M527" s="2755">
        <f>SUM(M525:M526)</f>
        <v>90</v>
      </c>
      <c r="N527" s="2755">
        <f>SUM(N525:N526)</f>
        <v>0</v>
      </c>
      <c r="O527" s="2755">
        <f>SUM(O525:O526)</f>
        <v>0</v>
      </c>
      <c r="P527" s="2755">
        <f t="shared" si="379"/>
        <v>115</v>
      </c>
      <c r="S527" s="2650"/>
      <c r="T527" s="2650"/>
      <c r="U527" s="2650"/>
      <c r="V527" s="2650"/>
      <c r="W527" s="2650"/>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749"/>
      <c r="B528" s="2749"/>
      <c r="D528" s="358"/>
      <c r="E528" s="358"/>
      <c r="F528" s="358"/>
      <c r="H528" s="1409" t="s">
        <v>2303</v>
      </c>
      <c r="I528" s="361"/>
      <c r="K528" s="2750">
        <f>FM511</f>
        <v>0</v>
      </c>
      <c r="L528" s="2750">
        <f>FN511</f>
        <v>0</v>
      </c>
      <c r="M528" s="2750">
        <f>FO511</f>
        <v>1</v>
      </c>
      <c r="N528" s="2750">
        <f>FP511</f>
        <v>0</v>
      </c>
      <c r="O528" s="2750">
        <f>FQ511</f>
        <v>0</v>
      </c>
      <c r="P528" s="2750">
        <f t="shared" si="379"/>
        <v>1</v>
      </c>
      <c r="Q528" s="2550" t="s">
        <v>3102</v>
      </c>
      <c r="S528" s="2650"/>
      <c r="T528" s="2650"/>
      <c r="U528" s="2650"/>
      <c r="V528" s="2650"/>
      <c r="W528" s="2650"/>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749"/>
      <c r="B529" s="2749"/>
      <c r="C529" s="1639" t="s">
        <v>1662</v>
      </c>
      <c r="D529" s="358"/>
      <c r="E529" s="358"/>
      <c r="F529" s="358"/>
      <c r="H529" s="1409"/>
      <c r="I529" s="361"/>
      <c r="K529" s="2756">
        <f>SUM(K527:K528)</f>
        <v>0</v>
      </c>
      <c r="L529" s="2756">
        <f>SUM(L527:L528)</f>
        <v>25</v>
      </c>
      <c r="M529" s="2756">
        <f>SUM(M527:M528)</f>
        <v>91</v>
      </c>
      <c r="N529" s="2756">
        <f>SUM(N527:N528)</f>
        <v>0</v>
      </c>
      <c r="O529" s="2756">
        <f>SUM(O527:O528)</f>
        <v>0</v>
      </c>
      <c r="P529" s="2756">
        <f t="shared" si="379"/>
        <v>116</v>
      </c>
      <c r="S529" s="2650"/>
      <c r="T529" s="2650"/>
      <c r="U529" s="2650"/>
      <c r="V529" s="2650"/>
      <c r="W529" s="2650"/>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149999999999999" customHeight="1">
      <c r="A530" s="2749"/>
      <c r="B530" s="2749"/>
      <c r="C530" s="2757"/>
      <c r="D530" s="2757"/>
      <c r="E530" s="2757"/>
      <c r="F530" s="2757"/>
      <c r="G530" s="2757"/>
      <c r="H530" s="2749"/>
      <c r="I530" s="2757"/>
      <c r="J530" s="2757"/>
      <c r="K530" s="2757"/>
      <c r="L530" s="2757"/>
      <c r="M530" s="2757"/>
      <c r="N530" s="2757"/>
      <c r="O530" s="2757"/>
      <c r="P530" s="2757"/>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2467">
        <v>73</v>
      </c>
    </row>
    <row r="531" spans="1:416" ht="12" customHeight="1">
      <c r="A531" s="2749"/>
      <c r="B531" s="2749"/>
      <c r="C531" s="2757" t="s">
        <v>3651</v>
      </c>
      <c r="D531" s="2757"/>
      <c r="E531" s="2757"/>
      <c r="F531" s="2757"/>
      <c r="G531" s="2757"/>
      <c r="H531" s="2749"/>
      <c r="I531" s="2757"/>
      <c r="J531" s="2757"/>
      <c r="K531" s="2757"/>
      <c r="L531" s="2757"/>
      <c r="M531" s="2757"/>
      <c r="N531" s="2757"/>
      <c r="O531" s="2757"/>
      <c r="P531" s="2757"/>
      <c r="S531" s="2410" t="str">
        <f>C531</f>
        <v xml:space="preserve">Income Limit Distribution among Bedroom Sizes </v>
      </c>
      <c r="U531" s="2714"/>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15" customHeight="1">
      <c r="A532" s="2749"/>
      <c r="B532" s="2749"/>
      <c r="C532" s="2757"/>
      <c r="D532" s="2757"/>
      <c r="E532" s="2757"/>
      <c r="F532" s="2757"/>
      <c r="H532" s="1409" t="s">
        <v>3556</v>
      </c>
      <c r="I532" s="361"/>
      <c r="J532" s="2758"/>
      <c r="K532" s="2759" t="str">
        <f t="shared" ref="K532:P532" si="380">IF(OR(K518=0,K529=0),"",K518/K529)</f>
        <v/>
      </c>
      <c r="L532" s="2759" t="str">
        <f t="shared" si="380"/>
        <v/>
      </c>
      <c r="M532" s="2759" t="str">
        <f t="shared" si="380"/>
        <v/>
      </c>
      <c r="N532" s="2759" t="str">
        <f t="shared" si="380"/>
        <v/>
      </c>
      <c r="O532" s="2759" t="str">
        <f t="shared" si="380"/>
        <v/>
      </c>
      <c r="P532" s="2759" t="str">
        <f t="shared" si="380"/>
        <v/>
      </c>
      <c r="Q532" s="1769" t="s">
        <v>3937</v>
      </c>
      <c r="S532" s="2650"/>
      <c r="T532" s="2650"/>
      <c r="U532" s="2650"/>
      <c r="V532" s="2650"/>
      <c r="W532" s="2650"/>
      <c r="OZ532" s="1640">
        <v>75</v>
      </c>
    </row>
    <row r="533" spans="1:416">
      <c r="A533" s="2749"/>
      <c r="B533" s="2749"/>
      <c r="C533" s="358"/>
      <c r="H533" s="1409" t="s">
        <v>5147</v>
      </c>
      <c r="I533" s="361"/>
      <c r="J533" s="358"/>
      <c r="K533" s="2760" t="str">
        <f>IF(OR(K518=0,P532="",K529=0),"",P532*K529)</f>
        <v/>
      </c>
      <c r="L533" s="2760" t="str">
        <f>IF(OR(L518=0,P532="",L529=0),"",P532*L529)</f>
        <v/>
      </c>
      <c r="M533" s="2760" t="str">
        <f>IF(OR(M518=0,P532="",M529=0),"",P532*M529)</f>
        <v/>
      </c>
      <c r="N533" s="2760" t="str">
        <f>IF(OR(N518=0,P532="",N529=0),"",P532*N529)</f>
        <v/>
      </c>
      <c r="O533" s="2760" t="str">
        <f>IF(OR(O518=0,P532="",O529=0),"",P532*O529)</f>
        <v/>
      </c>
      <c r="P533" s="2760" t="str">
        <f>IF(OR(P532="",P529=0),"",P532*P529)</f>
        <v/>
      </c>
      <c r="S533" s="2650"/>
      <c r="T533" s="2650"/>
      <c r="U533" s="2650"/>
      <c r="V533" s="2650"/>
      <c r="W533" s="2650"/>
      <c r="OZ533" s="1784">
        <v>76</v>
      </c>
    </row>
    <row r="534" spans="1:416">
      <c r="A534" s="2749"/>
      <c r="B534" s="2749"/>
      <c r="C534" s="358"/>
      <c r="G534" s="2741"/>
      <c r="H534" s="1409" t="s">
        <v>5148</v>
      </c>
      <c r="I534" s="361"/>
      <c r="J534" s="358"/>
      <c r="K534" s="2760" t="str">
        <f t="shared" ref="K534:P534" si="381">IF(OR(K533="",K518=0),"", K518-K533)</f>
        <v/>
      </c>
      <c r="L534" s="2760" t="str">
        <f t="shared" si="381"/>
        <v/>
      </c>
      <c r="M534" s="2760" t="str">
        <f t="shared" si="381"/>
        <v/>
      </c>
      <c r="N534" s="2760" t="str">
        <f t="shared" si="381"/>
        <v/>
      </c>
      <c r="O534" s="2760" t="str">
        <f t="shared" si="381"/>
        <v/>
      </c>
      <c r="P534" s="2760" t="str">
        <f t="shared" si="381"/>
        <v/>
      </c>
      <c r="S534" s="2650"/>
      <c r="T534" s="2650"/>
      <c r="U534" s="2650"/>
      <c r="V534" s="2650"/>
      <c r="W534" s="2650"/>
      <c r="OZ534" s="1784">
        <v>77</v>
      </c>
    </row>
    <row r="535" spans="1:416" ht="12.75" customHeight="1">
      <c r="A535" s="2749"/>
      <c r="B535" s="2749"/>
      <c r="C535" s="358"/>
      <c r="D535" s="358" t="s">
        <v>5149</v>
      </c>
      <c r="E535" s="358"/>
      <c r="F535" s="358"/>
      <c r="H535" s="1409" t="s">
        <v>3557</v>
      </c>
      <c r="I535" s="361"/>
      <c r="J535" s="358"/>
      <c r="K535" s="2759" t="str">
        <f t="shared" ref="K535:P535" si="382">IF(OR(K519=0,K529=0),"",K519/K529)</f>
        <v/>
      </c>
      <c r="L535" s="2759" t="str">
        <f t="shared" si="382"/>
        <v/>
      </c>
      <c r="M535" s="2759" t="str">
        <f t="shared" si="382"/>
        <v/>
      </c>
      <c r="N535" s="2759" t="str">
        <f t="shared" si="382"/>
        <v/>
      </c>
      <c r="O535" s="2759" t="str">
        <f t="shared" si="382"/>
        <v/>
      </c>
      <c r="P535" s="2759" t="str">
        <f t="shared" si="382"/>
        <v/>
      </c>
      <c r="S535" s="2650"/>
      <c r="T535" s="2650"/>
      <c r="U535" s="2650"/>
      <c r="V535" s="2650"/>
      <c r="W535" s="2650"/>
      <c r="OZ535" s="1640">
        <v>78</v>
      </c>
    </row>
    <row r="536" spans="1:416">
      <c r="C536" s="358"/>
      <c r="D536" s="358"/>
      <c r="E536" s="358"/>
      <c r="F536" s="358"/>
      <c r="H536" s="1409" t="s">
        <v>5147</v>
      </c>
      <c r="I536" s="361"/>
      <c r="J536" s="358"/>
      <c r="K536" s="2760" t="str">
        <f>IF(OR(K519=0,P535="",K529=0),"",P535*K529)</f>
        <v/>
      </c>
      <c r="L536" s="2760" t="str">
        <f>IF(OR(L519=0,P535="",L529=0),"",P535*L529)</f>
        <v/>
      </c>
      <c r="M536" s="2760" t="str">
        <f>IF(OR(M519=0,P535="",M529=0),"",P535*M529)</f>
        <v/>
      </c>
      <c r="N536" s="2760" t="str">
        <f>IF(OR(N519=0,P535="",N529=0),"",P535*N529)</f>
        <v/>
      </c>
      <c r="O536" s="2760" t="str">
        <f>IF(OR(O519=0,P535="",O529=0),"",P535*O529)</f>
        <v/>
      </c>
      <c r="P536" s="2760" t="str">
        <f>IF(OR(P535="",P529=0),"",P535*P529)</f>
        <v/>
      </c>
      <c r="S536" s="2650"/>
      <c r="T536" s="2650"/>
      <c r="U536" s="2650"/>
      <c r="V536" s="2650"/>
      <c r="W536" s="2650"/>
      <c r="OZ536" s="1784">
        <v>79</v>
      </c>
    </row>
    <row r="537" spans="1:416">
      <c r="C537" s="358"/>
      <c r="D537" s="358"/>
      <c r="E537" s="358"/>
      <c r="F537" s="358"/>
      <c r="G537" s="2741"/>
      <c r="H537" s="1409" t="s">
        <v>5148</v>
      </c>
      <c r="I537" s="361"/>
      <c r="J537" s="358"/>
      <c r="K537" s="2760" t="str">
        <f t="shared" ref="K537:P537" si="383">IF(OR(K536="",K519=0),"", K519-K536)</f>
        <v/>
      </c>
      <c r="L537" s="2760" t="str">
        <f t="shared" si="383"/>
        <v/>
      </c>
      <c r="M537" s="2760" t="str">
        <f t="shared" si="383"/>
        <v/>
      </c>
      <c r="N537" s="2760" t="str">
        <f t="shared" si="383"/>
        <v/>
      </c>
      <c r="O537" s="2760" t="str">
        <f t="shared" si="383"/>
        <v/>
      </c>
      <c r="P537" s="2760" t="str">
        <f t="shared" si="383"/>
        <v/>
      </c>
      <c r="S537" s="2650"/>
      <c r="T537" s="2650"/>
      <c r="U537" s="2650"/>
      <c r="V537" s="2650"/>
      <c r="W537" s="2650"/>
      <c r="OZ537" s="1784">
        <v>80</v>
      </c>
    </row>
    <row r="538" spans="1:416" ht="13">
      <c r="C538" s="360" t="s">
        <v>3935</v>
      </c>
      <c r="D538" s="358"/>
      <c r="E538" s="358"/>
      <c r="F538" s="358"/>
      <c r="H538" s="1409" t="s">
        <v>1080</v>
      </c>
      <c r="I538" s="361"/>
      <c r="J538" s="358"/>
      <c r="K538" s="2759" t="str">
        <f t="shared" ref="K538:P538" si="384">IF(OR(K520=0,K529=0),"",K520/K529)</f>
        <v/>
      </c>
      <c r="L538" s="2759">
        <f t="shared" si="384"/>
        <v>0.72</v>
      </c>
      <c r="M538" s="2759">
        <f t="shared" si="384"/>
        <v>0.82417582417582413</v>
      </c>
      <c r="N538" s="2759" t="str">
        <f t="shared" si="384"/>
        <v/>
      </c>
      <c r="O538" s="2759" t="str">
        <f t="shared" si="384"/>
        <v/>
      </c>
      <c r="P538" s="2759">
        <f t="shared" si="384"/>
        <v>0.80172413793103448</v>
      </c>
      <c r="S538" s="2650"/>
      <c r="T538" s="2650"/>
      <c r="U538" s="2650"/>
      <c r="V538" s="2650"/>
      <c r="W538" s="2650"/>
      <c r="OZ538" s="1784">
        <v>81</v>
      </c>
    </row>
    <row r="539" spans="1:416" ht="15.75" customHeight="1">
      <c r="C539" s="360"/>
      <c r="D539" s="358"/>
      <c r="E539" s="358"/>
      <c r="F539" s="358"/>
      <c r="H539" s="1409" t="s">
        <v>5147</v>
      </c>
      <c r="I539" s="361"/>
      <c r="J539" s="358"/>
      <c r="K539" s="2760" t="str">
        <f>IF(OR(K520=0,P538="",K529=0),"",P538*K529)</f>
        <v/>
      </c>
      <c r="L539" s="2760">
        <f>IF(OR(L520=0,P538="",L529=0),"",P538*L529)</f>
        <v>20.043103448275861</v>
      </c>
      <c r="M539" s="2760">
        <f>IF(OR(M520=0,P538="",M529=0),"",P538*M529)</f>
        <v>72.956896551724142</v>
      </c>
      <c r="N539" s="2760" t="str">
        <f>IF(OR(N520=0,P538="",N529=0),"",P538*N529)</f>
        <v/>
      </c>
      <c r="O539" s="2760" t="str">
        <f>IF(OR(O520=0,P538="",O529=0),"",P538*O529)</f>
        <v/>
      </c>
      <c r="P539" s="2760">
        <f>IF(OR(P538="",P529=0),"",P538*P529)</f>
        <v>93</v>
      </c>
      <c r="S539" s="2650"/>
      <c r="T539" s="2650"/>
      <c r="U539" s="2650"/>
      <c r="V539" s="2650"/>
      <c r="W539" s="2650"/>
      <c r="OZ539" s="1784">
        <v>82</v>
      </c>
    </row>
    <row r="540" spans="1:416" ht="15.75" customHeight="1">
      <c r="C540" s="360"/>
      <c r="D540" s="358"/>
      <c r="E540" s="358"/>
      <c r="F540" s="358"/>
      <c r="G540" s="2741"/>
      <c r="H540" s="1409" t="s">
        <v>5148</v>
      </c>
      <c r="I540" s="361"/>
      <c r="J540" s="358"/>
      <c r="K540" s="2760" t="str">
        <f t="shared" ref="K540:P540" si="385">IF(OR(K539="",K520=0),"", K520-K539)</f>
        <v/>
      </c>
      <c r="L540" s="2760">
        <f t="shared" si="385"/>
        <v>-2.0431034482758612</v>
      </c>
      <c r="M540" s="2760">
        <f t="shared" si="385"/>
        <v>2.0431034482758577</v>
      </c>
      <c r="N540" s="2760" t="str">
        <f t="shared" si="385"/>
        <v/>
      </c>
      <c r="O540" s="2760" t="str">
        <f t="shared" si="385"/>
        <v/>
      </c>
      <c r="P540" s="2760">
        <f t="shared" si="385"/>
        <v>0</v>
      </c>
      <c r="OZ540" s="1784">
        <v>83</v>
      </c>
    </row>
    <row r="541" spans="1:416" ht="13">
      <c r="C541" s="360" t="s">
        <v>3935</v>
      </c>
      <c r="D541" s="360"/>
      <c r="E541" s="360"/>
      <c r="H541" s="1409" t="s">
        <v>112</v>
      </c>
      <c r="I541" s="361"/>
      <c r="J541" s="358"/>
      <c r="K541" s="2759" t="str">
        <f t="shared" ref="K541:P541" si="386">IF(OR(K521=0,K529=0),"",K521/K529)</f>
        <v/>
      </c>
      <c r="L541" s="2759">
        <f t="shared" si="386"/>
        <v>0.08</v>
      </c>
      <c r="M541" s="2759">
        <f t="shared" si="386"/>
        <v>5.4945054945054944E-2</v>
      </c>
      <c r="N541" s="2759" t="str">
        <f t="shared" si="386"/>
        <v/>
      </c>
      <c r="O541" s="2759" t="str">
        <f t="shared" si="386"/>
        <v/>
      </c>
      <c r="P541" s="2759">
        <f t="shared" si="386"/>
        <v>6.0344827586206899E-2</v>
      </c>
      <c r="OZ541" s="2467">
        <v>84</v>
      </c>
    </row>
    <row r="542" spans="1:416" ht="13">
      <c r="C542" s="360"/>
      <c r="D542" s="360"/>
      <c r="E542" s="360"/>
      <c r="H542" s="1409" t="s">
        <v>5147</v>
      </c>
      <c r="I542" s="361"/>
      <c r="J542" s="358"/>
      <c r="K542" s="2760" t="str">
        <f>IF(OR(K521=0,P541="",K529=0),"",P541*K529)</f>
        <v/>
      </c>
      <c r="L542" s="2760">
        <f>IF(OR(L521=0,P541="",L529=0),"",P541*L529)</f>
        <v>1.5086206896551724</v>
      </c>
      <c r="M542" s="2760">
        <f>IF(OR(M521=0,P541="",M529=0),"",P541*M529)</f>
        <v>5.4913793103448274</v>
      </c>
      <c r="N542" s="2760" t="str">
        <f>IF(OR(N521=0,P541="",N529=0),"",P541*N529)</f>
        <v/>
      </c>
      <c r="O542" s="2760" t="str">
        <f>IF(OR(O521=0,P541="",O529=0),"",P541*O529)</f>
        <v/>
      </c>
      <c r="P542" s="2760">
        <f>IF(OR(P541="",P529=0),"",P541*P529)</f>
        <v>7</v>
      </c>
      <c r="OZ542" s="1784">
        <v>85</v>
      </c>
    </row>
    <row r="543" spans="1:416" ht="13">
      <c r="C543" s="360"/>
      <c r="D543" s="360"/>
      <c r="E543" s="360"/>
      <c r="G543" s="2741"/>
      <c r="H543" s="1409" t="s">
        <v>5148</v>
      </c>
      <c r="I543" s="361"/>
      <c r="J543" s="358"/>
      <c r="K543" s="2760" t="str">
        <f t="shared" ref="K543:P543" si="387">IF(OR(K542="",K521=0),"", K521-K542)</f>
        <v/>
      </c>
      <c r="L543" s="2760">
        <f t="shared" si="387"/>
        <v>0.49137931034482762</v>
      </c>
      <c r="M543" s="2760">
        <f t="shared" si="387"/>
        <v>-0.4913793103448274</v>
      </c>
      <c r="N543" s="2760" t="str">
        <f t="shared" si="387"/>
        <v/>
      </c>
      <c r="O543" s="2760" t="str">
        <f t="shared" si="387"/>
        <v/>
      </c>
      <c r="P543" s="2760">
        <f t="shared" si="387"/>
        <v>0</v>
      </c>
      <c r="OZ543" s="1640">
        <v>86</v>
      </c>
    </row>
    <row r="544" spans="1:416" ht="13">
      <c r="C544" s="360" t="s">
        <v>3935</v>
      </c>
      <c r="D544" s="360"/>
      <c r="E544" s="360"/>
      <c r="H544" s="1409" t="s">
        <v>3558</v>
      </c>
      <c r="I544" s="361"/>
      <c r="J544" s="358"/>
      <c r="K544" s="2759" t="str">
        <f t="shared" ref="K544:P544" si="388">IF(OR(K522=0,K529=0),"",K522/K529)</f>
        <v/>
      </c>
      <c r="L544" s="2759" t="str">
        <f t="shared" si="388"/>
        <v/>
      </c>
      <c r="M544" s="2759" t="str">
        <f t="shared" si="388"/>
        <v/>
      </c>
      <c r="N544" s="2759" t="str">
        <f t="shared" si="388"/>
        <v/>
      </c>
      <c r="O544" s="2759" t="str">
        <f t="shared" si="388"/>
        <v/>
      </c>
      <c r="P544" s="2759" t="str">
        <f t="shared" si="388"/>
        <v/>
      </c>
      <c r="OZ544" s="1784">
        <v>87</v>
      </c>
    </row>
    <row r="545" spans="1:416" ht="13">
      <c r="C545" s="360"/>
      <c r="H545" s="1409" t="s">
        <v>5147</v>
      </c>
      <c r="I545" s="361"/>
      <c r="J545" s="358"/>
      <c r="K545" s="2760" t="str">
        <f>IF(OR(K522=0,P544="",K529=0),"",P544*K529)</f>
        <v/>
      </c>
      <c r="L545" s="2760" t="str">
        <f>IF(OR(L522=0,P544="",L529=0),"",P544*L529)</f>
        <v/>
      </c>
      <c r="M545" s="2760" t="str">
        <f>IF(OR(M522=0,P544="",M529=0),"",P544*M529)</f>
        <v/>
      </c>
      <c r="N545" s="2760" t="str">
        <f>IF(OR(N522=0,P544="",N529=0),"",P544*N529)</f>
        <v/>
      </c>
      <c r="O545" s="2760" t="str">
        <f>IF(OR(O522=0,P544="",O529=0),"",P544*O529)</f>
        <v/>
      </c>
      <c r="P545" s="2760" t="str">
        <f>IF(OR(P544="",P529=0),"",P544*P529)</f>
        <v/>
      </c>
      <c r="OZ545" s="1784">
        <v>88</v>
      </c>
    </row>
    <row r="546" spans="1:416" ht="13">
      <c r="C546" s="360"/>
      <c r="G546" s="2741"/>
      <c r="H546" s="1409" t="s">
        <v>5148</v>
      </c>
      <c r="I546" s="361"/>
      <c r="J546" s="358"/>
      <c r="K546" s="2760" t="str">
        <f t="shared" ref="K546:P546" si="389">IF(OR(K545="",K522=0),"", K522-K545)</f>
        <v/>
      </c>
      <c r="L546" s="2760" t="str">
        <f t="shared" si="389"/>
        <v/>
      </c>
      <c r="M546" s="2760" t="str">
        <f t="shared" si="389"/>
        <v/>
      </c>
      <c r="N546" s="2760" t="str">
        <f t="shared" si="389"/>
        <v/>
      </c>
      <c r="O546" s="2760" t="str">
        <f t="shared" si="389"/>
        <v/>
      </c>
      <c r="P546" s="2760" t="str">
        <f t="shared" si="389"/>
        <v/>
      </c>
      <c r="OZ546" s="1640">
        <v>89</v>
      </c>
    </row>
    <row r="547" spans="1:416" ht="13">
      <c r="C547" s="360" t="s">
        <v>3935</v>
      </c>
      <c r="H547" s="1409" t="s">
        <v>3559</v>
      </c>
      <c r="I547" s="361"/>
      <c r="J547" s="358"/>
      <c r="K547" s="2759" t="str">
        <f t="shared" ref="K547:P547" si="390">IF(OR(K523=0,K529=0),"",K523/K529)</f>
        <v/>
      </c>
      <c r="L547" s="2759">
        <f t="shared" si="390"/>
        <v>0.16</v>
      </c>
      <c r="M547" s="2759">
        <f t="shared" si="390"/>
        <v>4.3956043956043959E-2</v>
      </c>
      <c r="N547" s="2759" t="str">
        <f t="shared" si="390"/>
        <v/>
      </c>
      <c r="O547" s="2759" t="str">
        <f t="shared" si="390"/>
        <v/>
      </c>
      <c r="P547" s="2759">
        <f t="shared" si="390"/>
        <v>6.8965517241379309E-2</v>
      </c>
      <c r="OZ547" s="1784">
        <v>90</v>
      </c>
    </row>
    <row r="548" spans="1:416" ht="13">
      <c r="C548" s="360"/>
      <c r="H548" s="1409" t="s">
        <v>5147</v>
      </c>
      <c r="I548" s="361"/>
      <c r="J548" s="358"/>
      <c r="K548" s="2760" t="str">
        <f>IF(OR(K523=0,P547="",K529=0),"",P547*K529)</f>
        <v/>
      </c>
      <c r="L548" s="2760">
        <f>IF(OR(L523=0,P547="",L529=0),"",P547*L529)</f>
        <v>1.7241379310344827</v>
      </c>
      <c r="M548" s="2760">
        <f>IF(OR(M523=0,P547="",M529=0),"",P547*M529)</f>
        <v>6.2758620689655169</v>
      </c>
      <c r="N548" s="2760" t="str">
        <f>IF(OR(N523=0,P547="",N529=0),"",P547*N529)</f>
        <v/>
      </c>
      <c r="O548" s="2760" t="str">
        <f>IF(OR(O523=0,P547="",O529=0),"",P547*O529)</f>
        <v/>
      </c>
      <c r="P548" s="2760">
        <f>IF(OR(P547="",P529=0),"",P547*P529)</f>
        <v>8</v>
      </c>
      <c r="OZ548" s="1784">
        <v>91</v>
      </c>
    </row>
    <row r="549" spans="1:416" ht="13">
      <c r="C549" s="360"/>
      <c r="G549" s="2741"/>
      <c r="H549" s="1409" t="s">
        <v>5148</v>
      </c>
      <c r="I549" s="361"/>
      <c r="J549" s="358"/>
      <c r="K549" s="2760" t="str">
        <f t="shared" ref="K549:P549" si="391">IF(OR(K548="",K523=0),"", K523-K548)</f>
        <v/>
      </c>
      <c r="L549" s="2760">
        <f t="shared" si="391"/>
        <v>2.2758620689655173</v>
      </c>
      <c r="M549" s="2760">
        <f t="shared" si="391"/>
        <v>-2.2758620689655169</v>
      </c>
      <c r="N549" s="2760" t="str">
        <f t="shared" si="391"/>
        <v/>
      </c>
      <c r="O549" s="2760" t="str">
        <f t="shared" si="391"/>
        <v/>
      </c>
      <c r="P549" s="2760">
        <f t="shared" si="391"/>
        <v>0</v>
      </c>
      <c r="OZ549" s="1784">
        <v>92</v>
      </c>
    </row>
    <row r="550" spans="1:416" ht="13">
      <c r="C550" s="360" t="s">
        <v>3935</v>
      </c>
      <c r="H550" s="1409" t="s">
        <v>3560</v>
      </c>
      <c r="I550" s="361"/>
      <c r="J550" s="358"/>
      <c r="K550" s="2759" t="str">
        <f t="shared" ref="K550:P550" si="392">IF(OR(K524=0,K529=0),"",K524/K529)</f>
        <v/>
      </c>
      <c r="L550" s="2759" t="str">
        <f t="shared" si="392"/>
        <v/>
      </c>
      <c r="M550" s="2759" t="str">
        <f t="shared" si="392"/>
        <v/>
      </c>
      <c r="N550" s="2759" t="str">
        <f t="shared" si="392"/>
        <v/>
      </c>
      <c r="O550" s="2759" t="str">
        <f t="shared" si="392"/>
        <v/>
      </c>
      <c r="P550" s="2759" t="str">
        <f t="shared" si="392"/>
        <v/>
      </c>
      <c r="OZ550" s="1784">
        <v>93</v>
      </c>
    </row>
    <row r="551" spans="1:416" ht="13">
      <c r="C551" s="360"/>
      <c r="D551" s="360"/>
      <c r="E551" s="360"/>
      <c r="H551" s="1409" t="s">
        <v>5147</v>
      </c>
      <c r="I551" s="361"/>
      <c r="J551" s="358"/>
      <c r="K551" s="2760" t="str">
        <f>IF(OR(K524=0,P550="",K529=0),"",P550*K529)</f>
        <v/>
      </c>
      <c r="L551" s="2760" t="str">
        <f>IF(OR(L524=0,P550="",L529=0),"",P550*L529)</f>
        <v/>
      </c>
      <c r="M551" s="2760" t="str">
        <f>IF(OR(M524=0,P550="",M529=0),"",P550*M529)</f>
        <v/>
      </c>
      <c r="N551" s="2760" t="str">
        <f>IF(OR(N524=0,P550="",N529=0),"",P550*N529)</f>
        <v/>
      </c>
      <c r="O551" s="2760" t="str">
        <f>IF(OR(O524=0,P550="",O529=0),"",P550*O529)</f>
        <v/>
      </c>
      <c r="P551" s="2760" t="str">
        <f>IF(OR(P550="",P529=0),"",P550*P529)</f>
        <v/>
      </c>
      <c r="OZ551" s="1784">
        <v>94</v>
      </c>
    </row>
    <row r="552" spans="1:416" ht="13">
      <c r="C552" s="360"/>
      <c r="D552" s="360"/>
      <c r="E552" s="360"/>
      <c r="G552" s="2741"/>
      <c r="H552" s="1409" t="s">
        <v>5148</v>
      </c>
      <c r="I552" s="361"/>
      <c r="J552" s="358"/>
      <c r="K552" s="2760" t="str">
        <f t="shared" ref="K552:P552" si="393">IF(OR(K551="",K524=0),"", K524-K551)</f>
        <v/>
      </c>
      <c r="L552" s="2760" t="str">
        <f t="shared" si="393"/>
        <v/>
      </c>
      <c r="M552" s="2760" t="str">
        <f t="shared" si="393"/>
        <v/>
      </c>
      <c r="N552" s="2760" t="str">
        <f t="shared" si="393"/>
        <v/>
      </c>
      <c r="O552" s="2760" t="str">
        <f t="shared" si="393"/>
        <v/>
      </c>
      <c r="P552" s="2760" t="str">
        <f t="shared" si="393"/>
        <v/>
      </c>
      <c r="OZ552" s="2467">
        <v>95</v>
      </c>
    </row>
    <row r="553" spans="1:416" ht="12" customHeight="1">
      <c r="A553" s="2749"/>
      <c r="B553" s="2749"/>
      <c r="C553" s="358"/>
      <c r="D553" s="358"/>
      <c r="E553" s="358"/>
      <c r="F553" s="358"/>
      <c r="H553" s="1409"/>
      <c r="I553" s="361"/>
      <c r="K553" s="2761"/>
      <c r="L553" s="2761"/>
      <c r="M553" s="2761"/>
      <c r="N553" s="2761"/>
      <c r="O553" s="2761"/>
      <c r="P553" s="2761"/>
      <c r="U553" s="2714"/>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749"/>
      <c r="B554" s="2749"/>
      <c r="C554" s="358"/>
      <c r="D554" s="358"/>
      <c r="E554" s="358"/>
      <c r="F554" s="358"/>
      <c r="H554" s="1409"/>
      <c r="I554" s="361"/>
      <c r="K554" s="2761"/>
      <c r="L554" s="2761"/>
      <c r="M554" s="2761"/>
      <c r="N554" s="2761"/>
      <c r="O554" s="2761"/>
      <c r="P554" s="2761"/>
      <c r="S554" s="2410" t="str">
        <f>C555</f>
        <v>PBRA-Assisted</v>
      </c>
      <c r="U554" s="2714"/>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749"/>
      <c r="B555" s="2749"/>
      <c r="C555" s="358" t="s">
        <v>874</v>
      </c>
      <c r="D555" s="358"/>
      <c r="E555" s="1409"/>
      <c r="F555" s="358"/>
      <c r="H555" s="1409" t="s">
        <v>3556</v>
      </c>
      <c r="I555" s="361"/>
      <c r="K555" s="2762">
        <f>CP511</f>
        <v>0</v>
      </c>
      <c r="L555" s="2762">
        <f>CQ511</f>
        <v>0</v>
      </c>
      <c r="M555" s="2762">
        <f>CR511</f>
        <v>0</v>
      </c>
      <c r="N555" s="2762">
        <f>CS511</f>
        <v>0</v>
      </c>
      <c r="O555" s="2762">
        <f>CT511</f>
        <v>0</v>
      </c>
      <c r="P555" s="2750">
        <f t="shared" ref="P555:P562" si="394">SUM(K555:O555)</f>
        <v>0</v>
      </c>
      <c r="S555" s="2650"/>
      <c r="T555" s="2650"/>
      <c r="U555" s="2650"/>
      <c r="V555" s="2650"/>
      <c r="W555" s="2650"/>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749"/>
      <c r="B556" s="2749"/>
      <c r="C556" s="361" t="s">
        <v>2304</v>
      </c>
      <c r="D556" s="358"/>
      <c r="E556" s="1409"/>
      <c r="F556" s="358"/>
      <c r="H556" s="1409" t="s">
        <v>3557</v>
      </c>
      <c r="I556" s="361"/>
      <c r="K556" s="2750">
        <f>CK511</f>
        <v>0</v>
      </c>
      <c r="L556" s="2750">
        <f>CL511</f>
        <v>0</v>
      </c>
      <c r="M556" s="2750">
        <f>CM511</f>
        <v>0</v>
      </c>
      <c r="N556" s="2750">
        <f>CN511</f>
        <v>0</v>
      </c>
      <c r="O556" s="2750">
        <f>CO511</f>
        <v>0</v>
      </c>
      <c r="P556" s="2750">
        <f t="shared" si="394"/>
        <v>0</v>
      </c>
      <c r="S556" s="2650"/>
      <c r="T556" s="2650"/>
      <c r="U556" s="2650"/>
      <c r="V556" s="2650"/>
      <c r="W556" s="2650"/>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5" customHeight="1">
      <c r="A557" s="2749"/>
      <c r="B557" s="2749"/>
      <c r="C557" s="358"/>
      <c r="D557" s="358"/>
      <c r="E557" s="1409"/>
      <c r="F557" s="358"/>
      <c r="H557" s="1409" t="s">
        <v>1080</v>
      </c>
      <c r="I557" s="361"/>
      <c r="K557" s="2750">
        <f>CF511</f>
        <v>0</v>
      </c>
      <c r="L557" s="2750">
        <f>CG511</f>
        <v>0</v>
      </c>
      <c r="M557" s="2750">
        <f>CH511</f>
        <v>0</v>
      </c>
      <c r="N557" s="2750">
        <f>CI511</f>
        <v>0</v>
      </c>
      <c r="O557" s="2750">
        <f>CJ511</f>
        <v>0</v>
      </c>
      <c r="P557" s="2750">
        <f t="shared" si="394"/>
        <v>0</v>
      </c>
      <c r="S557" s="2650"/>
      <c r="T557" s="2650"/>
      <c r="U557" s="2650"/>
      <c r="V557" s="2650"/>
      <c r="W557" s="2650"/>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749"/>
      <c r="B558" s="2749"/>
      <c r="C558" s="358"/>
      <c r="D558" s="358"/>
      <c r="E558" s="1409"/>
      <c r="F558" s="358"/>
      <c r="H558" s="1409" t="s">
        <v>112</v>
      </c>
      <c r="I558" s="361"/>
      <c r="K558" s="2750">
        <f>CA511</f>
        <v>0</v>
      </c>
      <c r="L558" s="2750">
        <f>CB511</f>
        <v>0</v>
      </c>
      <c r="M558" s="2750">
        <f>CC511</f>
        <v>0</v>
      </c>
      <c r="N558" s="2750">
        <f>CD511</f>
        <v>0</v>
      </c>
      <c r="O558" s="2750">
        <f>CE511</f>
        <v>0</v>
      </c>
      <c r="P558" s="2750">
        <f t="shared" si="394"/>
        <v>0</v>
      </c>
      <c r="S558" s="2650"/>
      <c r="T558" s="2650"/>
      <c r="U558" s="2650"/>
      <c r="V558" s="2650"/>
      <c r="W558" s="2650"/>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749"/>
      <c r="B559" s="2749"/>
      <c r="C559" s="358"/>
      <c r="D559" s="358"/>
      <c r="E559" s="1409"/>
      <c r="F559" s="358"/>
      <c r="H559" s="1409" t="s">
        <v>3558</v>
      </c>
      <c r="I559" s="361"/>
      <c r="K559" s="2750">
        <f>BV511</f>
        <v>0</v>
      </c>
      <c r="L559" s="2750">
        <f>BW511</f>
        <v>0</v>
      </c>
      <c r="M559" s="2750">
        <f>BX511</f>
        <v>0</v>
      </c>
      <c r="N559" s="2750">
        <f>BY511</f>
        <v>0</v>
      </c>
      <c r="O559" s="2750">
        <f>BZ511</f>
        <v>0</v>
      </c>
      <c r="P559" s="2750">
        <f t="shared" si="394"/>
        <v>0</v>
      </c>
      <c r="S559" s="2650"/>
      <c r="T559" s="2650"/>
      <c r="U559" s="2650"/>
      <c r="V559" s="2650"/>
      <c r="W559" s="2650"/>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3559</v>
      </c>
      <c r="I560" s="361"/>
      <c r="K560" s="2750">
        <f>BQ511</f>
        <v>0</v>
      </c>
      <c r="L560" s="2750">
        <f>BR511</f>
        <v>4</v>
      </c>
      <c r="M560" s="2750">
        <f>BS511</f>
        <v>4</v>
      </c>
      <c r="N560" s="2750">
        <f>BT511</f>
        <v>0</v>
      </c>
      <c r="O560" s="2750">
        <f>BU511</f>
        <v>0</v>
      </c>
      <c r="P560" s="2750">
        <f t="shared" si="394"/>
        <v>8</v>
      </c>
      <c r="S560" s="2650"/>
      <c r="T560" s="2650"/>
      <c r="U560" s="2650"/>
      <c r="V560" s="2650"/>
      <c r="W560" s="2650"/>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3560</v>
      </c>
      <c r="I561" s="361"/>
      <c r="K561" s="2762">
        <f>BL511</f>
        <v>0</v>
      </c>
      <c r="L561" s="2762">
        <f>BM511</f>
        <v>0</v>
      </c>
      <c r="M561" s="2762">
        <f>BN511</f>
        <v>0</v>
      </c>
      <c r="N561" s="2762">
        <f>BO511</f>
        <v>0</v>
      </c>
      <c r="O561" s="2762">
        <f>BP511</f>
        <v>0</v>
      </c>
      <c r="P561" s="2750">
        <f t="shared" si="394"/>
        <v>0</v>
      </c>
      <c r="S561" s="2650"/>
      <c r="T561" s="2650"/>
      <c r="U561" s="2650"/>
      <c r="V561" s="2650"/>
      <c r="W561" s="2650"/>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736"/>
      <c r="K562" s="2756">
        <f>SUM(K555:K561)</f>
        <v>0</v>
      </c>
      <c r="L562" s="2756">
        <f>SUM(L555:L561)</f>
        <v>4</v>
      </c>
      <c r="M562" s="2756">
        <f>SUM(M555:M561)</f>
        <v>4</v>
      </c>
      <c r="N562" s="2756">
        <f>SUM(N555:N561)</f>
        <v>0</v>
      </c>
      <c r="O562" s="2756">
        <f>SUM(O555:O561)</f>
        <v>0</v>
      </c>
      <c r="P562" s="2756">
        <f t="shared" si="394"/>
        <v>8</v>
      </c>
      <c r="S562" s="2650"/>
      <c r="T562" s="2650"/>
      <c r="U562" s="2650"/>
      <c r="V562" s="2650"/>
      <c r="W562" s="2650"/>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15" customHeight="1">
      <c r="A563" s="1536"/>
      <c r="B563" s="1536"/>
      <c r="C563" s="358"/>
      <c r="D563" s="358"/>
      <c r="E563" s="358"/>
      <c r="F563" s="358"/>
      <c r="H563" s="1409"/>
      <c r="I563" s="361"/>
      <c r="K563" s="2761"/>
      <c r="L563" s="2761"/>
      <c r="M563" s="2761"/>
      <c r="N563" s="2761"/>
      <c r="O563" s="2761"/>
      <c r="P563" s="2761"/>
      <c r="U563" s="2714"/>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65" customHeight="1">
      <c r="A564" s="360" t="s">
        <v>688</v>
      </c>
      <c r="B564" s="360" t="s">
        <v>5150</v>
      </c>
      <c r="H564" s="359"/>
      <c r="L564" s="2637" t="str">
        <f>O515</f>
        <v>40% of Units at 60% of AMI</v>
      </c>
      <c r="M564" s="2637"/>
      <c r="N564" s="2637"/>
      <c r="O564" s="2637"/>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2410" t="str">
        <f>C566</f>
        <v>PHA Operating Subsidy-Assisted</v>
      </c>
      <c r="T565" s="360"/>
      <c r="U565" s="2709"/>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650" t="s">
        <v>831</v>
      </c>
      <c r="D566" s="2650"/>
      <c r="E566" s="2650"/>
      <c r="F566" s="358"/>
      <c r="H566" s="1409" t="s">
        <v>3556</v>
      </c>
      <c r="I566" s="361"/>
      <c r="K566" s="2762">
        <f>DY511</f>
        <v>0</v>
      </c>
      <c r="L566" s="2762">
        <f>DZ511</f>
        <v>0</v>
      </c>
      <c r="M566" s="2762">
        <f>EA511</f>
        <v>0</v>
      </c>
      <c r="N566" s="2762">
        <f>EB511</f>
        <v>0</v>
      </c>
      <c r="O566" s="2762">
        <f>EC511</f>
        <v>0</v>
      </c>
      <c r="P566" s="2750">
        <f t="shared" ref="P566:P573" si="395">SUM(K566:O566)</f>
        <v>0</v>
      </c>
      <c r="S566" s="2650"/>
      <c r="T566" s="2650"/>
      <c r="U566" s="2650"/>
      <c r="V566" s="2650"/>
      <c r="W566" s="2650"/>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2650"/>
      <c r="E567" s="2650"/>
      <c r="F567" s="358"/>
      <c r="H567" s="1409" t="s">
        <v>3557</v>
      </c>
      <c r="I567" s="361"/>
      <c r="K567" s="2750">
        <f>DT511</f>
        <v>0</v>
      </c>
      <c r="L567" s="2750">
        <f>DU511</f>
        <v>0</v>
      </c>
      <c r="M567" s="2750">
        <f>DV511</f>
        <v>0</v>
      </c>
      <c r="N567" s="2750">
        <f>DW511</f>
        <v>0</v>
      </c>
      <c r="O567" s="2750">
        <f>DX511</f>
        <v>0</v>
      </c>
      <c r="P567" s="2750">
        <f t="shared" si="395"/>
        <v>0</v>
      </c>
      <c r="S567" s="2650"/>
      <c r="T567" s="2650"/>
      <c r="U567" s="2650"/>
      <c r="V567" s="2650"/>
      <c r="W567" s="2650"/>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650"/>
      <c r="D568" s="2650"/>
      <c r="E568" s="2650"/>
      <c r="F568" s="358"/>
      <c r="H568" s="1409" t="s">
        <v>1080</v>
      </c>
      <c r="I568" s="361"/>
      <c r="K568" s="2750">
        <f>DO511</f>
        <v>0</v>
      </c>
      <c r="L568" s="2750">
        <f>DP511</f>
        <v>0</v>
      </c>
      <c r="M568" s="2750">
        <f>DQ511</f>
        <v>0</v>
      </c>
      <c r="N568" s="2750">
        <f>DR511</f>
        <v>0</v>
      </c>
      <c r="O568" s="2750">
        <f>DS511</f>
        <v>0</v>
      </c>
      <c r="P568" s="2750">
        <f t="shared" si="395"/>
        <v>0</v>
      </c>
      <c r="S568" s="2650"/>
      <c r="T568" s="2650"/>
      <c r="U568" s="2650"/>
      <c r="V568" s="2650"/>
      <c r="W568" s="2650"/>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2467">
        <v>111</v>
      </c>
    </row>
    <row r="569" spans="1:416" ht="13.5" customHeight="1">
      <c r="A569" s="1536"/>
      <c r="B569" s="1536"/>
      <c r="C569" s="2650"/>
      <c r="D569" s="2650"/>
      <c r="E569" s="2650"/>
      <c r="F569" s="358"/>
      <c r="H569" s="1409" t="s">
        <v>112</v>
      </c>
      <c r="I569" s="361"/>
      <c r="K569" s="2750">
        <f>DJ511</f>
        <v>0</v>
      </c>
      <c r="L569" s="2750">
        <f>DK511</f>
        <v>0</v>
      </c>
      <c r="M569" s="2750">
        <f>DL511</f>
        <v>0</v>
      </c>
      <c r="N569" s="2750">
        <f>DM511</f>
        <v>0</v>
      </c>
      <c r="O569" s="2750">
        <f>DN511</f>
        <v>0</v>
      </c>
      <c r="P569" s="2750">
        <f t="shared" si="395"/>
        <v>0</v>
      </c>
      <c r="S569" s="2650"/>
      <c r="T569" s="2650"/>
      <c r="U569" s="2650"/>
      <c r="V569" s="2650"/>
      <c r="W569" s="2650"/>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650"/>
      <c r="D570" s="2650"/>
      <c r="E570" s="2650"/>
      <c r="F570" s="358"/>
      <c r="H570" s="1409" t="s">
        <v>3558</v>
      </c>
      <c r="I570" s="361"/>
      <c r="K570" s="2750">
        <f>DE511</f>
        <v>0</v>
      </c>
      <c r="L570" s="2750">
        <f>DF511</f>
        <v>0</v>
      </c>
      <c r="M570" s="2750">
        <f>DG511</f>
        <v>0</v>
      </c>
      <c r="N570" s="2750">
        <f>DH511</f>
        <v>0</v>
      </c>
      <c r="O570" s="2750">
        <f>DI511</f>
        <v>0</v>
      </c>
      <c r="P570" s="2750">
        <f t="shared" si="395"/>
        <v>0</v>
      </c>
      <c r="S570" s="2650"/>
      <c r="T570" s="2650"/>
      <c r="U570" s="2650"/>
      <c r="V570" s="2650"/>
      <c r="W570" s="2650"/>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650"/>
      <c r="D571" s="2650"/>
      <c r="E571" s="2650"/>
      <c r="F571" s="358"/>
      <c r="H571" s="1409" t="s">
        <v>3559</v>
      </c>
      <c r="I571" s="361"/>
      <c r="K571" s="2750">
        <f>CZ511</f>
        <v>0</v>
      </c>
      <c r="L571" s="2750">
        <f>DA511</f>
        <v>0</v>
      </c>
      <c r="M571" s="2750">
        <f>DB511</f>
        <v>0</v>
      </c>
      <c r="N571" s="2750">
        <f>DC511</f>
        <v>0</v>
      </c>
      <c r="O571" s="2750">
        <f>DD511</f>
        <v>0</v>
      </c>
      <c r="P571" s="2750">
        <f t="shared" si="395"/>
        <v>0</v>
      </c>
      <c r="S571" s="2650"/>
      <c r="T571" s="2650"/>
      <c r="U571" s="2650"/>
      <c r="V571" s="2650"/>
      <c r="W571" s="2650"/>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650"/>
      <c r="D572" s="2650"/>
      <c r="E572" s="2650"/>
      <c r="F572" s="358"/>
      <c r="H572" s="1409" t="s">
        <v>3560</v>
      </c>
      <c r="I572" s="361"/>
      <c r="K572" s="2762">
        <f>CU511</f>
        <v>0</v>
      </c>
      <c r="L572" s="2762">
        <f>CV511</f>
        <v>0</v>
      </c>
      <c r="M572" s="2762">
        <f>CW511</f>
        <v>0</v>
      </c>
      <c r="N572" s="2762">
        <f>CX511</f>
        <v>0</v>
      </c>
      <c r="O572" s="2762">
        <f>CY511</f>
        <v>0</v>
      </c>
      <c r="P572" s="2750">
        <f t="shared" si="395"/>
        <v>0</v>
      </c>
      <c r="S572" s="2650"/>
      <c r="T572" s="2650"/>
      <c r="U572" s="2650"/>
      <c r="V572" s="2650"/>
      <c r="W572" s="2650"/>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736"/>
      <c r="K573" s="2756">
        <f>SUM(K566:K572)</f>
        <v>0</v>
      </c>
      <c r="L573" s="2756">
        <f>SUM(L566:L572)</f>
        <v>0</v>
      </c>
      <c r="M573" s="2756">
        <f>SUM(M566:M572)</f>
        <v>0</v>
      </c>
      <c r="N573" s="2756">
        <f>SUM(N566:N572)</f>
        <v>0</v>
      </c>
      <c r="O573" s="2756">
        <f>SUM(O566:O572)</f>
        <v>0</v>
      </c>
      <c r="P573" s="2756">
        <f t="shared" si="395"/>
        <v>0</v>
      </c>
      <c r="S573" s="2650"/>
      <c r="T573" s="2650"/>
      <c r="U573" s="2650"/>
      <c r="V573" s="2650"/>
      <c r="W573" s="2650"/>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2410" t="str">
        <f>C575</f>
        <v>PBV</v>
      </c>
      <c r="T574" s="360"/>
      <c r="U574" s="2709"/>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650" t="s">
        <v>5039</v>
      </c>
      <c r="D575" s="2650"/>
      <c r="E575" s="2650"/>
      <c r="F575" s="358"/>
      <c r="H575" s="1409" t="s">
        <v>3556</v>
      </c>
      <c r="I575" s="361"/>
      <c r="K575" s="2762">
        <f>ED511</f>
        <v>0</v>
      </c>
      <c r="L575" s="2762">
        <f>EE511</f>
        <v>0</v>
      </c>
      <c r="M575" s="2762">
        <f>EF511</f>
        <v>0</v>
      </c>
      <c r="N575" s="2762">
        <f>EG511</f>
        <v>0</v>
      </c>
      <c r="O575" s="2762">
        <f>EH511</f>
        <v>0</v>
      </c>
      <c r="P575" s="2750">
        <f t="shared" ref="P575:P582" si="396">SUM(K575:O575)</f>
        <v>0</v>
      </c>
      <c r="S575" s="2650"/>
      <c r="T575" s="2650"/>
      <c r="U575" s="2650"/>
      <c r="V575" s="2650"/>
      <c r="W575" s="2650"/>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2650"/>
      <c r="E576" s="2650"/>
      <c r="F576" s="358"/>
      <c r="H576" s="1409" t="s">
        <v>3557</v>
      </c>
      <c r="I576" s="361"/>
      <c r="K576" s="2750">
        <f>EI511</f>
        <v>0</v>
      </c>
      <c r="L576" s="2750">
        <f>EJ511</f>
        <v>0</v>
      </c>
      <c r="M576" s="2750">
        <f>EK511</f>
        <v>0</v>
      </c>
      <c r="N576" s="2750">
        <f>EL511</f>
        <v>0</v>
      </c>
      <c r="O576" s="2750">
        <f>EM511</f>
        <v>0</v>
      </c>
      <c r="P576" s="2750">
        <f t="shared" si="396"/>
        <v>0</v>
      </c>
      <c r="S576" s="2650"/>
      <c r="T576" s="2650"/>
      <c r="U576" s="2650"/>
      <c r="V576" s="2650"/>
      <c r="W576" s="2650"/>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650"/>
      <c r="D577" s="2650"/>
      <c r="E577" s="2650"/>
      <c r="F577" s="358"/>
      <c r="H577" s="1409" t="s">
        <v>1080</v>
      </c>
      <c r="I577" s="361"/>
      <c r="K577" s="2750">
        <f>EN511</f>
        <v>0</v>
      </c>
      <c r="L577" s="2750">
        <f>EO511</f>
        <v>0</v>
      </c>
      <c r="M577" s="2750">
        <f>EP511</f>
        <v>0</v>
      </c>
      <c r="N577" s="2750">
        <f>EQ511</f>
        <v>0</v>
      </c>
      <c r="O577" s="2750">
        <f>ER511</f>
        <v>0</v>
      </c>
      <c r="P577" s="2750">
        <f t="shared" si="396"/>
        <v>0</v>
      </c>
      <c r="S577" s="2650"/>
      <c r="T577" s="2650"/>
      <c r="U577" s="2650"/>
      <c r="V577" s="2650"/>
      <c r="W577" s="2650"/>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650"/>
      <c r="D578" s="2650"/>
      <c r="E578" s="2650"/>
      <c r="F578" s="358"/>
      <c r="H578" s="1409" t="s">
        <v>112</v>
      </c>
      <c r="I578" s="361"/>
      <c r="K578" s="2750">
        <f>ES511</f>
        <v>0</v>
      </c>
      <c r="L578" s="2750">
        <f>ET511</f>
        <v>0</v>
      </c>
      <c r="M578" s="2750">
        <f>EU511</f>
        <v>0</v>
      </c>
      <c r="N578" s="2750">
        <f>EV511</f>
        <v>0</v>
      </c>
      <c r="O578" s="2750">
        <f>EW511</f>
        <v>0</v>
      </c>
      <c r="P578" s="2750">
        <f t="shared" si="396"/>
        <v>0</v>
      </c>
      <c r="S578" s="2650"/>
      <c r="T578" s="2650"/>
      <c r="U578" s="2650"/>
      <c r="V578" s="2650"/>
      <c r="W578" s="2650"/>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650"/>
      <c r="D579" s="2650"/>
      <c r="E579" s="2650"/>
      <c r="F579" s="358"/>
      <c r="H579" s="1409" t="s">
        <v>3558</v>
      </c>
      <c r="I579" s="361"/>
      <c r="K579" s="2750">
        <f>EX511</f>
        <v>0</v>
      </c>
      <c r="L579" s="2750">
        <f>EY511</f>
        <v>0</v>
      </c>
      <c r="M579" s="2750">
        <f>EZ511</f>
        <v>0</v>
      </c>
      <c r="N579" s="2750">
        <f>FA511</f>
        <v>0</v>
      </c>
      <c r="O579" s="2750">
        <f>FB511</f>
        <v>0</v>
      </c>
      <c r="P579" s="2750">
        <f t="shared" si="396"/>
        <v>0</v>
      </c>
      <c r="S579" s="2650"/>
      <c r="T579" s="2650"/>
      <c r="U579" s="2650"/>
      <c r="V579" s="2650"/>
      <c r="W579" s="2650"/>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2467">
        <v>122</v>
      </c>
    </row>
    <row r="580" spans="1:416" ht="13.5" customHeight="1">
      <c r="A580" s="1536"/>
      <c r="B580" s="1536"/>
      <c r="C580" s="2650"/>
      <c r="D580" s="2650"/>
      <c r="E580" s="2650"/>
      <c r="F580" s="358"/>
      <c r="H580" s="1409" t="s">
        <v>3559</v>
      </c>
      <c r="I580" s="361"/>
      <c r="K580" s="2750">
        <f>FC511</f>
        <v>0</v>
      </c>
      <c r="L580" s="2750">
        <f>FD511</f>
        <v>0</v>
      </c>
      <c r="M580" s="2750">
        <f>FE511</f>
        <v>0</v>
      </c>
      <c r="N580" s="2750">
        <f>FF511</f>
        <v>0</v>
      </c>
      <c r="O580" s="2750">
        <f>FG511</f>
        <v>0</v>
      </c>
      <c r="P580" s="2750">
        <f t="shared" si="396"/>
        <v>0</v>
      </c>
      <c r="S580" s="2650"/>
      <c r="T580" s="2650"/>
      <c r="U580" s="2650"/>
      <c r="V580" s="2650"/>
      <c r="W580" s="2650"/>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650"/>
      <c r="D581" s="2650"/>
      <c r="E581" s="2650"/>
      <c r="F581" s="358"/>
      <c r="H581" s="1409" t="s">
        <v>3560</v>
      </c>
      <c r="I581" s="361"/>
      <c r="K581" s="2762">
        <f>FH511</f>
        <v>0</v>
      </c>
      <c r="L581" s="2762">
        <f>FI511</f>
        <v>0</v>
      </c>
      <c r="M581" s="2762">
        <f>FJ511</f>
        <v>0</v>
      </c>
      <c r="N581" s="2762">
        <f>FK511</f>
        <v>0</v>
      </c>
      <c r="O581" s="2762">
        <f>FL511</f>
        <v>0</v>
      </c>
      <c r="P581" s="2750">
        <f t="shared" si="396"/>
        <v>0</v>
      </c>
      <c r="S581" s="2650"/>
      <c r="T581" s="2650"/>
      <c r="U581" s="2650"/>
      <c r="V581" s="2650"/>
      <c r="W581" s="2650"/>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736"/>
      <c r="K582" s="2756">
        <f>SUM(K575:K581)</f>
        <v>0</v>
      </c>
      <c r="L582" s="2756">
        <f>SUM(L575:L581)</f>
        <v>0</v>
      </c>
      <c r="M582" s="2756">
        <f>SUM(M575:M581)</f>
        <v>0</v>
      </c>
      <c r="N582" s="2756">
        <f>SUM(N575:N581)</f>
        <v>0</v>
      </c>
      <c r="O582" s="2756">
        <f>SUM(O575:O581)</f>
        <v>0</v>
      </c>
      <c r="P582" s="2756">
        <f t="shared" si="396"/>
        <v>0</v>
      </c>
      <c r="S582" s="2650"/>
      <c r="T582" s="2650"/>
      <c r="U582" s="2650"/>
      <c r="V582" s="2650"/>
      <c r="W582" s="2650"/>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761"/>
      <c r="L583" s="2761"/>
      <c r="M583" s="2761"/>
      <c r="N583" s="2761"/>
      <c r="O583" s="2761"/>
      <c r="P583" s="2761"/>
      <c r="S583" s="2410" t="str">
        <f>C584</f>
        <v>Type of Construction Activity</v>
      </c>
      <c r="U583" s="2714"/>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3" customHeight="1">
      <c r="A584" s="1536"/>
      <c r="B584" s="1536"/>
      <c r="C584" s="2650" t="s">
        <v>35</v>
      </c>
      <c r="D584" s="2650"/>
      <c r="E584" s="1409" t="s">
        <v>4800</v>
      </c>
      <c r="F584" s="358"/>
      <c r="H584" s="1409" t="s">
        <v>1341</v>
      </c>
      <c r="I584" s="361"/>
      <c r="K584" s="2750">
        <f>HP511</f>
        <v>0</v>
      </c>
      <c r="L584" s="2750">
        <f>HQ511</f>
        <v>0</v>
      </c>
      <c r="M584" s="2750">
        <f>HR511</f>
        <v>0</v>
      </c>
      <c r="N584" s="2750">
        <f>HS511</f>
        <v>0</v>
      </c>
      <c r="O584" s="2750">
        <f>HT511</f>
        <v>0</v>
      </c>
      <c r="P584" s="2750">
        <f t="shared" ref="P584:P594" si="397">SUM(K584:O584)</f>
        <v>0</v>
      </c>
      <c r="S584" s="2650"/>
      <c r="T584" s="2650"/>
      <c r="U584" s="2650"/>
      <c r="V584" s="2650"/>
      <c r="W584" s="2650"/>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3" customHeight="1">
      <c r="A585" s="1536"/>
      <c r="B585" s="1536"/>
      <c r="C585" s="2650"/>
      <c r="D585" s="2650"/>
      <c r="E585" s="1409"/>
      <c r="F585" s="358"/>
      <c r="H585" s="1409" t="s">
        <v>290</v>
      </c>
      <c r="I585" s="361"/>
      <c r="K585" s="2750">
        <f>HU511</f>
        <v>0</v>
      </c>
      <c r="L585" s="2750">
        <f>HV511</f>
        <v>0</v>
      </c>
      <c r="M585" s="2750">
        <f>HW511</f>
        <v>0</v>
      </c>
      <c r="N585" s="2750">
        <f>HX511</f>
        <v>0</v>
      </c>
      <c r="O585" s="2750">
        <f>HY511</f>
        <v>0</v>
      </c>
      <c r="P585" s="2750">
        <f t="shared" si="397"/>
        <v>0</v>
      </c>
      <c r="S585" s="2650"/>
      <c r="T585" s="2650"/>
      <c r="U585" s="2650"/>
      <c r="V585" s="2650"/>
      <c r="W585" s="2650"/>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650"/>
      <c r="D586" s="2650"/>
      <c r="E586" s="1409"/>
      <c r="F586" s="358"/>
      <c r="H586" s="1536" t="s">
        <v>29</v>
      </c>
      <c r="I586" s="2604" t="s">
        <v>4805</v>
      </c>
      <c r="J586" s="2763">
        <f>IF(P529=0,0,P586/P529)</f>
        <v>0</v>
      </c>
      <c r="K586" s="2756">
        <f>SUM(K584:K585)+HZ511</f>
        <v>0</v>
      </c>
      <c r="L586" s="2756">
        <f>SUM(L584:L585)+IA511</f>
        <v>0</v>
      </c>
      <c r="M586" s="2756">
        <f>SUM(M584:M585)+IB511</f>
        <v>0</v>
      </c>
      <c r="N586" s="2756">
        <f>SUM(N584:N585)+IC511</f>
        <v>0</v>
      </c>
      <c r="O586" s="2756">
        <f>SUM(O584:O585)+ID511</f>
        <v>0</v>
      </c>
      <c r="P586" s="2756">
        <f t="shared" si="397"/>
        <v>0</v>
      </c>
      <c r="S586" s="2650"/>
      <c r="T586" s="2650"/>
      <c r="U586" s="2650"/>
      <c r="V586" s="2650"/>
      <c r="W586" s="2650"/>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3" customHeight="1">
      <c r="A587" s="1536"/>
      <c r="B587" s="1536"/>
      <c r="C587" s="2650"/>
      <c r="D587" s="2650"/>
      <c r="E587" s="1409" t="s">
        <v>1978</v>
      </c>
      <c r="F587" s="358"/>
      <c r="H587" s="1409" t="s">
        <v>1341</v>
      </c>
      <c r="I587" s="361"/>
      <c r="K587" s="2750">
        <f>IE511</f>
        <v>0</v>
      </c>
      <c r="L587" s="2750">
        <f>IF511</f>
        <v>24</v>
      </c>
      <c r="M587" s="2750">
        <f>IG511</f>
        <v>84</v>
      </c>
      <c r="N587" s="2750">
        <f>IH511</f>
        <v>0</v>
      </c>
      <c r="O587" s="2750">
        <f>II511</f>
        <v>0</v>
      </c>
      <c r="P587" s="2750">
        <f t="shared" si="397"/>
        <v>108</v>
      </c>
      <c r="S587" s="2650"/>
      <c r="T587" s="2650"/>
      <c r="U587" s="2650"/>
      <c r="V587" s="2650"/>
      <c r="W587" s="2650"/>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3" customHeight="1">
      <c r="A588" s="1536"/>
      <c r="B588" s="1536"/>
      <c r="C588" s="2650"/>
      <c r="D588" s="2650"/>
      <c r="E588" s="1409"/>
      <c r="F588" s="358"/>
      <c r="H588" s="1409" t="s">
        <v>290</v>
      </c>
      <c r="I588" s="361"/>
      <c r="K588" s="2750">
        <f>IJ511</f>
        <v>0</v>
      </c>
      <c r="L588" s="2750">
        <f>IK511</f>
        <v>1</v>
      </c>
      <c r="M588" s="2750">
        <f>IL511</f>
        <v>6</v>
      </c>
      <c r="N588" s="2750">
        <f>IM511</f>
        <v>0</v>
      </c>
      <c r="O588" s="2750">
        <f>IN511</f>
        <v>0</v>
      </c>
      <c r="P588" s="2750">
        <f t="shared" si="397"/>
        <v>7</v>
      </c>
      <c r="S588" s="2650"/>
      <c r="T588" s="2650"/>
      <c r="U588" s="2650"/>
      <c r="V588" s="2650"/>
      <c r="W588" s="2650"/>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650"/>
      <c r="D589" s="2650"/>
      <c r="E589" s="1409"/>
      <c r="F589" s="358"/>
      <c r="H589" s="1536" t="s">
        <v>29</v>
      </c>
      <c r="I589" s="2604" t="s">
        <v>4805</v>
      </c>
      <c r="J589" s="2763">
        <f>IF(P529=0,0,P589/P529)</f>
        <v>1</v>
      </c>
      <c r="K589" s="2756">
        <f>SUM(K587:K588)+IO511</f>
        <v>0</v>
      </c>
      <c r="L589" s="2756">
        <f>SUM(L587:L588)+IP511</f>
        <v>25</v>
      </c>
      <c r="M589" s="2756">
        <f>SUM(M587:M588)+IQ511</f>
        <v>91</v>
      </c>
      <c r="N589" s="2756">
        <f>SUM(N587:N588)+IR511</f>
        <v>0</v>
      </c>
      <c r="O589" s="2756">
        <f>SUM(O587:O588)+IS511</f>
        <v>0</v>
      </c>
      <c r="P589" s="2756">
        <f t="shared" si="397"/>
        <v>116</v>
      </c>
      <c r="S589" s="2650"/>
      <c r="T589" s="2650"/>
      <c r="U589" s="2650"/>
      <c r="V589" s="2650"/>
      <c r="W589" s="2650"/>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3" customHeight="1">
      <c r="A590" s="1536"/>
      <c r="B590" s="1536"/>
      <c r="C590" s="2599"/>
      <c r="D590" s="358"/>
      <c r="E590" s="2599" t="s">
        <v>1335</v>
      </c>
      <c r="F590" s="2599"/>
      <c r="H590" s="1409" t="s">
        <v>1341</v>
      </c>
      <c r="I590" s="361"/>
      <c r="K590" s="2750">
        <f>IT511</f>
        <v>0</v>
      </c>
      <c r="L590" s="2750">
        <f>IU511</f>
        <v>0</v>
      </c>
      <c r="M590" s="2750">
        <f>IV511</f>
        <v>0</v>
      </c>
      <c r="N590" s="2750">
        <f>IW511</f>
        <v>0</v>
      </c>
      <c r="O590" s="2750">
        <f>IX511</f>
        <v>0</v>
      </c>
      <c r="P590" s="2750">
        <f t="shared" si="397"/>
        <v>0</v>
      </c>
      <c r="S590" s="2650"/>
      <c r="T590" s="2650"/>
      <c r="U590" s="2650"/>
      <c r="V590" s="2650"/>
      <c r="W590" s="2650"/>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3" customHeight="1">
      <c r="A591" s="1536"/>
      <c r="B591" s="1536"/>
      <c r="C591" s="2599"/>
      <c r="D591" s="358"/>
      <c r="E591" s="2599"/>
      <c r="F591" s="2599"/>
      <c r="H591" s="1409" t="s">
        <v>290</v>
      </c>
      <c r="I591" s="361"/>
      <c r="K591" s="2750">
        <f>IY511</f>
        <v>0</v>
      </c>
      <c r="L591" s="2750">
        <f>IZ511</f>
        <v>0</v>
      </c>
      <c r="M591" s="2750">
        <f>JA511</f>
        <v>0</v>
      </c>
      <c r="N591" s="2750">
        <f>JB511</f>
        <v>0</v>
      </c>
      <c r="O591" s="2750">
        <f>JC511</f>
        <v>0</v>
      </c>
      <c r="P591" s="2750">
        <f t="shared" si="397"/>
        <v>0</v>
      </c>
      <c r="S591" s="2650"/>
      <c r="T591" s="2650"/>
      <c r="U591" s="2650"/>
      <c r="V591" s="2650"/>
      <c r="W591" s="2650"/>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599"/>
      <c r="D592" s="358"/>
      <c r="E592" s="1409"/>
      <c r="F592" s="358"/>
      <c r="H592" s="1536" t="s">
        <v>29</v>
      </c>
      <c r="I592" s="2604" t="s">
        <v>4805</v>
      </c>
      <c r="J592" s="2763">
        <f>IF(P529=0,0,P592/P529)</f>
        <v>0</v>
      </c>
      <c r="K592" s="2756">
        <f>SUM(K590:K591)+JD511</f>
        <v>0</v>
      </c>
      <c r="L592" s="2756">
        <f>SUM(L590:L591)+JE511</f>
        <v>0</v>
      </c>
      <c r="M592" s="2756">
        <f>SUM(M590:M591)+JF511</f>
        <v>0</v>
      </c>
      <c r="N592" s="2756">
        <f>SUM(N590:N591)+JG511</f>
        <v>0</v>
      </c>
      <c r="O592" s="2756">
        <f>SUM(O590:O591)+JH511</f>
        <v>0</v>
      </c>
      <c r="P592" s="2756">
        <f t="shared" si="397"/>
        <v>0</v>
      </c>
      <c r="S592" s="2650"/>
      <c r="T592" s="2650"/>
      <c r="U592" s="2650"/>
      <c r="V592" s="2650"/>
      <c r="W592" s="2650"/>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599"/>
      <c r="D593" s="358"/>
      <c r="E593" s="1409" t="s">
        <v>4801</v>
      </c>
      <c r="F593" s="358"/>
      <c r="G593" s="2550"/>
      <c r="H593" s="359"/>
      <c r="K593" s="2750">
        <f>'Part V-Revenues &amp; Expenses'!K140</f>
        <v>0</v>
      </c>
      <c r="L593" s="2750">
        <f>'Part V-Revenues &amp; Expenses'!L140</f>
        <v>0</v>
      </c>
      <c r="M593" s="2750">
        <f>'Part V-Revenues &amp; Expenses'!M140</f>
        <v>0</v>
      </c>
      <c r="N593" s="2750">
        <f>'Part V-Revenues &amp; Expenses'!N140</f>
        <v>0</v>
      </c>
      <c r="O593" s="2750">
        <f>'Part V-Revenues &amp; Expenses'!O140</f>
        <v>0</v>
      </c>
      <c r="P593" s="2750">
        <f t="shared" si="397"/>
        <v>0</v>
      </c>
      <c r="S593" s="2650"/>
      <c r="T593" s="2650"/>
      <c r="U593" s="2650"/>
      <c r="V593" s="2650"/>
      <c r="W593" s="2650"/>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713" t="str">
        <f>IF(AND('Part III-A-Uses of Funds'!$T$180="Yes",'Part VIII Scoring Criteria'!$O$340&gt;0,P594&lt;1),"SHOW HISTORIC UNITS HERE &gt;&gt;&gt;&gt;","")</f>
        <v/>
      </c>
      <c r="B594" s="2713"/>
      <c r="C594" s="2713"/>
      <c r="D594" s="2713"/>
      <c r="E594" s="1409" t="s">
        <v>5113</v>
      </c>
      <c r="F594" s="358"/>
      <c r="G594" s="2550"/>
      <c r="H594" s="359"/>
      <c r="K594" s="2750">
        <f>'Part V-Revenues &amp; Expenses'!K141</f>
        <v>0</v>
      </c>
      <c r="L594" s="2750">
        <f>'Part V-Revenues &amp; Expenses'!L141</f>
        <v>0</v>
      </c>
      <c r="M594" s="2750">
        <f>'Part V-Revenues &amp; Expenses'!M141</f>
        <v>0</v>
      </c>
      <c r="N594" s="2750">
        <f>'Part V-Revenues &amp; Expenses'!N141</f>
        <v>0</v>
      </c>
      <c r="O594" s="2750">
        <f>'Part V-Revenues &amp; Expenses'!O141</f>
        <v>0</v>
      </c>
      <c r="P594" s="2750">
        <f t="shared" si="397"/>
        <v>0</v>
      </c>
      <c r="S594" s="2650"/>
      <c r="T594" s="2650"/>
      <c r="U594" s="2650"/>
      <c r="V594" s="2650"/>
      <c r="W594" s="2650"/>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764"/>
      <c r="B595" s="2764"/>
      <c r="C595" s="2764"/>
      <c r="D595" s="2764"/>
      <c r="E595" s="1409"/>
      <c r="F595" s="358"/>
      <c r="G595" s="2550"/>
      <c r="H595" s="359"/>
      <c r="K595" s="361"/>
      <c r="L595" s="361"/>
      <c r="M595" s="361"/>
      <c r="N595" s="361"/>
      <c r="O595" s="361"/>
      <c r="P595" s="361"/>
      <c r="S595" s="2650"/>
      <c r="T595" s="2650"/>
      <c r="U595" s="2650"/>
      <c r="V595" s="2650"/>
      <c r="W595" s="2650"/>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2467">
        <v>138</v>
      </c>
    </row>
    <row r="596" spans="1:416" ht="13.5" customHeight="1">
      <c r="A596" s="2764"/>
      <c r="B596" s="2764"/>
      <c r="C596" s="2764"/>
      <c r="D596" s="2764"/>
      <c r="E596" s="1409" t="s">
        <v>2926</v>
      </c>
      <c r="F596" s="358"/>
      <c r="G596" s="2550"/>
      <c r="H596" s="359"/>
      <c r="K596" s="2750">
        <f>K605+K609+K613+K615+K617+K619</f>
        <v>0</v>
      </c>
      <c r="L596" s="2750">
        <f>L605+L609+L613+L615+L617+L619</f>
        <v>6</v>
      </c>
      <c r="M596" s="2750">
        <f>M605+M609+M613+M615+M617+M619</f>
        <v>6</v>
      </c>
      <c r="N596" s="2750">
        <f>N605+N609+N613+N615+N617+N619</f>
        <v>0</v>
      </c>
      <c r="O596" s="2750">
        <f>O605+O609+O613+O615+O617+O619</f>
        <v>0</v>
      </c>
      <c r="P596" s="2750">
        <f>SUM(K596:O596)</f>
        <v>12</v>
      </c>
      <c r="S596" s="2650"/>
      <c r="T596" s="2650"/>
      <c r="U596" s="2650"/>
      <c r="V596" s="2650"/>
      <c r="W596" s="2650"/>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550"/>
      <c r="H597" s="359"/>
      <c r="K597" s="2761"/>
      <c r="L597" s="2761"/>
      <c r="M597" s="2761"/>
      <c r="N597" s="2761"/>
      <c r="O597" s="2761"/>
      <c r="P597" s="2761"/>
      <c r="U597" s="2714"/>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650" t="s">
        <v>4799</v>
      </c>
      <c r="D598" s="2650"/>
      <c r="E598" s="1409" t="s">
        <v>4747</v>
      </c>
      <c r="F598" s="358"/>
      <c r="G598" s="2550"/>
      <c r="H598" s="359"/>
      <c r="K598" s="2765">
        <f>'Part V-Revenues &amp; Expenses'!K145</f>
        <v>0</v>
      </c>
      <c r="L598" s="358" t="s">
        <v>4802</v>
      </c>
      <c r="M598" s="2550"/>
      <c r="N598" s="359"/>
      <c r="S598" s="2410"/>
      <c r="U598" s="2714"/>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650"/>
      <c r="D599" s="2650"/>
      <c r="E599" s="1409"/>
      <c r="K599" s="2765">
        <f>'Part V-Revenues &amp; Expenses'!K146</f>
        <v>0</v>
      </c>
      <c r="L599" s="2650" t="s">
        <v>4803</v>
      </c>
      <c r="M599" s="2650"/>
      <c r="N599" s="2650"/>
      <c r="O599" s="2650"/>
      <c r="P599" s="2650"/>
      <c r="S599" s="2410"/>
      <c r="U599" s="2714"/>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650"/>
      <c r="D600" s="2650"/>
      <c r="E600" s="1409"/>
      <c r="K600" s="2761"/>
      <c r="L600" s="2650"/>
      <c r="M600" s="2650"/>
      <c r="N600" s="2650"/>
      <c r="O600" s="2650"/>
      <c r="P600" s="2650"/>
      <c r="S600" s="2410"/>
      <c r="U600" s="2714"/>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766"/>
      <c r="D601" s="2766"/>
      <c r="E601" s="1409"/>
      <c r="K601" s="2761"/>
      <c r="L601" s="2766"/>
      <c r="M601" s="2766"/>
      <c r="N601" s="2766"/>
      <c r="O601" s="2766"/>
      <c r="P601" s="2766"/>
      <c r="S601" s="2410"/>
      <c r="U601" s="2714"/>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5150</v>
      </c>
      <c r="H602" s="359"/>
      <c r="L602" s="2637">
        <f>$O$58</f>
        <v>0</v>
      </c>
      <c r="M602" s="2637"/>
      <c r="N602" s="2637"/>
      <c r="O602" s="2637"/>
      <c r="P602" s="2761"/>
      <c r="S602" s="2410" t="str">
        <f>C603</f>
        <v xml:space="preserve">Building Type: (for Utility Allowance, Monitoring Fees, etc)
</v>
      </c>
      <c r="U602" s="2714"/>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650" t="s">
        <v>5151</v>
      </c>
      <c r="D603" s="2650"/>
      <c r="E603" s="1409" t="s">
        <v>36</v>
      </c>
      <c r="F603" s="358"/>
      <c r="G603" s="2550"/>
      <c r="H603" s="359"/>
      <c r="K603" s="2756">
        <f t="shared" ref="K603:P603" si="398">SUM(K604:K611)</f>
        <v>0</v>
      </c>
      <c r="L603" s="2756">
        <f t="shared" si="398"/>
        <v>25</v>
      </c>
      <c r="M603" s="2756">
        <f t="shared" si="398"/>
        <v>91</v>
      </c>
      <c r="N603" s="2756">
        <f t="shared" si="398"/>
        <v>0</v>
      </c>
      <c r="O603" s="2756">
        <f t="shared" si="398"/>
        <v>0</v>
      </c>
      <c r="P603" s="2756">
        <f t="shared" si="398"/>
        <v>116</v>
      </c>
      <c r="S603" s="2650"/>
      <c r="T603" s="2650"/>
      <c r="U603" s="2650"/>
      <c r="V603" s="2650"/>
      <c r="W603" s="2650"/>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650"/>
      <c r="D604" s="2650"/>
      <c r="E604" s="1409"/>
      <c r="F604" s="358"/>
      <c r="H604" s="2767" t="s">
        <v>4185</v>
      </c>
      <c r="I604" s="1769"/>
      <c r="K604" s="2750">
        <f>LB511</f>
        <v>0</v>
      </c>
      <c r="L604" s="2750">
        <f>LC511</f>
        <v>0</v>
      </c>
      <c r="M604" s="2750">
        <f>LD511</f>
        <v>0</v>
      </c>
      <c r="N604" s="2750">
        <f>LE511</f>
        <v>0</v>
      </c>
      <c r="O604" s="2750">
        <f>LF511</f>
        <v>0</v>
      </c>
      <c r="P604" s="2750">
        <f t="shared" ref="P604:P619" si="399">SUM(K604:O604)</f>
        <v>0</v>
      </c>
      <c r="S604" s="2650"/>
      <c r="T604" s="2650"/>
      <c r="U604" s="2650"/>
      <c r="V604" s="2650"/>
      <c r="W604" s="2650"/>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650"/>
      <c r="D605" s="2650"/>
      <c r="E605" s="1409"/>
      <c r="F605" s="358"/>
      <c r="H605" s="2768" t="s">
        <v>2926</v>
      </c>
      <c r="I605" s="2769"/>
      <c r="K605" s="2755">
        <f>LL511</f>
        <v>0</v>
      </c>
      <c r="L605" s="2755">
        <f>LM511</f>
        <v>6</v>
      </c>
      <c r="M605" s="2755">
        <f>LN511</f>
        <v>6</v>
      </c>
      <c r="N605" s="2755">
        <f>LO511</f>
        <v>0</v>
      </c>
      <c r="O605" s="2755">
        <f>LP511</f>
        <v>0</v>
      </c>
      <c r="P605" s="2755">
        <f t="shared" si="399"/>
        <v>12</v>
      </c>
      <c r="S605" s="2650"/>
      <c r="T605" s="2650"/>
      <c r="U605" s="2650"/>
      <c r="V605" s="2650"/>
      <c r="W605" s="2650"/>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650"/>
      <c r="D606" s="2650"/>
      <c r="E606" s="1409"/>
      <c r="F606" s="358"/>
      <c r="H606" s="2767" t="s">
        <v>4372</v>
      </c>
      <c r="I606" s="1769"/>
      <c r="K606" s="2750">
        <f>LG511</f>
        <v>0</v>
      </c>
      <c r="L606" s="2750">
        <f>LH511</f>
        <v>19</v>
      </c>
      <c r="M606" s="2750">
        <f>LI511</f>
        <v>85</v>
      </c>
      <c r="N606" s="2750">
        <f>LJ511</f>
        <v>0</v>
      </c>
      <c r="O606" s="2750">
        <f>LK511</f>
        <v>0</v>
      </c>
      <c r="P606" s="2750">
        <f t="shared" si="399"/>
        <v>104</v>
      </c>
      <c r="S606" s="2650"/>
      <c r="T606" s="2650"/>
      <c r="U606" s="2650"/>
      <c r="V606" s="2650"/>
      <c r="W606" s="2650"/>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2467">
        <v>149</v>
      </c>
    </row>
    <row r="607" spans="1:416" ht="14.25" customHeight="1">
      <c r="C607" s="2650"/>
      <c r="D607" s="2650"/>
      <c r="E607" s="1409"/>
      <c r="F607" s="358"/>
      <c r="H607" s="2768" t="s">
        <v>2926</v>
      </c>
      <c r="I607" s="2769"/>
      <c r="K607" s="2755">
        <f>LQ511</f>
        <v>0</v>
      </c>
      <c r="L607" s="2755">
        <f>LR511</f>
        <v>0</v>
      </c>
      <c r="M607" s="2755">
        <f>LS511</f>
        <v>0</v>
      </c>
      <c r="N607" s="2755">
        <f>LT511</f>
        <v>0</v>
      </c>
      <c r="O607" s="2755">
        <f>LU511</f>
        <v>0</v>
      </c>
      <c r="P607" s="2755">
        <f t="shared" si="399"/>
        <v>0</v>
      </c>
      <c r="S607" s="2650"/>
      <c r="T607" s="2650"/>
      <c r="U607" s="2650"/>
      <c r="V607" s="2650"/>
      <c r="W607" s="2650"/>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650"/>
      <c r="D608" s="2650"/>
      <c r="E608" s="1409"/>
      <c r="F608" s="358"/>
      <c r="H608" s="2767" t="s">
        <v>4187</v>
      </c>
      <c r="I608" s="1769"/>
      <c r="K608" s="2750">
        <f>LV511</f>
        <v>0</v>
      </c>
      <c r="L608" s="2750">
        <f>LW511</f>
        <v>0</v>
      </c>
      <c r="M608" s="2750">
        <f>LX511</f>
        <v>0</v>
      </c>
      <c r="N608" s="2750">
        <f>LY511</f>
        <v>0</v>
      </c>
      <c r="O608" s="2750">
        <f>LZ511</f>
        <v>0</v>
      </c>
      <c r="P608" s="2750">
        <f t="shared" si="399"/>
        <v>0</v>
      </c>
      <c r="S608" s="2650"/>
      <c r="T608" s="2650"/>
      <c r="U608" s="2650"/>
      <c r="V608" s="2650"/>
      <c r="W608" s="2650"/>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650"/>
      <c r="D609" s="2650"/>
      <c r="E609" s="1409"/>
      <c r="F609" s="358"/>
      <c r="H609" s="2768" t="s">
        <v>2926</v>
      </c>
      <c r="I609" s="2769"/>
      <c r="K609" s="2755">
        <f>MF511</f>
        <v>0</v>
      </c>
      <c r="L609" s="2755">
        <f>MG511</f>
        <v>0</v>
      </c>
      <c r="M609" s="2755">
        <f>MH511</f>
        <v>0</v>
      </c>
      <c r="N609" s="2755">
        <f>MI511</f>
        <v>0</v>
      </c>
      <c r="O609" s="2755">
        <f>MJ511</f>
        <v>0</v>
      </c>
      <c r="P609" s="2755">
        <f t="shared" si="399"/>
        <v>0</v>
      </c>
      <c r="S609" s="2650"/>
      <c r="T609" s="2650"/>
      <c r="U609" s="2650"/>
      <c r="V609" s="2650"/>
      <c r="W609" s="2650"/>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650"/>
      <c r="D610" s="2650"/>
      <c r="E610" s="1409"/>
      <c r="F610" s="358"/>
      <c r="H610" s="2767" t="s">
        <v>4379</v>
      </c>
      <c r="I610" s="1769"/>
      <c r="K610" s="2750">
        <f>MA511</f>
        <v>0</v>
      </c>
      <c r="L610" s="2750">
        <f>MB511</f>
        <v>0</v>
      </c>
      <c r="M610" s="2750">
        <f>MC511</f>
        <v>0</v>
      </c>
      <c r="N610" s="2750">
        <f>MD511</f>
        <v>0</v>
      </c>
      <c r="O610" s="2750">
        <f>ME511</f>
        <v>0</v>
      </c>
      <c r="P610" s="2750">
        <f t="shared" si="399"/>
        <v>0</v>
      </c>
      <c r="S610" s="2650"/>
      <c r="T610" s="2650"/>
      <c r="U610" s="2650"/>
      <c r="V610" s="2650"/>
      <c r="W610" s="2650"/>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650"/>
      <c r="D611" s="2650"/>
      <c r="E611" s="1409"/>
      <c r="F611" s="358"/>
      <c r="H611" s="2768" t="s">
        <v>2926</v>
      </c>
      <c r="I611" s="2769"/>
      <c r="K611" s="2755">
        <f>MK511</f>
        <v>0</v>
      </c>
      <c r="L611" s="2755">
        <f>ML511</f>
        <v>0</v>
      </c>
      <c r="M611" s="2755">
        <f>MM511</f>
        <v>0</v>
      </c>
      <c r="N611" s="2755">
        <f>MN511</f>
        <v>0</v>
      </c>
      <c r="O611" s="2755">
        <f>MO511</f>
        <v>0</v>
      </c>
      <c r="P611" s="2755">
        <f t="shared" si="399"/>
        <v>0</v>
      </c>
      <c r="S611" s="2650"/>
      <c r="T611" s="2650"/>
      <c r="U611" s="2650"/>
      <c r="V611" s="2650"/>
      <c r="W611" s="2650"/>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766"/>
      <c r="D612" s="2766"/>
      <c r="E612" s="1409" t="s">
        <v>4374</v>
      </c>
      <c r="F612" s="358"/>
      <c r="H612" s="2767"/>
      <c r="I612" s="1769"/>
      <c r="K612" s="2750">
        <f>JN511</f>
        <v>0</v>
      </c>
      <c r="L612" s="2750">
        <f>JO511</f>
        <v>0</v>
      </c>
      <c r="M612" s="2750">
        <f>JP511</f>
        <v>0</v>
      </c>
      <c r="N612" s="2750">
        <f>JQ511</f>
        <v>0</v>
      </c>
      <c r="O612" s="2750">
        <f>JR511</f>
        <v>0</v>
      </c>
      <c r="P612" s="2756">
        <f t="shared" si="399"/>
        <v>0</v>
      </c>
      <c r="S612" s="2650"/>
      <c r="T612" s="2650"/>
      <c r="U612" s="2650"/>
      <c r="V612" s="2650"/>
      <c r="W612" s="2650"/>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766"/>
      <c r="D613" s="2766"/>
      <c r="E613" s="1409"/>
      <c r="F613" s="358"/>
      <c r="H613" s="2768" t="s">
        <v>2926</v>
      </c>
      <c r="I613" s="2769"/>
      <c r="K613" s="2755">
        <f>JS511</f>
        <v>0</v>
      </c>
      <c r="L613" s="2755">
        <f>JT511</f>
        <v>0</v>
      </c>
      <c r="M613" s="2755">
        <f>JU511</f>
        <v>0</v>
      </c>
      <c r="N613" s="2755">
        <f>JV511</f>
        <v>0</v>
      </c>
      <c r="O613" s="2755">
        <f>JW511</f>
        <v>0</v>
      </c>
      <c r="P613" s="2770">
        <f t="shared" si="399"/>
        <v>0</v>
      </c>
      <c r="S613" s="2650"/>
      <c r="T613" s="2650"/>
      <c r="U613" s="2650"/>
      <c r="V613" s="2650"/>
      <c r="W613" s="2650"/>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766"/>
      <c r="D614" s="2766"/>
      <c r="E614" s="1409" t="s">
        <v>4375</v>
      </c>
      <c r="F614" s="358"/>
      <c r="H614" s="2767"/>
      <c r="I614" s="1769"/>
      <c r="K614" s="2750">
        <f>KR511</f>
        <v>0</v>
      </c>
      <c r="L614" s="2750">
        <f>KS511</f>
        <v>0</v>
      </c>
      <c r="M614" s="2750">
        <f>KT511</f>
        <v>0</v>
      </c>
      <c r="N614" s="2750">
        <f>KU511</f>
        <v>0</v>
      </c>
      <c r="O614" s="2750">
        <f>KV511</f>
        <v>0</v>
      </c>
      <c r="P614" s="2756">
        <f t="shared" si="399"/>
        <v>0</v>
      </c>
      <c r="S614" s="2650"/>
      <c r="T614" s="2650"/>
      <c r="U614" s="2650"/>
      <c r="V614" s="2650"/>
      <c r="W614" s="2650"/>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766"/>
      <c r="D615" s="2766"/>
      <c r="E615" s="1409"/>
      <c r="F615" s="358"/>
      <c r="H615" s="2768" t="s">
        <v>2926</v>
      </c>
      <c r="I615" s="2769"/>
      <c r="K615" s="2755">
        <f>KW511</f>
        <v>0</v>
      </c>
      <c r="L615" s="2755">
        <f>KX511</f>
        <v>0</v>
      </c>
      <c r="M615" s="2755">
        <f>KY511</f>
        <v>0</v>
      </c>
      <c r="N615" s="2755">
        <f>KZ511</f>
        <v>0</v>
      </c>
      <c r="O615" s="2755">
        <f>LA511</f>
        <v>0</v>
      </c>
      <c r="P615" s="2770">
        <f t="shared" si="399"/>
        <v>0</v>
      </c>
      <c r="S615" s="2650"/>
      <c r="T615" s="2650"/>
      <c r="U615" s="2650"/>
      <c r="V615" s="2650"/>
      <c r="W615" s="2650"/>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766"/>
      <c r="D616" s="2766"/>
      <c r="E616" s="1409" t="s">
        <v>4181</v>
      </c>
      <c r="F616" s="358"/>
      <c r="H616" s="2767"/>
      <c r="I616" s="1769"/>
      <c r="K616" s="2750">
        <f>KH511</f>
        <v>0</v>
      </c>
      <c r="L616" s="2750">
        <f>KI511</f>
        <v>0</v>
      </c>
      <c r="M616" s="2750">
        <f>KJ511</f>
        <v>0</v>
      </c>
      <c r="N616" s="2750">
        <f>KK511</f>
        <v>0</v>
      </c>
      <c r="O616" s="2750">
        <f>KL511</f>
        <v>0</v>
      </c>
      <c r="P616" s="2756">
        <f t="shared" si="399"/>
        <v>0</v>
      </c>
      <c r="S616" s="2650"/>
      <c r="T616" s="2650"/>
      <c r="U616" s="2650"/>
      <c r="V616" s="2650"/>
      <c r="W616" s="2650"/>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766"/>
      <c r="D617" s="2766"/>
      <c r="E617" s="1409"/>
      <c r="F617" s="358"/>
      <c r="H617" s="2768" t="s">
        <v>2926</v>
      </c>
      <c r="I617" s="2769"/>
      <c r="K617" s="2755">
        <f>KM511</f>
        <v>0</v>
      </c>
      <c r="L617" s="2755">
        <f>KN511</f>
        <v>0</v>
      </c>
      <c r="M617" s="2755">
        <f>KO511</f>
        <v>0</v>
      </c>
      <c r="N617" s="2755">
        <f>KP511</f>
        <v>0</v>
      </c>
      <c r="O617" s="2755">
        <f>KQ511</f>
        <v>0</v>
      </c>
      <c r="P617" s="2770">
        <f t="shared" si="399"/>
        <v>0</v>
      </c>
      <c r="S617" s="2650"/>
      <c r="T617" s="2650"/>
      <c r="U617" s="2650"/>
      <c r="V617" s="2650"/>
      <c r="W617" s="2650"/>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766"/>
      <c r="D618" s="2766"/>
      <c r="E618" s="359" t="s">
        <v>524</v>
      </c>
      <c r="F618" s="358"/>
      <c r="H618" s="2767"/>
      <c r="I618" s="1769"/>
      <c r="K618" s="2750">
        <f>JX511</f>
        <v>0</v>
      </c>
      <c r="L618" s="2750">
        <f>JY511</f>
        <v>0</v>
      </c>
      <c r="M618" s="2750">
        <f>JZ511</f>
        <v>0</v>
      </c>
      <c r="N618" s="2750">
        <f>KA511</f>
        <v>0</v>
      </c>
      <c r="O618" s="2750">
        <f>KB511</f>
        <v>0</v>
      </c>
      <c r="P618" s="2756">
        <f t="shared" si="399"/>
        <v>0</v>
      </c>
      <c r="S618" s="2650"/>
      <c r="T618" s="2650"/>
      <c r="U618" s="2650"/>
      <c r="V618" s="2650"/>
      <c r="W618" s="2650"/>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650"/>
      <c r="D619" s="2650"/>
      <c r="E619" s="359"/>
      <c r="F619" s="358"/>
      <c r="H619" s="2768" t="s">
        <v>2926</v>
      </c>
      <c r="I619" s="2769"/>
      <c r="K619" s="2755">
        <f>KC511</f>
        <v>0</v>
      </c>
      <c r="L619" s="2755">
        <f>KD511</f>
        <v>0</v>
      </c>
      <c r="M619" s="2755">
        <f>KE511</f>
        <v>0</v>
      </c>
      <c r="N619" s="2755">
        <f>KF511</f>
        <v>0</v>
      </c>
      <c r="O619" s="2755">
        <f>KG511</f>
        <v>0</v>
      </c>
      <c r="P619" s="2770">
        <f t="shared" si="399"/>
        <v>0</v>
      </c>
      <c r="S619" s="2650"/>
      <c r="T619" s="2650"/>
      <c r="U619" s="2650"/>
      <c r="V619" s="2650"/>
      <c r="W619" s="2650"/>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709"/>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650" t="s">
        <v>5152</v>
      </c>
      <c r="D622" s="2650"/>
      <c r="E622" s="1409" t="s">
        <v>2921</v>
      </c>
      <c r="F622" s="2550"/>
      <c r="H622" s="2767"/>
      <c r="I622" s="1769"/>
      <c r="K622" s="2750">
        <f t="shared" ref="K622:O623" si="400">K612+K616+K618</f>
        <v>0</v>
      </c>
      <c r="L622" s="2750">
        <f t="shared" si="400"/>
        <v>0</v>
      </c>
      <c r="M622" s="2750">
        <f t="shared" si="400"/>
        <v>0</v>
      </c>
      <c r="N622" s="2750">
        <f t="shared" si="400"/>
        <v>0</v>
      </c>
      <c r="O622" s="2750">
        <f t="shared" si="400"/>
        <v>0</v>
      </c>
      <c r="P622" s="2756">
        <f t="shared" ref="P622:P629" si="401">SUM(K622:O622)</f>
        <v>0</v>
      </c>
      <c r="S622" s="2650"/>
      <c r="T622" s="2650"/>
      <c r="U622" s="2650"/>
      <c r="V622" s="2650"/>
      <c r="W622" s="2650"/>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650"/>
      <c r="D623" s="2650"/>
      <c r="E623" s="1409"/>
      <c r="F623" s="2550"/>
      <c r="H623" s="2768" t="s">
        <v>2926</v>
      </c>
      <c r="I623" s="2769"/>
      <c r="K623" s="2755">
        <f t="shared" si="400"/>
        <v>0</v>
      </c>
      <c r="L623" s="2755">
        <f t="shared" si="400"/>
        <v>0</v>
      </c>
      <c r="M623" s="2755">
        <f t="shared" si="400"/>
        <v>0</v>
      </c>
      <c r="N623" s="2755">
        <f t="shared" si="400"/>
        <v>0</v>
      </c>
      <c r="O623" s="2755">
        <f t="shared" si="400"/>
        <v>0</v>
      </c>
      <c r="P623" s="2770">
        <f t="shared" si="401"/>
        <v>0</v>
      </c>
      <c r="S623" s="2650"/>
      <c r="T623" s="2650"/>
      <c r="U623" s="2650"/>
      <c r="V623" s="2650"/>
      <c r="W623" s="2650"/>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2467">
        <v>166</v>
      </c>
    </row>
    <row r="624" spans="1:416" ht="14.25" customHeight="1">
      <c r="C624" s="2650"/>
      <c r="D624" s="2650"/>
      <c r="E624" s="1409" t="s">
        <v>2922</v>
      </c>
      <c r="F624" s="2550"/>
      <c r="H624" s="2410"/>
      <c r="I624" s="2550"/>
      <c r="K624" s="2750">
        <f t="shared" ref="K624:O625" si="402">K614</f>
        <v>0</v>
      </c>
      <c r="L624" s="2750">
        <f t="shared" si="402"/>
        <v>0</v>
      </c>
      <c r="M624" s="2750">
        <f t="shared" si="402"/>
        <v>0</v>
      </c>
      <c r="N624" s="2750">
        <f t="shared" si="402"/>
        <v>0</v>
      </c>
      <c r="O624" s="2750">
        <f t="shared" si="402"/>
        <v>0</v>
      </c>
      <c r="P624" s="2756">
        <f t="shared" si="401"/>
        <v>0</v>
      </c>
      <c r="S624" s="2650"/>
      <c r="T624" s="2650"/>
      <c r="U624" s="2650"/>
      <c r="V624" s="2650"/>
      <c r="W624" s="2650"/>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650"/>
      <c r="D625" s="2650"/>
      <c r="E625" s="1409"/>
      <c r="F625" s="2550"/>
      <c r="H625" s="2768" t="s">
        <v>2926</v>
      </c>
      <c r="I625" s="2769"/>
      <c r="K625" s="2755">
        <f t="shared" si="402"/>
        <v>0</v>
      </c>
      <c r="L625" s="2755">
        <f t="shared" si="402"/>
        <v>0</v>
      </c>
      <c r="M625" s="2755">
        <f t="shared" si="402"/>
        <v>0</v>
      </c>
      <c r="N625" s="2755">
        <f t="shared" si="402"/>
        <v>0</v>
      </c>
      <c r="O625" s="2755">
        <f t="shared" si="402"/>
        <v>0</v>
      </c>
      <c r="P625" s="2770">
        <f t="shared" si="401"/>
        <v>0</v>
      </c>
      <c r="S625" s="2650"/>
      <c r="T625" s="2650"/>
      <c r="U625" s="2650"/>
      <c r="V625" s="2650"/>
      <c r="W625" s="2650"/>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650"/>
      <c r="D626" s="2650"/>
      <c r="E626" s="1409" t="s">
        <v>2923</v>
      </c>
      <c r="F626" s="2550"/>
      <c r="H626" s="2767"/>
      <c r="I626" s="1769"/>
      <c r="K626" s="2750">
        <f t="shared" ref="K626:O629" si="403">K604+K608</f>
        <v>0</v>
      </c>
      <c r="L626" s="2750">
        <f t="shared" si="403"/>
        <v>0</v>
      </c>
      <c r="M626" s="2750">
        <f t="shared" si="403"/>
        <v>0</v>
      </c>
      <c r="N626" s="2750">
        <f t="shared" si="403"/>
        <v>0</v>
      </c>
      <c r="O626" s="2750">
        <f t="shared" si="403"/>
        <v>0</v>
      </c>
      <c r="P626" s="2756">
        <f t="shared" si="401"/>
        <v>0</v>
      </c>
      <c r="S626" s="2650"/>
      <c r="T626" s="2650"/>
      <c r="U626" s="2650"/>
      <c r="V626" s="2650"/>
      <c r="W626" s="2650"/>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650"/>
      <c r="D627" s="2650"/>
      <c r="E627" s="1409"/>
      <c r="F627" s="2550"/>
      <c r="H627" s="2768" t="s">
        <v>2926</v>
      </c>
      <c r="I627" s="2769"/>
      <c r="K627" s="2755">
        <f t="shared" si="403"/>
        <v>0</v>
      </c>
      <c r="L627" s="2755">
        <f t="shared" si="403"/>
        <v>6</v>
      </c>
      <c r="M627" s="2755">
        <f t="shared" si="403"/>
        <v>6</v>
      </c>
      <c r="N627" s="2755">
        <f t="shared" si="403"/>
        <v>0</v>
      </c>
      <c r="O627" s="2755">
        <f t="shared" si="403"/>
        <v>0</v>
      </c>
      <c r="P627" s="2770">
        <f t="shared" si="401"/>
        <v>12</v>
      </c>
      <c r="S627" s="2650"/>
      <c r="T627" s="2650"/>
      <c r="U627" s="2650"/>
      <c r="V627" s="2650"/>
      <c r="W627" s="2650"/>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650"/>
      <c r="D628" s="2650"/>
      <c r="E628" s="1409" t="s">
        <v>2924</v>
      </c>
      <c r="F628" s="2550"/>
      <c r="H628" s="2767"/>
      <c r="I628" s="1769"/>
      <c r="K628" s="2750">
        <f t="shared" si="403"/>
        <v>0</v>
      </c>
      <c r="L628" s="2750">
        <f t="shared" si="403"/>
        <v>19</v>
      </c>
      <c r="M628" s="2750">
        <f t="shared" si="403"/>
        <v>85</v>
      </c>
      <c r="N628" s="2750">
        <f t="shared" si="403"/>
        <v>0</v>
      </c>
      <c r="O628" s="2750">
        <f t="shared" si="403"/>
        <v>0</v>
      </c>
      <c r="P628" s="2756">
        <f t="shared" si="401"/>
        <v>104</v>
      </c>
      <c r="S628" s="2650"/>
      <c r="T628" s="2650"/>
      <c r="U628" s="2650"/>
      <c r="V628" s="2650"/>
      <c r="W628" s="2650"/>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550"/>
      <c r="H629" s="2768" t="s">
        <v>2926</v>
      </c>
      <c r="I629" s="2769"/>
      <c r="K629" s="2755">
        <f t="shared" si="403"/>
        <v>0</v>
      </c>
      <c r="L629" s="2755">
        <f t="shared" si="403"/>
        <v>0</v>
      </c>
      <c r="M629" s="2755">
        <f t="shared" si="403"/>
        <v>0</v>
      </c>
      <c r="N629" s="2755">
        <f t="shared" si="403"/>
        <v>0</v>
      </c>
      <c r="O629" s="2755">
        <f t="shared" si="403"/>
        <v>0</v>
      </c>
      <c r="P629" s="2770">
        <f t="shared" si="401"/>
        <v>0</v>
      </c>
      <c r="Q629" s="356" t="s">
        <v>5153</v>
      </c>
      <c r="S629" s="2650"/>
      <c r="T629" s="2650"/>
      <c r="U629" s="2650"/>
      <c r="V629" s="2650"/>
      <c r="W629" s="2650"/>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761"/>
      <c r="L630" s="2761"/>
      <c r="M630" s="2761"/>
      <c r="N630" s="2761"/>
      <c r="O630" s="2761"/>
      <c r="P630" s="2761"/>
      <c r="S630" s="377"/>
      <c r="U630" s="2714"/>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4388</v>
      </c>
      <c r="C631" s="358"/>
      <c r="D631" s="358"/>
      <c r="E631" s="358"/>
      <c r="F631" s="358"/>
      <c r="H631" s="1769"/>
      <c r="I631" s="1769"/>
      <c r="K631" s="2771"/>
      <c r="L631" s="2771"/>
      <c r="M631" s="2771"/>
      <c r="N631" s="2771"/>
      <c r="O631" s="2771"/>
      <c r="P631" s="2771"/>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3556</v>
      </c>
      <c r="I632" s="790"/>
      <c r="K632" s="2762">
        <f>FR511</f>
        <v>0</v>
      </c>
      <c r="L632" s="2762">
        <f>FS511</f>
        <v>0</v>
      </c>
      <c r="M632" s="2762">
        <f>FT511</f>
        <v>0</v>
      </c>
      <c r="N632" s="2762">
        <f>FU511</f>
        <v>0</v>
      </c>
      <c r="O632" s="2762">
        <f>FV511</f>
        <v>0</v>
      </c>
      <c r="P632" s="2772">
        <f t="shared" ref="P632:P638" si="404">SUM(K632:O632)</f>
        <v>0</v>
      </c>
      <c r="Q632" s="2760" t="str">
        <f t="shared" ref="Q632:Q638" si="405">IF(OR(P518=0,P518=""),"",P632/P518)</f>
        <v/>
      </c>
      <c r="S632" s="2650"/>
      <c r="T632" s="2650"/>
      <c r="U632" s="2650"/>
      <c r="V632" s="2650"/>
      <c r="W632" s="2650"/>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767" t="s">
        <v>3557</v>
      </c>
      <c r="I633" s="1769"/>
      <c r="K633" s="2772">
        <f>FW511</f>
        <v>0</v>
      </c>
      <c r="L633" s="2772">
        <f>FX511</f>
        <v>0</v>
      </c>
      <c r="M633" s="2772">
        <f>FY511</f>
        <v>0</v>
      </c>
      <c r="N633" s="2772">
        <f>FZ511</f>
        <v>0</v>
      </c>
      <c r="O633" s="2772">
        <f>GA511</f>
        <v>0</v>
      </c>
      <c r="P633" s="2772">
        <f t="shared" si="404"/>
        <v>0</v>
      </c>
      <c r="Q633" s="2760" t="str">
        <f t="shared" si="405"/>
        <v/>
      </c>
      <c r="S633" s="2650"/>
      <c r="T633" s="2650"/>
      <c r="U633" s="2650"/>
      <c r="V633" s="2650"/>
      <c r="W633" s="2650"/>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767" t="s">
        <v>1080</v>
      </c>
      <c r="I634" s="1769"/>
      <c r="K634" s="2772">
        <f>GB511</f>
        <v>0</v>
      </c>
      <c r="L634" s="2772">
        <f>GC511</f>
        <v>11700</v>
      </c>
      <c r="M634" s="2772">
        <f>GD511</f>
        <v>66340</v>
      </c>
      <c r="N634" s="2772">
        <f>GE511</f>
        <v>0</v>
      </c>
      <c r="O634" s="2772">
        <f>GF511</f>
        <v>0</v>
      </c>
      <c r="P634" s="2772">
        <f t="shared" si="404"/>
        <v>78040</v>
      </c>
      <c r="Q634" s="2760">
        <f t="shared" si="405"/>
        <v>839.13978494623655</v>
      </c>
      <c r="S634" s="2650"/>
      <c r="T634" s="2650"/>
      <c r="U634" s="2650"/>
      <c r="V634" s="2650"/>
      <c r="W634" s="2650"/>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2467">
        <v>177</v>
      </c>
    </row>
    <row r="635" spans="1:416" ht="14.25" customHeight="1">
      <c r="C635" s="358"/>
      <c r="D635" s="358"/>
      <c r="E635" s="358"/>
      <c r="F635" s="358"/>
      <c r="H635" s="2767" t="s">
        <v>112</v>
      </c>
      <c r="I635" s="1769"/>
      <c r="K635" s="2772">
        <f>GG511</f>
        <v>0</v>
      </c>
      <c r="L635" s="2772">
        <f>GH511</f>
        <v>1300</v>
      </c>
      <c r="M635" s="2772">
        <f>GI511</f>
        <v>4484</v>
      </c>
      <c r="N635" s="2772">
        <f>GJ511</f>
        <v>0</v>
      </c>
      <c r="O635" s="2772">
        <f>GK511</f>
        <v>0</v>
      </c>
      <c r="P635" s="2772">
        <f t="shared" si="404"/>
        <v>5784</v>
      </c>
      <c r="Q635" s="2760">
        <f t="shared" si="405"/>
        <v>826.28571428571433</v>
      </c>
      <c r="S635" s="2650"/>
      <c r="T635" s="2650"/>
      <c r="U635" s="2650"/>
      <c r="V635" s="2650"/>
      <c r="W635" s="2650"/>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767" t="s">
        <v>3558</v>
      </c>
      <c r="I636" s="1769"/>
      <c r="K636" s="2772">
        <f>GL511</f>
        <v>0</v>
      </c>
      <c r="L636" s="2772">
        <f>GM511</f>
        <v>0</v>
      </c>
      <c r="M636" s="2772">
        <f>GN511</f>
        <v>0</v>
      </c>
      <c r="N636" s="2772">
        <f>GO511</f>
        <v>0</v>
      </c>
      <c r="O636" s="2772">
        <f>GP511</f>
        <v>0</v>
      </c>
      <c r="P636" s="2772">
        <f t="shared" si="404"/>
        <v>0</v>
      </c>
      <c r="Q636" s="2760" t="str">
        <f t="shared" si="405"/>
        <v/>
      </c>
      <c r="S636" s="2650"/>
      <c r="T636" s="2650"/>
      <c r="U636" s="2650"/>
      <c r="V636" s="2650"/>
      <c r="W636" s="2650"/>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767" t="s">
        <v>3559</v>
      </c>
      <c r="I637" s="1769"/>
      <c r="K637" s="2772">
        <f>GQ511</f>
        <v>0</v>
      </c>
      <c r="L637" s="2772">
        <f>GR511</f>
        <v>2600</v>
      </c>
      <c r="M637" s="2772">
        <f>GS511</f>
        <v>3624</v>
      </c>
      <c r="N637" s="2772">
        <f>GT511</f>
        <v>0</v>
      </c>
      <c r="O637" s="2772">
        <f>GU511</f>
        <v>0</v>
      </c>
      <c r="P637" s="2772">
        <f t="shared" si="404"/>
        <v>6224</v>
      </c>
      <c r="Q637" s="2760">
        <f t="shared" si="405"/>
        <v>778</v>
      </c>
      <c r="S637" s="2650"/>
      <c r="T637" s="2650"/>
      <c r="U637" s="2650"/>
      <c r="V637" s="2650"/>
      <c r="W637" s="2650"/>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3560</v>
      </c>
      <c r="I638" s="790"/>
      <c r="K638" s="2762">
        <f>GV511</f>
        <v>0</v>
      </c>
      <c r="L638" s="2762">
        <f>GW511</f>
        <v>0</v>
      </c>
      <c r="M638" s="2762">
        <f>GX511</f>
        <v>0</v>
      </c>
      <c r="N638" s="2762">
        <f>GY511</f>
        <v>0</v>
      </c>
      <c r="O638" s="2762">
        <f>GZ511</f>
        <v>0</v>
      </c>
      <c r="P638" s="2772">
        <f t="shared" si="404"/>
        <v>0</v>
      </c>
      <c r="Q638" s="2760" t="str">
        <f t="shared" si="405"/>
        <v/>
      </c>
      <c r="S638" s="2650"/>
      <c r="T638" s="2650"/>
      <c r="U638" s="2650"/>
      <c r="V638" s="2650"/>
      <c r="W638" s="2650"/>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768" t="s">
        <v>3641</v>
      </c>
      <c r="I639" s="2769"/>
      <c r="J639" s="2752"/>
      <c r="K639" s="2773">
        <f>SUM(K632:K638)</f>
        <v>0</v>
      </c>
      <c r="L639" s="2773">
        <f>SUM(L632:L638)</f>
        <v>15600</v>
      </c>
      <c r="M639" s="2773">
        <f>SUM(M632:M638)</f>
        <v>74448</v>
      </c>
      <c r="N639" s="2773">
        <f>SUM(N632:N638)</f>
        <v>0</v>
      </c>
      <c r="O639" s="2773">
        <f>SUM(O632:O638)</f>
        <v>0</v>
      </c>
      <c r="P639" s="2773">
        <f>SUM(K639:O639)</f>
        <v>90048</v>
      </c>
      <c r="S639" s="2650"/>
      <c r="T639" s="2650"/>
      <c r="U639" s="2650"/>
      <c r="V639" s="2650"/>
      <c r="W639" s="2650"/>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772">
        <f>HA511</f>
        <v>0</v>
      </c>
      <c r="L640" s="2772">
        <f>HB511</f>
        <v>650</v>
      </c>
      <c r="M640" s="2772">
        <f>HC511</f>
        <v>5436</v>
      </c>
      <c r="N640" s="2772">
        <f>HD511</f>
        <v>0</v>
      </c>
      <c r="O640" s="2772">
        <f>HE511</f>
        <v>0</v>
      </c>
      <c r="P640" s="2772">
        <f>SUM(K640:O640)</f>
        <v>6086</v>
      </c>
      <c r="Q640" s="2760">
        <f>IF(OR(P526=0,P526=""),"",P640/P526)</f>
        <v>869.42857142857144</v>
      </c>
      <c r="S640" s="2650"/>
      <c r="T640" s="2650"/>
      <c r="U640" s="2650"/>
      <c r="V640" s="2650"/>
      <c r="W640" s="2650"/>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774" t="s">
        <v>1069</v>
      </c>
      <c r="D641" s="2751"/>
      <c r="E641" s="2751"/>
      <c r="F641" s="2751"/>
      <c r="G641" s="2751"/>
      <c r="H641" s="2752"/>
      <c r="I641" s="2752"/>
      <c r="J641" s="2752"/>
      <c r="K641" s="2775">
        <f>SUM(K639:K640)</f>
        <v>0</v>
      </c>
      <c r="L641" s="2775">
        <f>SUM(L639:L640)</f>
        <v>16250</v>
      </c>
      <c r="M641" s="2775">
        <f>SUM(M639:M640)</f>
        <v>79884</v>
      </c>
      <c r="N641" s="2775">
        <f>SUM(N639:N640)</f>
        <v>0</v>
      </c>
      <c r="O641" s="2775">
        <f>SUM(O639:O640)</f>
        <v>0</v>
      </c>
      <c r="P641" s="2775">
        <f>SUM(K641:O641)</f>
        <v>96134</v>
      </c>
      <c r="S641" s="2650"/>
      <c r="T641" s="2650"/>
      <c r="U641" s="2650"/>
      <c r="V641" s="2650"/>
      <c r="W641" s="2650"/>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2772">
        <f>HK511</f>
        <v>0</v>
      </c>
      <c r="L642" s="2772">
        <f>HL511</f>
        <v>0</v>
      </c>
      <c r="M642" s="2772">
        <f>HM511</f>
        <v>952</v>
      </c>
      <c r="N642" s="2772">
        <f>HN511</f>
        <v>0</v>
      </c>
      <c r="O642" s="2772">
        <f>HO511</f>
        <v>0</v>
      </c>
      <c r="P642" s="2772">
        <f>SUM(K642:O642)</f>
        <v>952</v>
      </c>
      <c r="Q642" s="2760">
        <f>IF(OR(P528=0,P528=""),"",P642/P528)</f>
        <v>952</v>
      </c>
      <c r="S642" s="2650"/>
      <c r="T642" s="2650"/>
      <c r="U642" s="2650"/>
      <c r="V642" s="2650"/>
      <c r="W642" s="2650"/>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776">
        <f>SUM(K641:K642)</f>
        <v>0</v>
      </c>
      <c r="L643" s="2776">
        <f>SUM(L641:L642)</f>
        <v>16250</v>
      </c>
      <c r="M643" s="2776">
        <f>SUM(M641:M642)</f>
        <v>80836</v>
      </c>
      <c r="N643" s="2776">
        <f>SUM(N641:N642)</f>
        <v>0</v>
      </c>
      <c r="O643" s="2776">
        <f>SUM(O641:O642)</f>
        <v>0</v>
      </c>
      <c r="P643" s="2776">
        <f>SUM(K643:O643)</f>
        <v>97086</v>
      </c>
      <c r="S643" s="2650"/>
      <c r="T643" s="2650"/>
      <c r="U643" s="2650"/>
      <c r="V643" s="2650"/>
      <c r="W643" s="2650"/>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5154</v>
      </c>
      <c r="K645" s="2777" t="str">
        <f>IF(OR(K529="",K529=0),"",K643/K529)</f>
        <v/>
      </c>
      <c r="L645" s="2777">
        <f>IF(OR(L529="",L529=0),"",L643/L529)</f>
        <v>650</v>
      </c>
      <c r="M645" s="2777">
        <f>IF(OR(M529="",M529=0),"",M643/M529)</f>
        <v>888.30769230769226</v>
      </c>
      <c r="N645" s="2777" t="str">
        <f>IF(OR(N529="",N529=0),"",N643/N529)</f>
        <v/>
      </c>
      <c r="O645" s="2777" t="str">
        <f>IF(OR(O529="",O529=0),"",O643/O529)</f>
        <v/>
      </c>
      <c r="P645" s="2777"/>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5" customHeight="1">
      <c r="A647" s="360" t="s">
        <v>690</v>
      </c>
      <c r="B647" s="360" t="s">
        <v>4536</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546"/>
      <c r="C648" s="360" t="s">
        <v>5155</v>
      </c>
      <c r="I648" s="358" t="s">
        <v>5090</v>
      </c>
      <c r="K648" s="2576">
        <f>'Part V-Revenues &amp; Expenses'!K195</f>
        <v>0</v>
      </c>
      <c r="L648" s="2576"/>
      <c r="Z648" s="1524">
        <v>68</v>
      </c>
      <c r="OZ648" s="1784">
        <v>191</v>
      </c>
    </row>
    <row r="649" spans="1:416" s="1711" customFormat="1" ht="13.5" customHeight="1">
      <c r="A649" s="2546"/>
      <c r="C649" s="360"/>
      <c r="I649" s="358" t="s">
        <v>5091</v>
      </c>
      <c r="K649" s="2576">
        <f>'Part V-Revenues &amp; Expenses'!K196</f>
        <v>30977</v>
      </c>
      <c r="L649" s="2576"/>
      <c r="Z649" s="1524"/>
      <c r="OZ649" s="2467">
        <v>192</v>
      </c>
    </row>
    <row r="650" spans="1:416" s="1711" customFormat="1" ht="13.4" customHeight="1">
      <c r="A650" s="2546"/>
      <c r="C650" s="360" t="s">
        <v>242</v>
      </c>
      <c r="K650" s="2576">
        <f>P643+K648+K649</f>
        <v>128063</v>
      </c>
      <c r="L650" s="2576"/>
      <c r="Z650" s="1524">
        <v>69</v>
      </c>
      <c r="OZ650" s="1784">
        <v>193</v>
      </c>
    </row>
    <row r="651" spans="1:416" s="358" customFormat="1" ht="3" customHeight="1">
      <c r="A651" s="2778"/>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5" customHeight="1">
      <c r="A652" s="360" t="s">
        <v>1661</v>
      </c>
      <c r="B652" s="360" t="s">
        <v>5156</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5" customHeight="1">
      <c r="B654" s="1536" t="s">
        <v>951</v>
      </c>
      <c r="C654" s="1409"/>
      <c r="D654" s="1409"/>
      <c r="E654" s="1409"/>
      <c r="F654" s="1409"/>
      <c r="G654" s="1409"/>
      <c r="H654" s="2779">
        <f>'Part V-Revenues &amp; Expenses'!H201</f>
        <v>32413.920000000002</v>
      </c>
      <c r="I654" s="2779"/>
      <c r="J654" s="2767" t="s">
        <v>5157</v>
      </c>
      <c r="M654" s="1409"/>
      <c r="N654" s="1409"/>
      <c r="O654" s="1409"/>
      <c r="P654" s="2780">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5" customHeight="1">
      <c r="B655" s="2713"/>
      <c r="C655" s="359"/>
      <c r="D655" s="1409"/>
      <c r="E655" s="359"/>
      <c r="F655" s="359"/>
      <c r="G655" s="359"/>
      <c r="H655" s="359"/>
      <c r="I655" s="359"/>
      <c r="J655" s="2781"/>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5" customHeight="1">
      <c r="B656" s="2713" t="s">
        <v>1354</v>
      </c>
      <c r="C656" s="359"/>
      <c r="D656" s="359"/>
      <c r="E656" s="359"/>
      <c r="F656" s="359"/>
      <c r="G656" s="359"/>
      <c r="H656" s="359"/>
      <c r="I656" s="359"/>
      <c r="J656" s="2713"/>
      <c r="K656" s="359"/>
      <c r="L656" s="2782"/>
      <c r="M656" s="359"/>
      <c r="N656" s="359"/>
      <c r="O656" s="359"/>
      <c r="P656" s="359"/>
      <c r="Q656" s="359"/>
      <c r="S656" s="2709"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5" customHeight="1">
      <c r="B657" s="2783" t="s">
        <v>2106</v>
      </c>
      <c r="C657" s="359"/>
      <c r="D657" s="359"/>
      <c r="E657" s="359"/>
      <c r="F657" s="359"/>
      <c r="H657" s="2784">
        <v>1</v>
      </c>
      <c r="I657" s="2784">
        <v>2</v>
      </c>
      <c r="J657" s="2784">
        <v>3</v>
      </c>
      <c r="K657" s="2784">
        <v>4</v>
      </c>
      <c r="L657" s="2784">
        <v>5</v>
      </c>
      <c r="M657" s="2784">
        <v>6</v>
      </c>
      <c r="N657" s="2784">
        <v>7</v>
      </c>
      <c r="O657" s="2784">
        <v>8</v>
      </c>
      <c r="P657" s="2784">
        <v>9</v>
      </c>
      <c r="Q657" s="2784">
        <v>10</v>
      </c>
      <c r="R657" s="2785"/>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5" customHeight="1">
      <c r="B658" s="1409" t="s">
        <v>952</v>
      </c>
      <c r="C658" s="1409"/>
      <c r="D658" s="1409"/>
      <c r="E658" s="1409"/>
      <c r="F658" s="1409"/>
      <c r="H658" s="2786">
        <f>'Part V-Revenues &amp; Expenses'!H205</f>
        <v>0</v>
      </c>
      <c r="I658" s="2786">
        <f>'Part V-Revenues &amp; Expenses'!I205</f>
        <v>0</v>
      </c>
      <c r="J658" s="2786">
        <f>'Part V-Revenues &amp; Expenses'!J205</f>
        <v>0</v>
      </c>
      <c r="K658" s="2786">
        <f>'Part V-Revenues &amp; Expenses'!K205</f>
        <v>0</v>
      </c>
      <c r="L658" s="2786">
        <f>'Part V-Revenues &amp; Expenses'!L205</f>
        <v>0</v>
      </c>
      <c r="M658" s="2786">
        <f>'Part V-Revenues &amp; Expenses'!M205</f>
        <v>0</v>
      </c>
      <c r="N658" s="2786">
        <f>'Part V-Revenues &amp; Expenses'!N205</f>
        <v>0</v>
      </c>
      <c r="O658" s="2786">
        <f>'Part V-Revenues &amp; Expenses'!O205</f>
        <v>0</v>
      </c>
      <c r="P658" s="2786">
        <f>'Part V-Revenues &amp; Expenses'!P205</f>
        <v>0</v>
      </c>
      <c r="Q658" s="2786">
        <f>'Part V-Revenues &amp; Expenses'!Q205</f>
        <v>0</v>
      </c>
      <c r="R658" s="2777"/>
      <c r="S658" s="2650"/>
      <c r="T658" s="2650"/>
      <c r="U658" s="2650"/>
      <c r="V658" s="2650"/>
      <c r="W658" s="2650"/>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5" customHeight="1">
      <c r="B659" s="1409" t="s">
        <v>689</v>
      </c>
      <c r="C659" s="1409">
        <f>'Part V-Revenues &amp; Expenses'!C206</f>
        <v>0</v>
      </c>
      <c r="D659" s="1409"/>
      <c r="E659" s="1409"/>
      <c r="F659" s="1409"/>
      <c r="H659" s="2786">
        <f>'Part V-Revenues &amp; Expenses'!H206</f>
        <v>0</v>
      </c>
      <c r="I659" s="2786">
        <f>'Part V-Revenues &amp; Expenses'!I206</f>
        <v>0</v>
      </c>
      <c r="J659" s="2786">
        <f>'Part V-Revenues &amp; Expenses'!J206</f>
        <v>0</v>
      </c>
      <c r="K659" s="2786">
        <f>'Part V-Revenues &amp; Expenses'!K206</f>
        <v>0</v>
      </c>
      <c r="L659" s="2786">
        <f>'Part V-Revenues &amp; Expenses'!L206</f>
        <v>0</v>
      </c>
      <c r="M659" s="2786">
        <f>'Part V-Revenues &amp; Expenses'!M206</f>
        <v>0</v>
      </c>
      <c r="N659" s="2786">
        <f>'Part V-Revenues &amp; Expenses'!N206</f>
        <v>0</v>
      </c>
      <c r="O659" s="2786">
        <f>'Part V-Revenues &amp; Expenses'!O206</f>
        <v>0</v>
      </c>
      <c r="P659" s="2786">
        <f>'Part V-Revenues &amp; Expenses'!P206</f>
        <v>0</v>
      </c>
      <c r="Q659" s="2786">
        <f>'Part V-Revenues &amp; Expenses'!Q206</f>
        <v>0</v>
      </c>
      <c r="R659" s="2777"/>
      <c r="S659" s="2650"/>
      <c r="T659" s="2650"/>
      <c r="U659" s="2650"/>
      <c r="V659" s="2650"/>
      <c r="W659" s="2650"/>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5" customHeight="1">
      <c r="B660" s="1409"/>
      <c r="C660" s="1409" t="s">
        <v>869</v>
      </c>
      <c r="D660" s="1409"/>
      <c r="E660" s="1409"/>
      <c r="F660" s="1409"/>
      <c r="H660" s="2787">
        <f>SUM(H658:H659)</f>
        <v>0</v>
      </c>
      <c r="I660" s="2787">
        <f>SUM(I658:I659)</f>
        <v>0</v>
      </c>
      <c r="J660" s="2787">
        <f t="shared" ref="J660:Q660" si="406">SUM(J658:J659)</f>
        <v>0</v>
      </c>
      <c r="K660" s="2787">
        <f t="shared" si="406"/>
        <v>0</v>
      </c>
      <c r="L660" s="2787">
        <f t="shared" si="406"/>
        <v>0</v>
      </c>
      <c r="M660" s="2787">
        <f t="shared" si="406"/>
        <v>0</v>
      </c>
      <c r="N660" s="2787">
        <f t="shared" si="406"/>
        <v>0</v>
      </c>
      <c r="O660" s="2787">
        <f t="shared" si="406"/>
        <v>0</v>
      </c>
      <c r="P660" s="2787">
        <f t="shared" si="406"/>
        <v>0</v>
      </c>
      <c r="Q660" s="2787">
        <f t="shared" si="406"/>
        <v>0</v>
      </c>
      <c r="R660" s="362"/>
      <c r="S660" s="2650"/>
      <c r="T660" s="2650"/>
      <c r="U660" s="2650"/>
      <c r="V660" s="2650"/>
      <c r="W660" s="2650"/>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2467">
        <v>203</v>
      </c>
    </row>
    <row r="661" spans="2:416" ht="15.65" customHeight="1">
      <c r="B661" s="2783" t="s">
        <v>5158</v>
      </c>
      <c r="C661" s="359"/>
      <c r="D661" s="359"/>
      <c r="E661" s="359"/>
      <c r="F661" s="359"/>
      <c r="H661" s="2788"/>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5" customHeight="1">
      <c r="B662" s="1409" t="s">
        <v>497</v>
      </c>
      <c r="C662" s="1409"/>
      <c r="D662" s="1409"/>
      <c r="E662" s="1409"/>
      <c r="F662" s="1409"/>
      <c r="H662" s="2786">
        <f>'Part V-Revenues &amp; Expenses'!H209</f>
        <v>0</v>
      </c>
      <c r="I662" s="2786">
        <f>'Part V-Revenues &amp; Expenses'!I209</f>
        <v>0</v>
      </c>
      <c r="J662" s="2786">
        <f>'Part V-Revenues &amp; Expenses'!J209</f>
        <v>0</v>
      </c>
      <c r="K662" s="2786">
        <f>'Part V-Revenues &amp; Expenses'!K209</f>
        <v>0</v>
      </c>
      <c r="L662" s="2786">
        <f>'Part V-Revenues &amp; Expenses'!L209</f>
        <v>0</v>
      </c>
      <c r="M662" s="2786">
        <f>'Part V-Revenues &amp; Expenses'!M209</f>
        <v>0</v>
      </c>
      <c r="N662" s="2786">
        <f>'Part V-Revenues &amp; Expenses'!N209</f>
        <v>0</v>
      </c>
      <c r="O662" s="2786">
        <f>'Part V-Revenues &amp; Expenses'!O209</f>
        <v>0</v>
      </c>
      <c r="P662" s="2786">
        <f>'Part V-Revenues &amp; Expenses'!P209</f>
        <v>0</v>
      </c>
      <c r="Q662" s="2786">
        <f>'Part V-Revenues &amp; Expenses'!Q209</f>
        <v>0</v>
      </c>
      <c r="R662" s="2777"/>
      <c r="S662" s="2650"/>
      <c r="T662" s="2650"/>
      <c r="U662" s="2650"/>
      <c r="V662" s="2650"/>
      <c r="W662" s="2650"/>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5" customHeight="1">
      <c r="B663" s="1409" t="s">
        <v>689</v>
      </c>
      <c r="C663" s="1409">
        <f>'Part V-Revenues &amp; Expenses'!C210</f>
        <v>0</v>
      </c>
      <c r="D663" s="1409"/>
      <c r="E663" s="1409"/>
      <c r="F663" s="1409"/>
      <c r="H663" s="2786">
        <f>'Part V-Revenues &amp; Expenses'!H210</f>
        <v>0</v>
      </c>
      <c r="I663" s="2786">
        <f>'Part V-Revenues &amp; Expenses'!I210</f>
        <v>0</v>
      </c>
      <c r="J663" s="2786">
        <f>'Part V-Revenues &amp; Expenses'!J210</f>
        <v>0</v>
      </c>
      <c r="K663" s="2786">
        <f>'Part V-Revenues &amp; Expenses'!K210</f>
        <v>0</v>
      </c>
      <c r="L663" s="2786">
        <f>'Part V-Revenues &amp; Expenses'!L210</f>
        <v>0</v>
      </c>
      <c r="M663" s="2786">
        <f>'Part V-Revenues &amp; Expenses'!M210</f>
        <v>0</v>
      </c>
      <c r="N663" s="2786">
        <f>'Part V-Revenues &amp; Expenses'!N210</f>
        <v>0</v>
      </c>
      <c r="O663" s="2786">
        <f>'Part V-Revenues &amp; Expenses'!O210</f>
        <v>0</v>
      </c>
      <c r="P663" s="2786">
        <f>'Part V-Revenues &amp; Expenses'!P210</f>
        <v>0</v>
      </c>
      <c r="Q663" s="2786">
        <f>'Part V-Revenues &amp; Expenses'!Q210</f>
        <v>0</v>
      </c>
      <c r="R663" s="2777"/>
      <c r="S663" s="2650"/>
      <c r="T663" s="2650"/>
      <c r="U663" s="2650"/>
      <c r="V663" s="2650"/>
      <c r="W663" s="2650"/>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5" customHeight="1">
      <c r="B664" s="1409"/>
      <c r="C664" s="1409" t="s">
        <v>5159</v>
      </c>
      <c r="D664" s="1409"/>
      <c r="E664" s="1409"/>
      <c r="F664" s="1409"/>
      <c r="H664" s="2787">
        <f>SUM(H662:H663)</f>
        <v>0</v>
      </c>
      <c r="I664" s="2787">
        <f>SUM(I662:I663)</f>
        <v>0</v>
      </c>
      <c r="J664" s="2787">
        <f t="shared" ref="J664:Q664" si="407">SUM(J662:J663)</f>
        <v>0</v>
      </c>
      <c r="K664" s="2787">
        <f t="shared" si="407"/>
        <v>0</v>
      </c>
      <c r="L664" s="2787">
        <f t="shared" si="407"/>
        <v>0</v>
      </c>
      <c r="M664" s="2787">
        <f t="shared" si="407"/>
        <v>0</v>
      </c>
      <c r="N664" s="2787">
        <f t="shared" si="407"/>
        <v>0</v>
      </c>
      <c r="O664" s="2787">
        <f t="shared" si="407"/>
        <v>0</v>
      </c>
      <c r="P664" s="2787">
        <f t="shared" si="407"/>
        <v>0</v>
      </c>
      <c r="Q664" s="2787">
        <f t="shared" si="407"/>
        <v>0</v>
      </c>
      <c r="R664" s="362"/>
      <c r="S664" s="2650"/>
      <c r="T664" s="2650"/>
      <c r="U664" s="2650"/>
      <c r="V664" s="2650"/>
      <c r="W664" s="2650"/>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5" customHeight="1">
      <c r="B665" s="2713"/>
      <c r="C665" s="359"/>
      <c r="D665" s="359"/>
      <c r="E665" s="359"/>
      <c r="F665" s="359"/>
      <c r="H665" s="2788"/>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5" customHeight="1">
      <c r="B666" s="2783" t="s">
        <v>2106</v>
      </c>
      <c r="C666" s="359"/>
      <c r="D666" s="359"/>
      <c r="E666" s="359"/>
      <c r="F666" s="359"/>
      <c r="H666" s="2784">
        <v>11</v>
      </c>
      <c r="I666" s="2784">
        <v>12</v>
      </c>
      <c r="J666" s="2784">
        <v>13</v>
      </c>
      <c r="K666" s="2784">
        <v>14</v>
      </c>
      <c r="L666" s="2784">
        <v>15</v>
      </c>
      <c r="M666" s="2784">
        <v>16</v>
      </c>
      <c r="N666" s="2784">
        <v>17</v>
      </c>
      <c r="O666" s="2784">
        <v>18</v>
      </c>
      <c r="P666" s="2784">
        <v>19</v>
      </c>
      <c r="Q666" s="2784">
        <v>20</v>
      </c>
      <c r="S666" s="2737"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5" customHeight="1">
      <c r="B667" s="1409" t="s">
        <v>952</v>
      </c>
      <c r="C667" s="1409"/>
      <c r="D667" s="1409"/>
      <c r="E667" s="1409"/>
      <c r="F667" s="1409"/>
      <c r="H667" s="2786">
        <f>'Part V-Revenues &amp; Expenses'!H214</f>
        <v>0</v>
      </c>
      <c r="I667" s="2786">
        <f>'Part V-Revenues &amp; Expenses'!I214</f>
        <v>0</v>
      </c>
      <c r="J667" s="2786">
        <f>'Part V-Revenues &amp; Expenses'!J214</f>
        <v>0</v>
      </c>
      <c r="K667" s="2786">
        <f>'Part V-Revenues &amp; Expenses'!K214</f>
        <v>0</v>
      </c>
      <c r="L667" s="2786">
        <f>'Part V-Revenues &amp; Expenses'!L214</f>
        <v>0</v>
      </c>
      <c r="M667" s="2786">
        <f>'Part V-Revenues &amp; Expenses'!M214</f>
        <v>0</v>
      </c>
      <c r="N667" s="2786">
        <f>'Part V-Revenues &amp; Expenses'!N214</f>
        <v>0</v>
      </c>
      <c r="O667" s="2786">
        <f>'Part V-Revenues &amp; Expenses'!O214</f>
        <v>0</v>
      </c>
      <c r="P667" s="2786">
        <f>'Part V-Revenues &amp; Expenses'!P214</f>
        <v>0</v>
      </c>
      <c r="Q667" s="2786">
        <f>'Part V-Revenues &amp; Expenses'!Q214</f>
        <v>0</v>
      </c>
      <c r="R667" s="2777"/>
      <c r="S667" s="2650"/>
      <c r="T667" s="2650"/>
      <c r="U667" s="2650"/>
      <c r="V667" s="2650"/>
      <c r="W667" s="2650"/>
      <c r="OZ667" s="1784">
        <v>210</v>
      </c>
    </row>
    <row r="668" spans="2:416" ht="15.65" customHeight="1">
      <c r="B668" s="1409" t="s">
        <v>689</v>
      </c>
      <c r="C668" s="1409">
        <f>'Part V-Revenues &amp; Expenses'!C215</f>
        <v>0</v>
      </c>
      <c r="D668" s="1409"/>
      <c r="E668" s="1409"/>
      <c r="F668" s="1409"/>
      <c r="H668" s="2786">
        <f>'Part V-Revenues &amp; Expenses'!H215</f>
        <v>0</v>
      </c>
      <c r="I668" s="2786">
        <f>'Part V-Revenues &amp; Expenses'!I215</f>
        <v>0</v>
      </c>
      <c r="J668" s="2786">
        <f>'Part V-Revenues &amp; Expenses'!J215</f>
        <v>0</v>
      </c>
      <c r="K668" s="2786">
        <f>'Part V-Revenues &amp; Expenses'!K215</f>
        <v>0</v>
      </c>
      <c r="L668" s="2786">
        <f>'Part V-Revenues &amp; Expenses'!L215</f>
        <v>0</v>
      </c>
      <c r="M668" s="2786">
        <f>'Part V-Revenues &amp; Expenses'!M215</f>
        <v>0</v>
      </c>
      <c r="N668" s="2786">
        <f>'Part V-Revenues &amp; Expenses'!N215</f>
        <v>0</v>
      </c>
      <c r="O668" s="2786">
        <f>'Part V-Revenues &amp; Expenses'!O215</f>
        <v>0</v>
      </c>
      <c r="P668" s="2786">
        <f>'Part V-Revenues &amp; Expenses'!P215</f>
        <v>0</v>
      </c>
      <c r="Q668" s="2786">
        <f>'Part V-Revenues &amp; Expenses'!Q215</f>
        <v>0</v>
      </c>
      <c r="R668" s="2777"/>
      <c r="S668" s="2650"/>
      <c r="T668" s="2650"/>
      <c r="U668" s="2650"/>
      <c r="V668" s="2650"/>
      <c r="W668" s="2650"/>
      <c r="OZ668" s="1784">
        <v>211</v>
      </c>
    </row>
    <row r="669" spans="2:416" ht="15.65" customHeight="1">
      <c r="B669" s="1409"/>
      <c r="C669" s="1409" t="s">
        <v>869</v>
      </c>
      <c r="D669" s="1409"/>
      <c r="E669" s="1409"/>
      <c r="F669" s="1409"/>
      <c r="H669" s="2787">
        <f>SUM(H667:H668)</f>
        <v>0</v>
      </c>
      <c r="I669" s="2787">
        <f>SUM(I667:I668)</f>
        <v>0</v>
      </c>
      <c r="J669" s="2787">
        <f t="shared" ref="J669:Q669" si="408">SUM(J667:J668)</f>
        <v>0</v>
      </c>
      <c r="K669" s="2787">
        <f t="shared" si="408"/>
        <v>0</v>
      </c>
      <c r="L669" s="2787">
        <f t="shared" si="408"/>
        <v>0</v>
      </c>
      <c r="M669" s="2787">
        <f t="shared" si="408"/>
        <v>0</v>
      </c>
      <c r="N669" s="2787">
        <f t="shared" si="408"/>
        <v>0</v>
      </c>
      <c r="O669" s="2787">
        <f t="shared" si="408"/>
        <v>0</v>
      </c>
      <c r="P669" s="2787">
        <f t="shared" si="408"/>
        <v>0</v>
      </c>
      <c r="Q669" s="2787">
        <f t="shared" si="408"/>
        <v>0</v>
      </c>
      <c r="R669" s="362"/>
      <c r="S669" s="2650"/>
      <c r="T669" s="2650"/>
      <c r="U669" s="2650"/>
      <c r="V669" s="2650"/>
      <c r="W669" s="2650"/>
      <c r="OZ669" s="1784">
        <v>212</v>
      </c>
    </row>
    <row r="670" spans="2:416" ht="15.65" customHeight="1">
      <c r="B670" s="2783" t="s">
        <v>5158</v>
      </c>
      <c r="C670" s="359"/>
      <c r="D670" s="359"/>
      <c r="E670" s="359"/>
      <c r="F670" s="359"/>
      <c r="H670" s="2788"/>
      <c r="I670" s="359"/>
      <c r="J670" s="359"/>
      <c r="K670" s="359"/>
      <c r="L670" s="359"/>
      <c r="M670" s="359"/>
      <c r="N670" s="359"/>
      <c r="O670" s="359"/>
      <c r="P670" s="359"/>
      <c r="Q670" s="359"/>
      <c r="S670" s="358" t="str">
        <f>B670</f>
        <v>NOT Included in Mgt Fee:</v>
      </c>
      <c r="OZ670" s="1784">
        <v>213</v>
      </c>
    </row>
    <row r="671" spans="2:416" ht="15.65" customHeight="1">
      <c r="B671" s="1409" t="s">
        <v>497</v>
      </c>
      <c r="C671" s="1409"/>
      <c r="D671" s="1409"/>
      <c r="E671" s="1409"/>
      <c r="F671" s="1409"/>
      <c r="H671" s="2786">
        <f>'Part V-Revenues &amp; Expenses'!H218</f>
        <v>0</v>
      </c>
      <c r="I671" s="2786">
        <f>'Part V-Revenues &amp; Expenses'!I218</f>
        <v>0</v>
      </c>
      <c r="J671" s="2786">
        <f>'Part V-Revenues &amp; Expenses'!J218</f>
        <v>0</v>
      </c>
      <c r="K671" s="2786">
        <f>'Part V-Revenues &amp; Expenses'!K218</f>
        <v>0</v>
      </c>
      <c r="L671" s="2786">
        <f>'Part V-Revenues &amp; Expenses'!L218</f>
        <v>0</v>
      </c>
      <c r="M671" s="2786">
        <f>'Part V-Revenues &amp; Expenses'!M218</f>
        <v>0</v>
      </c>
      <c r="N671" s="2786">
        <f>'Part V-Revenues &amp; Expenses'!N218</f>
        <v>0</v>
      </c>
      <c r="O671" s="2786">
        <f>'Part V-Revenues &amp; Expenses'!O218</f>
        <v>0</v>
      </c>
      <c r="P671" s="2786">
        <f>'Part V-Revenues &amp; Expenses'!P218</f>
        <v>0</v>
      </c>
      <c r="Q671" s="2786">
        <f>'Part V-Revenues &amp; Expenses'!Q218</f>
        <v>0</v>
      </c>
      <c r="R671" s="2777"/>
      <c r="S671" s="2650"/>
      <c r="T671" s="2650"/>
      <c r="U671" s="2650"/>
      <c r="V671" s="2650"/>
      <c r="W671" s="2650"/>
      <c r="OZ671" s="2467">
        <v>214</v>
      </c>
    </row>
    <row r="672" spans="2:416" ht="15.65" customHeight="1">
      <c r="B672" s="1409" t="s">
        <v>689</v>
      </c>
      <c r="C672" s="1409">
        <f>'Part V-Revenues &amp; Expenses'!C219</f>
        <v>0</v>
      </c>
      <c r="D672" s="1409"/>
      <c r="E672" s="1409"/>
      <c r="F672" s="1409"/>
      <c r="H672" s="2786">
        <f>'Part V-Revenues &amp; Expenses'!H219</f>
        <v>0</v>
      </c>
      <c r="I672" s="2786">
        <f>'Part V-Revenues &amp; Expenses'!I219</f>
        <v>0</v>
      </c>
      <c r="J672" s="2786">
        <f>'Part V-Revenues &amp; Expenses'!J219</f>
        <v>0</v>
      </c>
      <c r="K672" s="2786">
        <f>'Part V-Revenues &amp; Expenses'!K219</f>
        <v>0</v>
      </c>
      <c r="L672" s="2786">
        <f>'Part V-Revenues &amp; Expenses'!L219</f>
        <v>0</v>
      </c>
      <c r="M672" s="2786">
        <f>'Part V-Revenues &amp; Expenses'!M219</f>
        <v>0</v>
      </c>
      <c r="N672" s="2786">
        <f>'Part V-Revenues &amp; Expenses'!N219</f>
        <v>0</v>
      </c>
      <c r="O672" s="2786">
        <f>'Part V-Revenues &amp; Expenses'!O219</f>
        <v>0</v>
      </c>
      <c r="P672" s="2786">
        <f>'Part V-Revenues &amp; Expenses'!P219</f>
        <v>0</v>
      </c>
      <c r="Q672" s="2786">
        <f>'Part V-Revenues &amp; Expenses'!Q219</f>
        <v>0</v>
      </c>
      <c r="R672" s="2777"/>
      <c r="S672" s="2650"/>
      <c r="T672" s="2650"/>
      <c r="U672" s="2650"/>
      <c r="V672" s="2650"/>
      <c r="W672" s="2650"/>
      <c r="OZ672" s="1784">
        <v>215</v>
      </c>
    </row>
    <row r="673" spans="2:416" ht="15.65" customHeight="1">
      <c r="B673" s="1409"/>
      <c r="C673" s="1409" t="s">
        <v>5159</v>
      </c>
      <c r="D673" s="1409"/>
      <c r="E673" s="1409"/>
      <c r="F673" s="1409"/>
      <c r="H673" s="2787">
        <f>SUM(H671:H672)</f>
        <v>0</v>
      </c>
      <c r="I673" s="2787">
        <f>SUM(I671:I672)</f>
        <v>0</v>
      </c>
      <c r="J673" s="2787">
        <f t="shared" ref="J673:Q673" si="409">SUM(J671:J672)</f>
        <v>0</v>
      </c>
      <c r="K673" s="2787">
        <f t="shared" si="409"/>
        <v>0</v>
      </c>
      <c r="L673" s="2787">
        <f t="shared" si="409"/>
        <v>0</v>
      </c>
      <c r="M673" s="2787">
        <f t="shared" si="409"/>
        <v>0</v>
      </c>
      <c r="N673" s="2787">
        <f t="shared" si="409"/>
        <v>0</v>
      </c>
      <c r="O673" s="2787">
        <f t="shared" si="409"/>
        <v>0</v>
      </c>
      <c r="P673" s="2787">
        <f t="shared" si="409"/>
        <v>0</v>
      </c>
      <c r="Q673" s="2787">
        <f t="shared" si="409"/>
        <v>0</v>
      </c>
      <c r="R673" s="362"/>
      <c r="S673" s="2650"/>
      <c r="T673" s="2650"/>
      <c r="U673" s="2650"/>
      <c r="V673" s="2650"/>
      <c r="W673" s="2650"/>
      <c r="OZ673" s="1640">
        <v>216</v>
      </c>
    </row>
    <row r="674" spans="2:416" ht="15.65" customHeight="1">
      <c r="B674" s="2713"/>
      <c r="C674" s="359"/>
      <c r="D674" s="359"/>
      <c r="E674" s="359"/>
      <c r="F674" s="359"/>
      <c r="H674" s="2788"/>
      <c r="I674" s="359"/>
      <c r="J674" s="359"/>
      <c r="K674" s="359"/>
      <c r="L674" s="359"/>
      <c r="M674" s="359"/>
      <c r="N674" s="359"/>
      <c r="O674" s="359"/>
      <c r="P674" s="359"/>
      <c r="Q674" s="359"/>
      <c r="OZ674" s="1784">
        <v>217</v>
      </c>
    </row>
    <row r="675" spans="2:416" ht="15.65" customHeight="1">
      <c r="B675" s="2783" t="s">
        <v>2106</v>
      </c>
      <c r="C675" s="359"/>
      <c r="D675" s="359"/>
      <c r="E675" s="359"/>
      <c r="F675" s="359"/>
      <c r="H675" s="2784">
        <v>21</v>
      </c>
      <c r="I675" s="2784">
        <v>22</v>
      </c>
      <c r="J675" s="2784">
        <v>23</v>
      </c>
      <c r="K675" s="2784">
        <v>24</v>
      </c>
      <c r="L675" s="2784">
        <v>25</v>
      </c>
      <c r="M675" s="2784">
        <v>26</v>
      </c>
      <c r="N675" s="2784">
        <v>27</v>
      </c>
      <c r="O675" s="2784">
        <v>28</v>
      </c>
      <c r="P675" s="2784">
        <v>29</v>
      </c>
      <c r="Q675" s="2784">
        <v>30</v>
      </c>
      <c r="R675" s="2785"/>
      <c r="S675" s="2737" t="s">
        <v>2403</v>
      </c>
      <c r="T675" s="358" t="str">
        <f>B675</f>
        <v>Included in Mgt Fee:</v>
      </c>
      <c r="OZ675" s="1784">
        <v>218</v>
      </c>
    </row>
    <row r="676" spans="2:416" ht="15.65" customHeight="1">
      <c r="B676" s="1409" t="s">
        <v>952</v>
      </c>
      <c r="C676" s="1409"/>
      <c r="D676" s="1409"/>
      <c r="E676" s="1409"/>
      <c r="F676" s="1409"/>
      <c r="H676" s="2786">
        <f>'Part V-Revenues &amp; Expenses'!H223</f>
        <v>0</v>
      </c>
      <c r="I676" s="2786">
        <f>'Part V-Revenues &amp; Expenses'!I223</f>
        <v>0</v>
      </c>
      <c r="J676" s="2786">
        <f>'Part V-Revenues &amp; Expenses'!J223</f>
        <v>0</v>
      </c>
      <c r="K676" s="2786">
        <f>'Part V-Revenues &amp; Expenses'!K223</f>
        <v>0</v>
      </c>
      <c r="L676" s="2786">
        <f>'Part V-Revenues &amp; Expenses'!L223</f>
        <v>0</v>
      </c>
      <c r="M676" s="2786">
        <f>'Part V-Revenues &amp; Expenses'!M223</f>
        <v>0</v>
      </c>
      <c r="N676" s="2786">
        <f>'Part V-Revenues &amp; Expenses'!N223</f>
        <v>0</v>
      </c>
      <c r="O676" s="2786">
        <f>'Part V-Revenues &amp; Expenses'!O223</f>
        <v>0</v>
      </c>
      <c r="P676" s="2786">
        <f>'Part V-Revenues &amp; Expenses'!P223</f>
        <v>0</v>
      </c>
      <c r="Q676" s="2786">
        <f>'Part V-Revenues &amp; Expenses'!Q223</f>
        <v>0</v>
      </c>
      <c r="R676" s="2777"/>
      <c r="S676" s="2650"/>
      <c r="T676" s="2650"/>
      <c r="U676" s="2650"/>
      <c r="V676" s="2650"/>
      <c r="W676" s="2650"/>
      <c r="OZ676" s="1784">
        <v>219</v>
      </c>
    </row>
    <row r="677" spans="2:416" ht="15.65" customHeight="1">
      <c r="B677" s="1409" t="s">
        <v>689</v>
      </c>
      <c r="C677" s="1409">
        <f>'Part V-Revenues &amp; Expenses'!C224</f>
        <v>0</v>
      </c>
      <c r="D677" s="1409"/>
      <c r="E677" s="1409"/>
      <c r="F677" s="1409"/>
      <c r="H677" s="2786">
        <f>'Part V-Revenues &amp; Expenses'!H224</f>
        <v>0</v>
      </c>
      <c r="I677" s="2786">
        <f>'Part V-Revenues &amp; Expenses'!I224</f>
        <v>0</v>
      </c>
      <c r="J677" s="2786">
        <f>'Part V-Revenues &amp; Expenses'!J224</f>
        <v>0</v>
      </c>
      <c r="K677" s="2786">
        <f>'Part V-Revenues &amp; Expenses'!K224</f>
        <v>0</v>
      </c>
      <c r="L677" s="2786">
        <f>'Part V-Revenues &amp; Expenses'!L224</f>
        <v>0</v>
      </c>
      <c r="M677" s="2786">
        <f>'Part V-Revenues &amp; Expenses'!M224</f>
        <v>0</v>
      </c>
      <c r="N677" s="2786">
        <f>'Part V-Revenues &amp; Expenses'!N224</f>
        <v>0</v>
      </c>
      <c r="O677" s="2786">
        <f>'Part V-Revenues &amp; Expenses'!O224</f>
        <v>0</v>
      </c>
      <c r="P677" s="2786">
        <f>'Part V-Revenues &amp; Expenses'!P224</f>
        <v>0</v>
      </c>
      <c r="Q677" s="2786">
        <f>'Part V-Revenues &amp; Expenses'!Q224</f>
        <v>0</v>
      </c>
      <c r="R677" s="2777"/>
      <c r="S677" s="2650"/>
      <c r="T677" s="2650"/>
      <c r="U677" s="2650"/>
      <c r="V677" s="2650"/>
      <c r="W677" s="2650"/>
      <c r="OZ677" s="1784">
        <v>220</v>
      </c>
    </row>
    <row r="678" spans="2:416" ht="15.65" customHeight="1">
      <c r="B678" s="1409"/>
      <c r="C678" s="1409" t="s">
        <v>869</v>
      </c>
      <c r="D678" s="1409"/>
      <c r="E678" s="1409"/>
      <c r="F678" s="1409"/>
      <c r="H678" s="2787">
        <f>SUM(H676:H677)</f>
        <v>0</v>
      </c>
      <c r="I678" s="2787">
        <f>SUM(I676:I677)</f>
        <v>0</v>
      </c>
      <c r="J678" s="2787">
        <f t="shared" ref="J678:Q678" si="410">SUM(J676:J677)</f>
        <v>0</v>
      </c>
      <c r="K678" s="2787">
        <f t="shared" si="410"/>
        <v>0</v>
      </c>
      <c r="L678" s="2787">
        <f t="shared" si="410"/>
        <v>0</v>
      </c>
      <c r="M678" s="2787">
        <f t="shared" si="410"/>
        <v>0</v>
      </c>
      <c r="N678" s="2787">
        <f t="shared" si="410"/>
        <v>0</v>
      </c>
      <c r="O678" s="2787">
        <f t="shared" si="410"/>
        <v>0</v>
      </c>
      <c r="P678" s="2787">
        <f t="shared" si="410"/>
        <v>0</v>
      </c>
      <c r="Q678" s="2787">
        <f t="shared" si="410"/>
        <v>0</v>
      </c>
      <c r="R678" s="362"/>
      <c r="S678" s="2650"/>
      <c r="T678" s="2650"/>
      <c r="U678" s="2650"/>
      <c r="V678" s="2650"/>
      <c r="W678" s="2650"/>
      <c r="OZ678" s="1784">
        <v>221</v>
      </c>
    </row>
    <row r="679" spans="2:416" ht="15.65" customHeight="1">
      <c r="B679" s="2783" t="s">
        <v>5158</v>
      </c>
      <c r="C679" s="359"/>
      <c r="D679" s="359"/>
      <c r="E679" s="359"/>
      <c r="F679" s="359"/>
      <c r="H679" s="2788"/>
      <c r="I679" s="359"/>
      <c r="J679" s="359"/>
      <c r="K679" s="359"/>
      <c r="L679" s="359"/>
      <c r="M679" s="359"/>
      <c r="N679" s="359"/>
      <c r="O679" s="359"/>
      <c r="P679" s="359"/>
      <c r="Q679" s="359"/>
      <c r="S679" s="358" t="str">
        <f>B679</f>
        <v>NOT Included in Mgt Fee:</v>
      </c>
      <c r="OZ679" s="2467">
        <v>222</v>
      </c>
    </row>
    <row r="680" spans="2:416" ht="15.65" customHeight="1">
      <c r="B680" s="1409" t="s">
        <v>497</v>
      </c>
      <c r="C680" s="1409"/>
      <c r="D680" s="1409"/>
      <c r="E680" s="1409"/>
      <c r="F680" s="1409"/>
      <c r="H680" s="2786">
        <f>'Part V-Revenues &amp; Expenses'!H227</f>
        <v>0</v>
      </c>
      <c r="I680" s="2786">
        <f>'Part V-Revenues &amp; Expenses'!I227</f>
        <v>0</v>
      </c>
      <c r="J680" s="2786">
        <f>'Part V-Revenues &amp; Expenses'!J227</f>
        <v>0</v>
      </c>
      <c r="K680" s="2786">
        <f>'Part V-Revenues &amp; Expenses'!K227</f>
        <v>0</v>
      </c>
      <c r="L680" s="2786">
        <f>'Part V-Revenues &amp; Expenses'!L227</f>
        <v>0</v>
      </c>
      <c r="M680" s="2786">
        <f>'Part V-Revenues &amp; Expenses'!M227</f>
        <v>0</v>
      </c>
      <c r="N680" s="2786">
        <f>'Part V-Revenues &amp; Expenses'!N227</f>
        <v>0</v>
      </c>
      <c r="O680" s="2786">
        <f>'Part V-Revenues &amp; Expenses'!O227</f>
        <v>0</v>
      </c>
      <c r="P680" s="2786">
        <f>'Part V-Revenues &amp; Expenses'!P227</f>
        <v>0</v>
      </c>
      <c r="Q680" s="2786">
        <f>'Part V-Revenues &amp; Expenses'!Q227</f>
        <v>0</v>
      </c>
      <c r="R680" s="2777"/>
      <c r="S680" s="2650"/>
      <c r="T680" s="2650"/>
      <c r="U680" s="2650"/>
      <c r="V680" s="2650"/>
      <c r="W680" s="2650"/>
      <c r="OZ680" s="1784">
        <v>223</v>
      </c>
    </row>
    <row r="681" spans="2:416" ht="15.65" customHeight="1">
      <c r="B681" s="1409" t="s">
        <v>689</v>
      </c>
      <c r="C681" s="1409">
        <f>'Part V-Revenues &amp; Expenses'!C228</f>
        <v>0</v>
      </c>
      <c r="D681" s="1409"/>
      <c r="E681" s="1409"/>
      <c r="F681" s="1409"/>
      <c r="H681" s="2786">
        <f>'Part V-Revenues &amp; Expenses'!H228</f>
        <v>0</v>
      </c>
      <c r="I681" s="2786">
        <f>'Part V-Revenues &amp; Expenses'!I228</f>
        <v>0</v>
      </c>
      <c r="J681" s="2786">
        <f>'Part V-Revenues &amp; Expenses'!J228</f>
        <v>0</v>
      </c>
      <c r="K681" s="2786">
        <f>'Part V-Revenues &amp; Expenses'!K228</f>
        <v>0</v>
      </c>
      <c r="L681" s="2786">
        <f>'Part V-Revenues &amp; Expenses'!L228</f>
        <v>0</v>
      </c>
      <c r="M681" s="2786">
        <f>'Part V-Revenues &amp; Expenses'!M228</f>
        <v>0</v>
      </c>
      <c r="N681" s="2786">
        <f>'Part V-Revenues &amp; Expenses'!N228</f>
        <v>0</v>
      </c>
      <c r="O681" s="2786">
        <f>'Part V-Revenues &amp; Expenses'!O228</f>
        <v>0</v>
      </c>
      <c r="P681" s="2786">
        <f>'Part V-Revenues &amp; Expenses'!P228</f>
        <v>0</v>
      </c>
      <c r="Q681" s="2786">
        <f>'Part V-Revenues &amp; Expenses'!Q228</f>
        <v>0</v>
      </c>
      <c r="R681" s="2777"/>
      <c r="S681" s="2650"/>
      <c r="T681" s="2650"/>
      <c r="U681" s="2650"/>
      <c r="V681" s="2650"/>
      <c r="W681" s="2650"/>
      <c r="OZ681" s="1640">
        <v>224</v>
      </c>
    </row>
    <row r="682" spans="2:416" ht="15.65" customHeight="1">
      <c r="B682" s="1409"/>
      <c r="C682" s="1409" t="s">
        <v>5159</v>
      </c>
      <c r="D682" s="1409"/>
      <c r="E682" s="1409"/>
      <c r="F682" s="1409"/>
      <c r="H682" s="2787">
        <f>SUM(H680:H681)</f>
        <v>0</v>
      </c>
      <c r="I682" s="2787">
        <f>SUM(I680:I681)</f>
        <v>0</v>
      </c>
      <c r="J682" s="2787">
        <f t="shared" ref="J682:Q682" si="411">SUM(J680:J681)</f>
        <v>0</v>
      </c>
      <c r="K682" s="2787">
        <f t="shared" si="411"/>
        <v>0</v>
      </c>
      <c r="L682" s="2787">
        <f t="shared" si="411"/>
        <v>0</v>
      </c>
      <c r="M682" s="2787">
        <f t="shared" si="411"/>
        <v>0</v>
      </c>
      <c r="N682" s="2787">
        <f t="shared" si="411"/>
        <v>0</v>
      </c>
      <c r="O682" s="2787">
        <f t="shared" si="411"/>
        <v>0</v>
      </c>
      <c r="P682" s="2787">
        <f t="shared" si="411"/>
        <v>0</v>
      </c>
      <c r="Q682" s="2787">
        <f t="shared" si="411"/>
        <v>0</v>
      </c>
      <c r="R682" s="362"/>
      <c r="S682" s="2650"/>
      <c r="T682" s="2650"/>
      <c r="U682" s="2650"/>
      <c r="V682" s="2650"/>
      <c r="W682" s="2650"/>
      <c r="OZ682" s="1784">
        <v>225</v>
      </c>
    </row>
    <row r="683" spans="2:416" ht="15.65" customHeight="1">
      <c r="B683" s="2713"/>
      <c r="C683" s="359"/>
      <c r="D683" s="359"/>
      <c r="E683" s="359"/>
      <c r="F683" s="359"/>
      <c r="H683" s="2788"/>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5" customHeight="1">
      <c r="B684" s="2783" t="s">
        <v>2106</v>
      </c>
      <c r="C684" s="359"/>
      <c r="D684" s="359"/>
      <c r="E684" s="359"/>
      <c r="F684" s="359"/>
      <c r="H684" s="2784">
        <v>31</v>
      </c>
      <c r="I684" s="2784">
        <v>32</v>
      </c>
      <c r="J684" s="2784">
        <v>33</v>
      </c>
      <c r="K684" s="2784">
        <v>34</v>
      </c>
      <c r="L684" s="2784">
        <v>35</v>
      </c>
      <c r="M684" s="359"/>
      <c r="N684" s="359"/>
      <c r="O684" s="359"/>
      <c r="P684" s="359"/>
      <c r="Q684" s="359"/>
      <c r="S684" s="2737"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5" customHeight="1">
      <c r="B685" s="1409" t="s">
        <v>952</v>
      </c>
      <c r="C685" s="1409"/>
      <c r="D685" s="1409"/>
      <c r="E685" s="1409"/>
      <c r="F685" s="1409"/>
      <c r="H685" s="2786">
        <f>'Part V-Revenues &amp; Expenses'!H232</f>
        <v>0</v>
      </c>
      <c r="I685" s="2786">
        <f>'Part V-Revenues &amp; Expenses'!I232</f>
        <v>0</v>
      </c>
      <c r="J685" s="2786">
        <f>'Part V-Revenues &amp; Expenses'!J232</f>
        <v>0</v>
      </c>
      <c r="K685" s="2786">
        <f>'Part V-Revenues &amp; Expenses'!K232</f>
        <v>0</v>
      </c>
      <c r="L685" s="2786">
        <f>'Part V-Revenues &amp; Expenses'!L232</f>
        <v>0</v>
      </c>
      <c r="M685" s="359"/>
      <c r="N685" s="359"/>
      <c r="O685" s="359"/>
      <c r="P685" s="359"/>
      <c r="Q685" s="359"/>
      <c r="S685" s="2650"/>
      <c r="T685" s="2650"/>
      <c r="U685" s="2650"/>
      <c r="V685" s="2650"/>
      <c r="W685" s="2650"/>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5" customHeight="1">
      <c r="B686" s="1409" t="s">
        <v>689</v>
      </c>
      <c r="C686" s="1409">
        <f>'Part V-Revenues &amp; Expenses'!C233</f>
        <v>0</v>
      </c>
      <c r="D686" s="1409"/>
      <c r="E686" s="1409"/>
      <c r="F686" s="1409"/>
      <c r="H686" s="2786">
        <f>'Part V-Revenues &amp; Expenses'!H233</f>
        <v>0</v>
      </c>
      <c r="I686" s="2786">
        <f>'Part V-Revenues &amp; Expenses'!I233</f>
        <v>0</v>
      </c>
      <c r="J686" s="2786">
        <f>'Part V-Revenues &amp; Expenses'!J233</f>
        <v>0</v>
      </c>
      <c r="K686" s="2786">
        <f>'Part V-Revenues &amp; Expenses'!K233</f>
        <v>0</v>
      </c>
      <c r="L686" s="2786">
        <f>'Part V-Revenues &amp; Expenses'!L233</f>
        <v>0</v>
      </c>
      <c r="M686" s="359"/>
      <c r="N686" s="359"/>
      <c r="O686" s="359"/>
      <c r="P686" s="359"/>
      <c r="Q686" s="359"/>
      <c r="S686" s="2650"/>
      <c r="T686" s="2650"/>
      <c r="U686" s="2650"/>
      <c r="V686" s="2650"/>
      <c r="W686" s="2650"/>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5" customHeight="1">
      <c r="B687" s="1409"/>
      <c r="C687" s="1409" t="s">
        <v>869</v>
      </c>
      <c r="D687" s="1409"/>
      <c r="E687" s="1409"/>
      <c r="F687" s="1409"/>
      <c r="H687" s="2787">
        <f>SUM(H685:H686)</f>
        <v>0</v>
      </c>
      <c r="I687" s="2787">
        <f>SUM(I685:I686)</f>
        <v>0</v>
      </c>
      <c r="J687" s="2787">
        <f>SUM(J685:J686)</f>
        <v>0</v>
      </c>
      <c r="K687" s="2787">
        <f>SUM(K685:K686)</f>
        <v>0</v>
      </c>
      <c r="L687" s="2787">
        <f>SUM(L685:L686)</f>
        <v>0</v>
      </c>
      <c r="M687" s="359"/>
      <c r="N687" s="359"/>
      <c r="O687" s="359"/>
      <c r="P687" s="359"/>
      <c r="Q687" s="359"/>
      <c r="S687" s="2650"/>
      <c r="T687" s="2650"/>
      <c r="U687" s="2650"/>
      <c r="V687" s="2650"/>
      <c r="W687" s="2650"/>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5" customHeight="1">
      <c r="B688" s="2783" t="s">
        <v>5158</v>
      </c>
      <c r="C688" s="359"/>
      <c r="D688" s="359"/>
      <c r="E688" s="359"/>
      <c r="F688" s="359"/>
      <c r="H688" s="2788"/>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5" customHeight="1">
      <c r="B689" s="1409" t="s">
        <v>497</v>
      </c>
      <c r="C689" s="1409"/>
      <c r="D689" s="1409"/>
      <c r="E689" s="1409"/>
      <c r="F689" s="1409"/>
      <c r="H689" s="2786">
        <f>'Part V-Revenues &amp; Expenses'!H236</f>
        <v>0</v>
      </c>
      <c r="I689" s="2786">
        <f>'Part V-Revenues &amp; Expenses'!I236</f>
        <v>0</v>
      </c>
      <c r="J689" s="2786">
        <f>'Part V-Revenues &amp; Expenses'!J236</f>
        <v>0</v>
      </c>
      <c r="K689" s="2786">
        <f>'Part V-Revenues &amp; Expenses'!K236</f>
        <v>0</v>
      </c>
      <c r="L689" s="2786">
        <f>'Part V-Revenues &amp; Expenses'!L236</f>
        <v>0</v>
      </c>
      <c r="M689" s="359"/>
      <c r="N689" s="359"/>
      <c r="O689" s="359"/>
      <c r="P689" s="359"/>
      <c r="Q689" s="359"/>
      <c r="S689" s="2650"/>
      <c r="T689" s="2650"/>
      <c r="U689" s="2650"/>
      <c r="V689" s="2650"/>
      <c r="W689" s="2650"/>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5" customHeight="1">
      <c r="B690" s="1409" t="s">
        <v>689</v>
      </c>
      <c r="C690" s="1409">
        <f>'Part V-Revenues &amp; Expenses'!C237</f>
        <v>0</v>
      </c>
      <c r="D690" s="1409"/>
      <c r="E690" s="1409"/>
      <c r="F690" s="1409"/>
      <c r="H690" s="2786">
        <f>'Part V-Revenues &amp; Expenses'!H237</f>
        <v>0</v>
      </c>
      <c r="I690" s="2786">
        <f>'Part V-Revenues &amp; Expenses'!I237</f>
        <v>0</v>
      </c>
      <c r="J690" s="2786">
        <f>'Part V-Revenues &amp; Expenses'!J237</f>
        <v>0</v>
      </c>
      <c r="K690" s="2786">
        <f>'Part V-Revenues &amp; Expenses'!K237</f>
        <v>0</v>
      </c>
      <c r="L690" s="2786">
        <f>'Part V-Revenues &amp; Expenses'!L237</f>
        <v>0</v>
      </c>
      <c r="M690" s="359"/>
      <c r="N690" s="359"/>
      <c r="O690" s="359"/>
      <c r="P690" s="359"/>
      <c r="Q690" s="359"/>
      <c r="S690" s="2650"/>
      <c r="T690" s="2650"/>
      <c r="U690" s="2650"/>
      <c r="V690" s="2650"/>
      <c r="W690" s="2650"/>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2467">
        <v>233</v>
      </c>
    </row>
    <row r="691" spans="1:416" ht="15.65" customHeight="1">
      <c r="B691" s="1409"/>
      <c r="C691" s="1409" t="s">
        <v>5159</v>
      </c>
      <c r="D691" s="1409"/>
      <c r="E691" s="1409"/>
      <c r="F691" s="1409"/>
      <c r="H691" s="2787">
        <f>SUM(H689:H690)</f>
        <v>0</v>
      </c>
      <c r="I691" s="2787">
        <f>SUM(I689:I690)</f>
        <v>0</v>
      </c>
      <c r="J691" s="2787">
        <f>SUM(J689:J690)</f>
        <v>0</v>
      </c>
      <c r="K691" s="2787">
        <f>SUM(K689:K690)</f>
        <v>0</v>
      </c>
      <c r="L691" s="2787">
        <f>SUM(L689:L690)</f>
        <v>0</v>
      </c>
      <c r="M691" s="359"/>
      <c r="N691" s="359"/>
      <c r="O691" s="359"/>
      <c r="P691" s="359"/>
      <c r="Q691" s="359"/>
      <c r="S691" s="2650"/>
      <c r="T691" s="2650"/>
      <c r="U691" s="2650"/>
      <c r="V691" s="2650"/>
      <c r="W691" s="2650"/>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789"/>
      <c r="G692" s="2789"/>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790" t="s">
        <v>954</v>
      </c>
      <c r="C693" s="2790"/>
      <c r="D693" s="2790"/>
      <c r="E693" s="2790"/>
      <c r="F693" s="2790"/>
      <c r="G693" s="2790"/>
      <c r="H693" s="2790"/>
      <c r="I693" s="2790"/>
      <c r="J693" s="2790"/>
      <c r="K693" s="2790"/>
      <c r="L693" s="2790"/>
      <c r="N693" s="2791"/>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790"/>
      <c r="C694" s="2790"/>
      <c r="D694" s="2790"/>
      <c r="E694" s="2790"/>
      <c r="F694" s="2790"/>
      <c r="G694" s="2790"/>
      <c r="H694" s="2790"/>
      <c r="I694" s="2790"/>
      <c r="J694" s="2790"/>
      <c r="K694" s="2790"/>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792" t="s">
        <v>1430</v>
      </c>
      <c r="I695" s="1639" t="s">
        <v>1297</v>
      </c>
      <c r="N695" s="2792" t="s">
        <v>1430</v>
      </c>
      <c r="O695" s="1639" t="s">
        <v>1300</v>
      </c>
      <c r="Q695" s="2793">
        <f>IF(OR('Part VI-Pro Forma'!$B$22 = "Choose Mgt Fee",'Part VI-Pro Forma'!$B$22 = "Choose One!"), 0,- 'Part VI-Pro Forma'!$B$22)</f>
        <v>61248</v>
      </c>
      <c r="S695" s="2650"/>
      <c r="T695" s="2650"/>
      <c r="U695" s="2650"/>
      <c r="V695" s="2650"/>
      <c r="W695" s="2650"/>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2772">
        <f>'Part V-Revenues &amp; Expenses'!F243</f>
        <v>124027.68</v>
      </c>
      <c r="G696" s="2772"/>
      <c r="H696" s="2794" t="e">
        <f>IF(OR(F696="",F696=0),"",F696/$E$54)</f>
        <v>#DIV/0!</v>
      </c>
      <c r="I696" s="358" t="s">
        <v>1298</v>
      </c>
      <c r="L696" s="2772">
        <f>'Part V-Revenues &amp; Expenses'!L243</f>
        <v>0</v>
      </c>
      <c r="M696" s="2772"/>
      <c r="N696" s="2794" t="str">
        <f>IF(OR(L696="",L696=0),"",L696/$E$54)</f>
        <v/>
      </c>
      <c r="O696" s="2795">
        <f>+Q695/(P529*0.93)</f>
        <v>567.74193548387086</v>
      </c>
      <c r="P696" s="2754" t="s">
        <v>2478</v>
      </c>
      <c r="R696" s="2777"/>
      <c r="S696" s="2650"/>
      <c r="T696" s="2650"/>
      <c r="U696" s="2650"/>
      <c r="V696" s="2650"/>
      <c r="W696" s="2650"/>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772">
        <f>'Part V-Revenues &amp; Expenses'!F244</f>
        <v>137538.32</v>
      </c>
      <c r="G697" s="2772"/>
      <c r="H697" s="2794" t="e">
        <f t="shared" ref="H697:H702" si="412">IF(OR(F697="",F697=0),"",F697/$E$54)</f>
        <v>#DIV/0!</v>
      </c>
      <c r="I697" s="358" t="s">
        <v>1299</v>
      </c>
      <c r="L697" s="2772">
        <f>'Part V-Revenues &amp; Expenses'!L244</f>
        <v>14892</v>
      </c>
      <c r="M697" s="2772"/>
      <c r="N697" s="2794" t="e">
        <f t="shared" ref="N697:N698" si="413">IF(OR(L697="",L697=0),"",L697/$E$54)</f>
        <v>#DIV/0!</v>
      </c>
      <c r="O697" s="2795">
        <f>+Q695/(P529*0.93)/12</f>
        <v>47.311827956989241</v>
      </c>
      <c r="P697" s="2754" t="s">
        <v>2479</v>
      </c>
      <c r="R697" s="2777"/>
      <c r="S697" s="2650"/>
      <c r="T697" s="2650"/>
      <c r="U697" s="2650"/>
      <c r="V697" s="2650"/>
      <c r="W697" s="2650"/>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772">
        <f>'Part V-Revenues &amp; Expenses'!F245</f>
        <v>0</v>
      </c>
      <c r="G698" s="2772"/>
      <c r="H698" s="2794" t="str">
        <f t="shared" si="412"/>
        <v/>
      </c>
      <c r="K698" s="2796" t="s">
        <v>184</v>
      </c>
      <c r="L698" s="2772">
        <f>SUM(L696:M697)</f>
        <v>14892</v>
      </c>
      <c r="M698" s="2772"/>
      <c r="N698" s="2794" t="e">
        <f t="shared" si="413"/>
        <v>#DIV/0!</v>
      </c>
      <c r="O698" s="361" t="s">
        <v>3139</v>
      </c>
      <c r="P698" s="361"/>
      <c r="Q698" s="361"/>
      <c r="R698" s="2777"/>
      <c r="S698" s="2650"/>
      <c r="T698" s="2650"/>
      <c r="U698" s="2650"/>
      <c r="V698" s="2650"/>
      <c r="W698" s="2650"/>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797" t="s">
        <v>4522</v>
      </c>
      <c r="F699" s="2772">
        <f>'Part V-Revenues &amp; Expenses'!F246</f>
        <v>0</v>
      </c>
      <c r="G699" s="2772"/>
      <c r="H699" s="2794" t="str">
        <f t="shared" si="412"/>
        <v/>
      </c>
      <c r="R699" s="2777"/>
      <c r="S699" s="2650"/>
      <c r="T699" s="2650"/>
      <c r="U699" s="2650"/>
      <c r="V699" s="2650"/>
      <c r="W699" s="2650"/>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797" t="s">
        <v>3889</v>
      </c>
      <c r="F700" s="2772">
        <f>'Part V-Revenues &amp; Expenses'!F247</f>
        <v>0</v>
      </c>
      <c r="G700" s="2772"/>
      <c r="H700" s="2794" t="str">
        <f t="shared" si="412"/>
        <v/>
      </c>
      <c r="R700" s="2777"/>
      <c r="S700" s="2650"/>
      <c r="T700" s="2650"/>
      <c r="U700" s="2650"/>
      <c r="V700" s="2650"/>
      <c r="W700" s="2650"/>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2772">
        <f>'Part V-Revenues &amp; Expenses'!F248</f>
        <v>0</v>
      </c>
      <c r="G701" s="2772"/>
      <c r="H701" s="2794" t="str">
        <f t="shared" si="412"/>
        <v/>
      </c>
      <c r="I701" s="1639" t="s">
        <v>1213</v>
      </c>
      <c r="R701" s="2777"/>
      <c r="S701" s="2650"/>
      <c r="T701" s="2650"/>
      <c r="U701" s="2650"/>
      <c r="V701" s="2650"/>
      <c r="W701" s="2650"/>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2467">
        <v>244</v>
      </c>
    </row>
    <row r="702" spans="1:416" s="358" customFormat="1" ht="16.5" customHeight="1">
      <c r="E702" s="2796" t="s">
        <v>184</v>
      </c>
      <c r="F702" s="2772">
        <f>SUM(F696:G701)</f>
        <v>261566</v>
      </c>
      <c r="G702" s="2772"/>
      <c r="H702" s="2794" t="e">
        <f t="shared" si="412"/>
        <v>#DIV/0!</v>
      </c>
      <c r="I702" s="358" t="s">
        <v>1495</v>
      </c>
      <c r="L702" s="2772">
        <f>'Part V-Revenues &amp; Expenses'!L249</f>
        <v>1000</v>
      </c>
      <c r="M702" s="2777"/>
      <c r="N702" s="2794" t="e">
        <f>IF(OR(L702="",L702=0),"",L702/$E$54)</f>
        <v>#DIV/0!</v>
      </c>
      <c r="S702" s="2650"/>
      <c r="T702" s="2650"/>
      <c r="U702" s="2650"/>
      <c r="V702" s="2650"/>
      <c r="W702" s="2650"/>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796"/>
      <c r="F703" s="2750"/>
      <c r="G703" s="2750"/>
      <c r="I703" s="358" t="s">
        <v>1894</v>
      </c>
      <c r="L703" s="2772">
        <f>'Part V-Revenues &amp; Expenses'!L250</f>
        <v>29651</v>
      </c>
      <c r="M703" s="2777"/>
      <c r="N703" s="2794" t="e">
        <f t="shared" ref="N703:N706" si="414">IF(OR(L703="",L703=0),"",L703/$E$54)</f>
        <v>#DIV/0!</v>
      </c>
      <c r="O703" s="1639" t="s">
        <v>2024</v>
      </c>
      <c r="Q703" s="2777">
        <f>F702+F711+F722+L698+L706+L716+L722+Q695</f>
        <v>886994</v>
      </c>
      <c r="S703" s="2650"/>
      <c r="T703" s="2650"/>
      <c r="U703" s="2650"/>
      <c r="V703" s="2650"/>
      <c r="W703" s="2650"/>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765"/>
      <c r="I704" s="358" t="s">
        <v>1496</v>
      </c>
      <c r="L704" s="2772">
        <f>'Part V-Revenues &amp; Expenses'!L251</f>
        <v>13100</v>
      </c>
      <c r="M704" s="2777"/>
      <c r="N704" s="2794" t="e">
        <f t="shared" si="414"/>
        <v>#DIV/0!</v>
      </c>
      <c r="O704" s="2754" t="s">
        <v>2480</v>
      </c>
      <c r="P704" s="2795">
        <f>+Q703/P529</f>
        <v>7646.5</v>
      </c>
      <c r="R704" s="2793"/>
      <c r="S704" s="2650"/>
      <c r="T704" s="2650"/>
      <c r="U704" s="2650"/>
      <c r="V704" s="2650"/>
      <c r="W704" s="2650"/>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4339</v>
      </c>
      <c r="OZ704" s="1640">
        <v>247</v>
      </c>
    </row>
    <row r="705" spans="2:416" s="358" customFormat="1" ht="16.5" customHeight="1">
      <c r="B705" s="358" t="s">
        <v>1292</v>
      </c>
      <c r="D705" s="2765"/>
      <c r="F705" s="2772">
        <f>'Part V-Revenues &amp; Expenses'!F252</f>
        <v>15064</v>
      </c>
      <c r="G705" s="2772"/>
      <c r="H705" s="2794" t="e">
        <f>IF(OR(F705="",F705=0),"",F705/$E$54)</f>
        <v>#DIV/0!</v>
      </c>
      <c r="I705" s="361" t="str">
        <f>'Part V-Revenues &amp; Expenses'!I252</f>
        <v>Data Processing</v>
      </c>
      <c r="J705" s="2798"/>
      <c r="K705" s="2798"/>
      <c r="L705" s="2772">
        <f>'Part V-Revenues &amp; Expenses'!L252</f>
        <v>5304</v>
      </c>
      <c r="M705" s="2777"/>
      <c r="N705" s="2794" t="e">
        <f t="shared" si="414"/>
        <v>#DIV/0!</v>
      </c>
      <c r="P705" s="2754" t="s">
        <v>3140</v>
      </c>
      <c r="Q705" s="277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650"/>
      <c r="T705" s="2650"/>
      <c r="U705" s="2650"/>
      <c r="V705" s="2650"/>
      <c r="W705" s="2650"/>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765"/>
      <c r="F706" s="2772">
        <f>'Part V-Revenues &amp; Expenses'!F253</f>
        <v>15143</v>
      </c>
      <c r="G706" s="2772"/>
      <c r="H706" s="2794" t="e">
        <f t="shared" ref="H706:H711" si="415">IF(OR(F706="",F706=0),"",F706/$E$54)</f>
        <v>#DIV/0!</v>
      </c>
      <c r="I706" s="1639"/>
      <c r="K706" s="2796" t="s">
        <v>184</v>
      </c>
      <c r="L706" s="2777">
        <f>SUM(L702:L705)</f>
        <v>49055</v>
      </c>
      <c r="M706" s="2777"/>
      <c r="N706" s="2794" t="e">
        <f t="shared" si="414"/>
        <v>#DIV/0!</v>
      </c>
      <c r="O706" s="2799" t="s">
        <v>4804</v>
      </c>
      <c r="P706" s="2799"/>
      <c r="Q706" s="2799"/>
      <c r="S706" s="2650"/>
      <c r="T706" s="2650"/>
      <c r="U706" s="2650"/>
      <c r="V706" s="2650"/>
      <c r="W706" s="2650"/>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765"/>
      <c r="F707" s="2772">
        <f>'Part V-Revenues &amp; Expenses'!F254</f>
        <v>1500</v>
      </c>
      <c r="G707" s="2772"/>
      <c r="H707" s="2794" t="e">
        <f t="shared" si="415"/>
        <v>#DIV/0!</v>
      </c>
      <c r="O707" s="2799"/>
      <c r="P707" s="2799"/>
      <c r="Q707" s="2799"/>
      <c r="R707" s="1769"/>
      <c r="S707" s="2650"/>
      <c r="T707" s="2650"/>
      <c r="U707" s="2650"/>
      <c r="V707" s="2650"/>
      <c r="W707" s="2650"/>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2765"/>
      <c r="F708" s="2772">
        <f>'Part V-Revenues &amp; Expenses'!F255</f>
        <v>0</v>
      </c>
      <c r="G708" s="2772"/>
      <c r="H708" s="2794" t="str">
        <f t="shared" si="415"/>
        <v/>
      </c>
      <c r="R708" s="1769"/>
      <c r="S708" s="2650"/>
      <c r="T708" s="2650"/>
      <c r="U708" s="2650"/>
      <c r="V708" s="2650"/>
      <c r="W708" s="2650"/>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4340</v>
      </c>
      <c r="OZ708" s="1784">
        <v>251</v>
      </c>
    </row>
    <row r="709" spans="2:416" s="358" customFormat="1" ht="16.5" customHeight="1">
      <c r="B709" s="358" t="s">
        <v>1493</v>
      </c>
      <c r="D709" s="2765"/>
      <c r="F709" s="2772">
        <f>'Part V-Revenues &amp; Expenses'!F256</f>
        <v>0</v>
      </c>
      <c r="G709" s="2772"/>
      <c r="H709" s="2794" t="str">
        <f t="shared" si="415"/>
        <v/>
      </c>
      <c r="I709" s="1639" t="s">
        <v>1295</v>
      </c>
      <c r="K709" s="1524" t="s">
        <v>3760</v>
      </c>
      <c r="O709" s="1639" t="s">
        <v>3001</v>
      </c>
      <c r="P709" s="1639"/>
      <c r="Q709" s="2800">
        <f>'Part V-Revenues &amp; Expenses'!Q256</f>
        <v>46640</v>
      </c>
      <c r="S709" s="2650"/>
      <c r="T709" s="2650"/>
      <c r="U709" s="2650"/>
      <c r="V709" s="2650"/>
      <c r="W709" s="2650"/>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f>'Part V-Revenues &amp; Expenses'!B257</f>
        <v>0</v>
      </c>
      <c r="C710" s="361"/>
      <c r="D710" s="361"/>
      <c r="E710" s="361"/>
      <c r="F710" s="2772">
        <f>'Part V-Revenues &amp; Expenses'!F257</f>
        <v>0</v>
      </c>
      <c r="G710" s="2772"/>
      <c r="H710" s="2794" t="str">
        <f t="shared" si="415"/>
        <v/>
      </c>
      <c r="I710" s="358" t="s">
        <v>1288</v>
      </c>
      <c r="K710" s="2659">
        <f>L710/12/P529</f>
        <v>41.781609195402304</v>
      </c>
      <c r="L710" s="2772">
        <f>'Part V-Revenues &amp; Expenses'!L257</f>
        <v>58160</v>
      </c>
      <c r="M710" s="2777"/>
      <c r="N710" s="2794" t="e">
        <f>IF(OR(L710="",L710=0),"",L710/$E$54)</f>
        <v>#DIV/0!</v>
      </c>
      <c r="O710" s="361" t="s">
        <v>3759</v>
      </c>
      <c r="Q710" s="2801">
        <f>Q709/P718</f>
        <v>3886.6666666666665</v>
      </c>
      <c r="R710" s="1536" t="str">
        <f>IF(Q709&lt;Q718, "WARNING! RR proposed is below the DCA required minimum.","")</f>
        <v/>
      </c>
      <c r="S710" s="2650"/>
      <c r="T710" s="2650"/>
      <c r="U710" s="2650"/>
      <c r="V710" s="2650"/>
      <c r="W710" s="2650"/>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2467">
        <v>253</v>
      </c>
    </row>
    <row r="711" spans="2:416" s="358" customFormat="1" ht="16.5" customHeight="1">
      <c r="E711" s="2796" t="s">
        <v>184</v>
      </c>
      <c r="F711" s="2772">
        <f>SUM(F705:G710)</f>
        <v>31707</v>
      </c>
      <c r="G711" s="2772"/>
      <c r="H711" s="2794" t="e">
        <f t="shared" si="415"/>
        <v>#DIV/0!</v>
      </c>
      <c r="I711" s="358" t="s">
        <v>1289</v>
      </c>
      <c r="K711" s="2659">
        <f>L711/12/P529</f>
        <v>0</v>
      </c>
      <c r="L711" s="2772">
        <f>'Part V-Revenues &amp; Expenses'!L258</f>
        <v>0</v>
      </c>
      <c r="M711" s="2777"/>
      <c r="N711" s="2794" t="str">
        <f t="shared" ref="N711:N716" si="416">IF(OR(L711="",L711=0),"",L711/$E$54)</f>
        <v/>
      </c>
      <c r="O711" s="2802" t="s">
        <v>3147</v>
      </c>
      <c r="P711" s="2802"/>
      <c r="Q711" s="2802"/>
      <c r="R711" s="1536"/>
      <c r="S711" s="2650"/>
      <c r="T711" s="2650"/>
      <c r="U711" s="2650"/>
      <c r="V711" s="2650"/>
      <c r="W711" s="2650"/>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796"/>
      <c r="F712" s="2750"/>
      <c r="G712" s="2750"/>
      <c r="I712" s="358" t="s">
        <v>3802</v>
      </c>
      <c r="K712" s="2659">
        <f>L712/12/P529</f>
        <v>45.961206896551722</v>
      </c>
      <c r="L712" s="2772">
        <f>'Part V-Revenues &amp; Expenses'!L259</f>
        <v>63978</v>
      </c>
      <c r="M712" s="2777"/>
      <c r="N712" s="2794" t="e">
        <f t="shared" si="416"/>
        <v>#DIV/0!</v>
      </c>
      <c r="O712" s="2803" t="s">
        <v>2458</v>
      </c>
      <c r="P712" s="2804" t="s">
        <v>3200</v>
      </c>
      <c r="Q712" s="2804" t="s">
        <v>2972</v>
      </c>
      <c r="R712" s="1536"/>
      <c r="S712" s="2650"/>
      <c r="T712" s="2650"/>
      <c r="U712" s="2650"/>
      <c r="V712" s="2650"/>
      <c r="W712" s="2650"/>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4273</v>
      </c>
      <c r="OZ712" s="1640">
        <v>255</v>
      </c>
    </row>
    <row r="713" spans="2:416" s="358" customFormat="1" ht="16.5" customHeight="1">
      <c r="B713" s="1639" t="s">
        <v>1214</v>
      </c>
      <c r="D713" s="2765"/>
      <c r="I713" s="358" t="s">
        <v>1291</v>
      </c>
      <c r="K713" s="2659">
        <f>L713/12/P529</f>
        <v>8.1637931034482758</v>
      </c>
      <c r="L713" s="2772">
        <f>'Part V-Revenues &amp; Expenses'!L260</f>
        <v>11364</v>
      </c>
      <c r="M713" s="2777"/>
      <c r="N713" s="2794" t="e">
        <f t="shared" si="416"/>
        <v>#DIV/0!</v>
      </c>
      <c r="O713" s="403" t="s">
        <v>36</v>
      </c>
      <c r="R713" s="1536"/>
      <c r="S713" s="2650"/>
      <c r="T713" s="2650"/>
      <c r="U713" s="2650"/>
      <c r="V713" s="2650"/>
      <c r="W713" s="2650"/>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765"/>
      <c r="F714" s="2772">
        <f>'Part V-Revenues &amp; Expenses'!F261</f>
        <v>7296</v>
      </c>
      <c r="G714" s="2772"/>
      <c r="H714" s="2794" t="e">
        <f>IF(OR(F714="",F714=0),"",F714/$E$54)</f>
        <v>#DIV/0!</v>
      </c>
      <c r="I714" s="358" t="s">
        <v>5160</v>
      </c>
      <c r="K714" s="2659">
        <f>L714/12/P529</f>
        <v>0</v>
      </c>
      <c r="L714" s="2772">
        <f>'Part V-Revenues &amp; Expenses'!L261</f>
        <v>0</v>
      </c>
      <c r="M714" s="2777"/>
      <c r="N714" s="2794" t="str">
        <f t="shared" si="416"/>
        <v/>
      </c>
      <c r="O714" s="2550" t="s">
        <v>2970</v>
      </c>
      <c r="P714" s="2805" t="str">
        <f>CONCATENATE(SUM(NO507:NS507)," units x $",'DCA Underwriting Assumptions'!$Q$41," =")</f>
        <v>0 units x $400 =</v>
      </c>
      <c r="Q714" s="2805">
        <f>SUM(NO507:NS507)*'DCA Underwriting Assumptions'!$Q$41</f>
        <v>0</v>
      </c>
      <c r="R714" s="1536"/>
      <c r="S714" s="2650"/>
      <c r="T714" s="2650"/>
      <c r="U714" s="2650"/>
      <c r="V714" s="2650"/>
      <c r="W714" s="2650"/>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765"/>
      <c r="F715" s="2772">
        <f>'Part V-Revenues &amp; Expenses'!F262</f>
        <v>8036</v>
      </c>
      <c r="G715" s="2772"/>
      <c r="H715" s="2794" t="e">
        <f t="shared" ref="H715:H722" si="417">IF(OR(F715="",F715=0),"",F715/$E$54)</f>
        <v>#DIV/0!</v>
      </c>
      <c r="I715" s="361">
        <f>'Part V-Revenues &amp; Expenses'!I262</f>
        <v>0</v>
      </c>
      <c r="J715" s="2798"/>
      <c r="K715" s="2659">
        <f>L715/12/P529</f>
        <v>0</v>
      </c>
      <c r="L715" s="2772">
        <f>'Part V-Revenues &amp; Expenses'!L262</f>
        <v>0</v>
      </c>
      <c r="M715" s="2777"/>
      <c r="N715" s="2794" t="str">
        <f t="shared" si="416"/>
        <v/>
      </c>
      <c r="O715" s="2550" t="s">
        <v>2969</v>
      </c>
      <c r="P715" s="2805" t="str">
        <f>CONCATENATE(SUM(NT507:NX507)," units x $",'DCA Underwriting Assumptions'!$Q$42," =")</f>
        <v>0 units x $300 =</v>
      </c>
      <c r="Q715" s="2805">
        <f>SUM(NT507:NX507)*'DCA Underwriting Assumptions'!$Q$42</f>
        <v>0</v>
      </c>
      <c r="R715" s="1536"/>
      <c r="S715" s="2650"/>
      <c r="T715" s="2650"/>
      <c r="U715" s="2650"/>
      <c r="V715" s="2650"/>
      <c r="W715" s="2650"/>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765"/>
      <c r="F716" s="2772">
        <f>'Part V-Revenues &amp; Expenses'!F263</f>
        <v>17600</v>
      </c>
      <c r="G716" s="2772"/>
      <c r="H716" s="2794" t="e">
        <f t="shared" si="417"/>
        <v>#DIV/0!</v>
      </c>
      <c r="K716" s="2796" t="s">
        <v>184</v>
      </c>
      <c r="L716" s="2777">
        <f>SUM(L710:L715)</f>
        <v>133502</v>
      </c>
      <c r="M716" s="2777"/>
      <c r="N716" s="2794" t="e">
        <f t="shared" si="416"/>
        <v>#DIV/0!</v>
      </c>
      <c r="O716" s="2610" t="s">
        <v>4392</v>
      </c>
      <c r="P716" s="2805" t="str">
        <f>CONCATENATE(SUM(NY507:OC507)," units x $",'DCA Underwriting Assumptions'!$Q$43," =")</f>
        <v>0 units x $470 =</v>
      </c>
      <c r="Q716" s="2805">
        <f>SUM(NY507:OC507)*'DCA Underwriting Assumptions'!$Q$43</f>
        <v>0</v>
      </c>
      <c r="R716" s="1536"/>
      <c r="S716" s="2650"/>
      <c r="T716" s="2650"/>
      <c r="U716" s="2650"/>
      <c r="V716" s="2650"/>
      <c r="W716" s="2650"/>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765"/>
      <c r="F717" s="2772">
        <f>'Part V-Revenues &amp; Expenses'!F264</f>
        <v>11316</v>
      </c>
      <c r="G717" s="2772"/>
      <c r="H717" s="2794" t="e">
        <f t="shared" si="417"/>
        <v>#DIV/0!</v>
      </c>
      <c r="O717" s="2610" t="s">
        <v>2968</v>
      </c>
      <c r="P717" s="2805" t="str">
        <f>CONCATENATE(P596," units x $",'DCA Underwriting Assumptions'!$Q$44," =")</f>
        <v>12 units x $420 =</v>
      </c>
      <c r="Q717" s="2805">
        <f>P596*'DCA Underwriting Assumptions'!$Q$44</f>
        <v>5040</v>
      </c>
      <c r="S717" s="2650"/>
      <c r="T717" s="2650"/>
      <c r="U717" s="2650"/>
      <c r="V717" s="2650"/>
      <c r="W717" s="2650"/>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4341</v>
      </c>
      <c r="OZ717" s="1784">
        <v>260</v>
      </c>
    </row>
    <row r="718" spans="2:416" s="358" customFormat="1" ht="16.5" customHeight="1">
      <c r="B718" s="358" t="s">
        <v>939</v>
      </c>
      <c r="D718" s="2765"/>
      <c r="F718" s="2772">
        <f>'Part V-Revenues &amp; Expenses'!F265</f>
        <v>5500</v>
      </c>
      <c r="G718" s="2772"/>
      <c r="H718" s="2794" t="e">
        <f t="shared" si="417"/>
        <v>#DIV/0!</v>
      </c>
      <c r="I718" s="1639" t="s">
        <v>1296</v>
      </c>
      <c r="O718" s="2743" t="s">
        <v>2461</v>
      </c>
      <c r="P718" s="2734">
        <f>SUM(NO507:NS507)+SUM(NT507:NX507)+SUM(NY507:OC507)+P596</f>
        <v>12</v>
      </c>
      <c r="Q718" s="2806">
        <f>SUM(Q714:Q717)</f>
        <v>5040</v>
      </c>
      <c r="R718" s="2805"/>
      <c r="S718" s="2650"/>
      <c r="T718" s="2650"/>
      <c r="U718" s="2650"/>
      <c r="V718" s="2650"/>
      <c r="W718" s="2650"/>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765"/>
      <c r="F719" s="2772">
        <f>'Part V-Revenues &amp; Expenses'!F266</f>
        <v>10384</v>
      </c>
      <c r="G719" s="2772"/>
      <c r="H719" s="2794" t="e">
        <f t="shared" si="417"/>
        <v>#DIV/0!</v>
      </c>
      <c r="I719" s="358" t="s">
        <v>5161</v>
      </c>
      <c r="L719" s="2772">
        <f>'Part V-Revenues &amp; Expenses'!L266</f>
        <v>194843</v>
      </c>
      <c r="M719" s="2777"/>
      <c r="N719" s="2794" t="e">
        <f t="shared" ref="N719:N722" si="418">IF(OR(L719="",L719=0),"",L719/$E$54)</f>
        <v>#DIV/0!</v>
      </c>
      <c r="O719" s="1639" t="str">
        <f>IF(L719+L720='Part III-A-Uses of Funds'!$G$132,"", CONCATENATE("Real Estate Taxes + Insurance on Development Budget = $:",'Part III-A-Uses of Funds'!$G$132))</f>
        <v/>
      </c>
      <c r="P719" s="1639"/>
      <c r="Q719" s="1639"/>
      <c r="R719" s="2805"/>
      <c r="S719" s="2650"/>
      <c r="T719" s="2650"/>
      <c r="U719" s="2650"/>
      <c r="V719" s="2650"/>
      <c r="W719" s="2650"/>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765"/>
      <c r="F720" s="2772">
        <f>'Part V-Revenues &amp; Expenses'!F267</f>
        <v>5544</v>
      </c>
      <c r="G720" s="2772"/>
      <c r="H720" s="2794" t="e">
        <f t="shared" si="417"/>
        <v>#DIV/0!</v>
      </c>
      <c r="I720" s="358" t="s">
        <v>140</v>
      </c>
      <c r="L720" s="2772">
        <f>'Part V-Revenues &amp; Expenses'!L267</f>
        <v>73824</v>
      </c>
      <c r="M720" s="2777"/>
      <c r="N720" s="2794" t="e">
        <f t="shared" si="418"/>
        <v>#DIV/0!</v>
      </c>
      <c r="O720" s="1639"/>
      <c r="P720" s="1639"/>
      <c r="Q720" s="1639"/>
      <c r="R720" s="2805"/>
      <c r="S720" s="2650"/>
      <c r="T720" s="2650"/>
      <c r="U720" s="2650"/>
      <c r="V720" s="2650"/>
      <c r="W720" s="2650"/>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2772">
        <f>'Part V-Revenues &amp; Expenses'!F268</f>
        <v>0</v>
      </c>
      <c r="G721" s="2772"/>
      <c r="H721" s="2794" t="str">
        <f t="shared" si="417"/>
        <v/>
      </c>
      <c r="I721" s="361" t="str">
        <f>'Part V-Revenues &amp; Expenses'!I268</f>
        <v>Fidelity Bond and Misc City Permits</v>
      </c>
      <c r="J721" s="2798"/>
      <c r="K721" s="2798"/>
      <c r="L721" s="2772">
        <f>'Part V-Revenues &amp; Expenses'!L268</f>
        <v>681</v>
      </c>
      <c r="M721" s="2777"/>
      <c r="N721" s="2794" t="e">
        <f t="shared" si="418"/>
        <v>#DIV/0!</v>
      </c>
      <c r="R721" s="2805"/>
      <c r="S721" s="2650"/>
      <c r="T721" s="2650"/>
      <c r="U721" s="2650"/>
      <c r="V721" s="2650"/>
      <c r="W721" s="2650"/>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4342</v>
      </c>
      <c r="OZ721" s="2467">
        <v>264</v>
      </c>
    </row>
    <row r="722" spans="1:416" s="358" customFormat="1" ht="16.5" customHeight="1">
      <c r="B722" s="1639"/>
      <c r="E722" s="2796" t="s">
        <v>184</v>
      </c>
      <c r="F722" s="2772">
        <f>SUM(F714:G721)</f>
        <v>65676</v>
      </c>
      <c r="G722" s="2772"/>
      <c r="H722" s="2794" t="e">
        <f t="shared" si="417"/>
        <v>#DIV/0!</v>
      </c>
      <c r="K722" s="2796" t="s">
        <v>184</v>
      </c>
      <c r="L722" s="2777">
        <f>SUM(L718:L721)</f>
        <v>269348</v>
      </c>
      <c r="M722" s="2777"/>
      <c r="N722" s="2794" t="e">
        <f t="shared" si="418"/>
        <v>#DIV/0!</v>
      </c>
      <c r="O722" s="1639" t="s">
        <v>2025</v>
      </c>
      <c r="Q722" s="2777">
        <f>Q703+Q709</f>
        <v>933634</v>
      </c>
      <c r="R722" s="2805"/>
      <c r="S722" s="2650"/>
      <c r="T722" s="2650"/>
      <c r="U722" s="2650"/>
      <c r="V722" s="2650"/>
      <c r="W722" s="2650"/>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796"/>
      <c r="F723" s="2750"/>
      <c r="G723" s="2750"/>
      <c r="K723" s="2750"/>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5" customHeight="1">
      <c r="B724" s="1639"/>
      <c r="C724" s="2796"/>
      <c r="F724" s="2750"/>
      <c r="G724" s="2750"/>
      <c r="K724" s="2750"/>
      <c r="R724" s="2777"/>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796"/>
      <c r="F725" s="2750"/>
      <c r="G725" s="2750"/>
      <c r="K725" s="2750"/>
      <c r="O725" s="1639"/>
      <c r="Q725" s="2777"/>
      <c r="R725" s="2777"/>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3287</v>
      </c>
      <c r="B726" s="1639" t="s">
        <v>3749</v>
      </c>
      <c r="C726" s="2796"/>
      <c r="H726" s="2750"/>
      <c r="R726" s="2777"/>
      <c r="S726" s="2650"/>
      <c r="T726" s="2650"/>
      <c r="U726" s="2650"/>
      <c r="V726" s="2650"/>
      <c r="W726" s="2650"/>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796"/>
      <c r="F727" s="2750"/>
      <c r="G727" s="2750"/>
      <c r="K727" s="2750"/>
      <c r="O727" s="1639"/>
      <c r="Q727" s="2777"/>
      <c r="R727" s="2777"/>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807" t="s">
        <v>3750</v>
      </c>
      <c r="C728" s="2796"/>
      <c r="F728" s="2777">
        <f>'Part V-Revenues &amp; Expenses'!F275</f>
        <v>0</v>
      </c>
      <c r="G728" s="2777"/>
      <c r="I728" s="2797" t="s">
        <v>3777</v>
      </c>
      <c r="K728" s="2750"/>
      <c r="L728" s="2777">
        <f>'Part V-Revenues &amp; Expenses'!L275</f>
        <v>0</v>
      </c>
      <c r="M728" s="2777"/>
      <c r="O728" s="1639" t="s">
        <v>3752</v>
      </c>
      <c r="Q728" s="2760">
        <f>F728*L728</f>
        <v>0</v>
      </c>
      <c r="R728" s="2777"/>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796"/>
      <c r="F729" s="2750"/>
      <c r="G729" s="2750"/>
      <c r="K729" s="2750"/>
      <c r="O729" s="1639"/>
      <c r="Q729" s="2777"/>
      <c r="R729" s="2777"/>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3778</v>
      </c>
      <c r="C730" s="2796"/>
      <c r="F730" s="2750"/>
      <c r="G730" s="2750"/>
      <c r="L730" s="358" t="str">
        <f>'Part V-Revenues &amp; Expenses'!L277</f>
        <v>&lt;&lt;Select&gt;&gt;</v>
      </c>
      <c r="R730" s="2777"/>
      <c r="S730" s="2650"/>
      <c r="T730" s="2650"/>
      <c r="U730" s="2650"/>
      <c r="V730" s="2650"/>
      <c r="W730" s="2650"/>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4343</v>
      </c>
      <c r="OZ730" s="1784">
        <v>273</v>
      </c>
    </row>
    <row r="731" spans="1:416" s="358" customFormat="1" ht="16.5" customHeight="1">
      <c r="B731" s="1639"/>
      <c r="C731" s="2796"/>
      <c r="F731" s="2750"/>
      <c r="G731" s="2750"/>
      <c r="I731" s="2807" t="s">
        <v>5072</v>
      </c>
      <c r="K731" s="2750"/>
      <c r="L731" s="358" t="str">
        <f>'Part V-Revenues &amp; Expenses'!L278</f>
        <v>&lt;&lt;Select&gt;&gt;</v>
      </c>
      <c r="O731" s="1639"/>
      <c r="Q731" s="2777"/>
      <c r="R731" s="2777"/>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796"/>
      <c r="F732" s="2750"/>
      <c r="G732" s="2750"/>
      <c r="I732" s="2797" t="s">
        <v>5076</v>
      </c>
      <c r="K732" s="2750"/>
      <c r="L732" s="358">
        <f>'Part V-Revenues &amp; Expenses'!L279</f>
        <v>0</v>
      </c>
      <c r="M732" s="2777"/>
      <c r="O732" s="1639"/>
      <c r="Q732" s="2777"/>
      <c r="R732" s="2777"/>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2467">
        <v>275</v>
      </c>
    </row>
    <row r="733" spans="1:416" s="358" customFormat="1" ht="16.5" customHeight="1">
      <c r="B733" s="1639"/>
      <c r="C733" s="2796"/>
      <c r="F733" s="2750"/>
      <c r="G733" s="2750"/>
      <c r="I733" s="358" t="s">
        <v>3779</v>
      </c>
      <c r="K733" s="2750"/>
      <c r="L733" s="358">
        <f>'Part V-Revenues &amp; Expenses'!L280</f>
        <v>0</v>
      </c>
      <c r="M733" s="2777"/>
      <c r="O733" s="1639"/>
      <c r="Q733" s="2777"/>
      <c r="R733" s="2777"/>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796"/>
      <c r="F734" s="2750"/>
      <c r="G734" s="2750"/>
      <c r="K734" s="2750"/>
      <c r="O734" s="1639"/>
      <c r="Q734" s="2777"/>
      <c r="R734" s="2777"/>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3748</v>
      </c>
      <c r="B735" s="360" t="s">
        <v>529</v>
      </c>
      <c r="N735" s="360" t="s">
        <v>4537</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561" t="s">
        <v>3145</v>
      </c>
      <c r="B736" s="2561"/>
      <c r="C736" s="2561"/>
      <c r="D736" s="2561"/>
      <c r="E736" s="2561"/>
      <c r="F736" s="2561"/>
      <c r="G736" s="2561"/>
      <c r="H736" s="2561"/>
      <c r="I736" s="2561"/>
      <c r="J736" s="2561"/>
      <c r="K736" s="2561"/>
      <c r="L736" s="2561"/>
      <c r="M736" s="2561"/>
      <c r="N736" s="2561"/>
      <c r="O736" s="2561"/>
      <c r="P736" s="2561"/>
      <c r="Q736" s="2561"/>
      <c r="R736" s="2687" t="s">
        <v>3286</v>
      </c>
      <c r="S736" s="2687"/>
      <c r="T736" s="2687"/>
      <c r="U736" s="2687"/>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ht="13">
      <c r="A740" s="1639" t="str">
        <f>CONCATENATE("PART SIX - OPERATING PRO FORMA","  -  ",'Part I-Project Identification'!$O$7," ",'Part I-Project Identification'!$F$26,", ",'Part I-Project Identification'!F761,", ",'Part I-Project Identification'!J761," County")</f>
        <v>PART SIX - OPERATING PRO FORMA  -  2025-5 Princeton Court, ,  County</v>
      </c>
      <c r="L740" s="1639"/>
      <c r="M740" s="1639"/>
      <c r="N740" s="1639" t="str">
        <f>A740</f>
        <v>PART SIX - OPERATING PRO FORMA  -  2025-5 Princeton Court, ,  County</v>
      </c>
      <c r="O740" s="1639"/>
      <c r="P740" s="1639"/>
    </row>
    <row r="741" spans="1:16" ht="13">
      <c r="A741" s="360"/>
      <c r="B741" s="360"/>
      <c r="C741" s="360"/>
      <c r="D741" s="360"/>
      <c r="E741" s="360"/>
      <c r="F741" s="360"/>
      <c r="G741" s="360"/>
      <c r="H741" s="360"/>
      <c r="I741" s="360"/>
      <c r="J741" s="360"/>
      <c r="K741" s="360"/>
      <c r="N741" s="360" t="s">
        <v>1706</v>
      </c>
      <c r="O741" s="360"/>
    </row>
    <row r="742" spans="1:16" ht="13.5" customHeight="1">
      <c r="A742" s="360" t="s">
        <v>85</v>
      </c>
      <c r="C742" s="2808" t="str">
        <f>'Part I-Project Identification'!$A$6</f>
        <v>August 11, 2025</v>
      </c>
      <c r="D742" s="360" t="s">
        <v>75</v>
      </c>
      <c r="E742" s="2709"/>
      <c r="F742" s="2548" t="s">
        <v>5162</v>
      </c>
      <c r="N742" s="360" t="str">
        <f>A742</f>
        <v>I.  OPERATING ASSUMPTIONS</v>
      </c>
      <c r="O742" s="360"/>
    </row>
    <row r="743" spans="1:16">
      <c r="C743" s="1536"/>
    </row>
    <row r="744" spans="1:16" ht="12.75" customHeight="1">
      <c r="A744" s="356" t="s">
        <v>2026</v>
      </c>
      <c r="B744" s="2809">
        <f>'DCA Underwriting Assumptions'!$Q$115</f>
        <v>0.02</v>
      </c>
      <c r="C744" s="1536"/>
      <c r="D744" s="2650" t="s">
        <v>5163</v>
      </c>
      <c r="E744" s="2650"/>
      <c r="F744" s="2650"/>
      <c r="G744" s="2810">
        <f>'Part VI-Pro Forma'!G6</f>
        <v>5000</v>
      </c>
      <c r="H744" s="2811" t="s">
        <v>1763</v>
      </c>
      <c r="K744" s="2812" t="e">
        <f>IF(($B$15+$B$16+$B$17+$B$18)=0,"",B769/($B$15+$B$16+$B$17+$B$18))</f>
        <v>#VALUE!</v>
      </c>
      <c r="N744" s="2650"/>
      <c r="O744" s="2650"/>
    </row>
    <row r="745" spans="1:16" ht="13">
      <c r="A745" s="356" t="s">
        <v>2027</v>
      </c>
      <c r="B745" s="2809">
        <f>'DCA Underwriting Assumptions'!$Q$118</f>
        <v>0.03</v>
      </c>
      <c r="C745" s="1536"/>
      <c r="D745" s="2650"/>
      <c r="E745" s="2650"/>
      <c r="F745" s="2650"/>
      <c r="G745" s="2813">
        <f>IF(OR('Part II-Sources of Funds'!E740="Yes",'Part II-Sources of Funds'!H740&gt;0),'DCA Underwriting Assumptions'!$Q$79,0)</f>
        <v>0</v>
      </c>
      <c r="N745" s="2650"/>
      <c r="O745" s="2650"/>
    </row>
    <row r="746" spans="1:16">
      <c r="A746" s="356" t="s">
        <v>2029</v>
      </c>
      <c r="B746" s="2809">
        <f>'DCA Underwriting Assumptions'!$Q$119</f>
        <v>0.03</v>
      </c>
      <c r="C746" s="1536"/>
      <c r="D746" s="358" t="s">
        <v>258</v>
      </c>
      <c r="G746" s="2814"/>
      <c r="H746" s="2811" t="s">
        <v>2185</v>
      </c>
      <c r="K746" s="2812" t="e">
        <f>IF(($B$15+$B$16+$B$17+$B$18)=0,"",-B760/($B$15+$B$16+$B$17+$B$18))</f>
        <v>#VALUE!</v>
      </c>
      <c r="N746" s="2650"/>
      <c r="O746" s="2650"/>
    </row>
    <row r="747" spans="1:16" ht="13">
      <c r="A747" s="356" t="s">
        <v>2028</v>
      </c>
      <c r="B747" s="2809">
        <f>'Part VI-Pro Forma'!B9</f>
        <v>7.0000000000000007E-2</v>
      </c>
      <c r="C747" s="2545" t="str">
        <f>IF(B747&lt;0.07, "Must be &gt;= 7%!","")</f>
        <v/>
      </c>
      <c r="D747" s="358" t="s">
        <v>2301</v>
      </c>
      <c r="G747" s="2815" t="str">
        <f>'Part VI-Pro Forma'!G9</f>
        <v>Yes</v>
      </c>
      <c r="H747" s="2816" t="s">
        <v>1353</v>
      </c>
      <c r="K747" s="2817">
        <f>'Part VI-Pro Forma'!K9</f>
        <v>61248</v>
      </c>
      <c r="N747" s="2650"/>
      <c r="O747" s="2650"/>
    </row>
    <row r="748" spans="1:16">
      <c r="A748" s="356" t="s">
        <v>1334</v>
      </c>
      <c r="B748" s="2809">
        <v>0.02</v>
      </c>
      <c r="D748" s="358" t="s">
        <v>1595</v>
      </c>
      <c r="G748" s="2815">
        <f>'Part VI-Pro Forma'!G10</f>
        <v>0</v>
      </c>
      <c r="H748" s="2816" t="s">
        <v>2168</v>
      </c>
      <c r="K748" s="2818">
        <f>'Part VI-Pro Forma'!K10</f>
        <v>0</v>
      </c>
      <c r="N748" s="2650"/>
      <c r="O748" s="2650"/>
    </row>
    <row r="750" spans="1:16" ht="13">
      <c r="A750" s="360" t="s">
        <v>86</v>
      </c>
      <c r="D750" s="2790"/>
      <c r="N750" s="360" t="str">
        <f>A750</f>
        <v>II.  OPERATING PRO FORMA</v>
      </c>
    </row>
    <row r="752" spans="1:16" ht="13">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2819">
        <f>'Part VI-Pro Forma'!B15</f>
        <v>1620696</v>
      </c>
      <c r="C753" s="2819">
        <f>'Part VI-Pro Forma'!C15</f>
        <v>1653109.92</v>
      </c>
      <c r="D753" s="2819">
        <f>'Part VI-Pro Forma'!D15</f>
        <v>1686172.1184</v>
      </c>
      <c r="E753" s="2819">
        <f>'Part VI-Pro Forma'!E15</f>
        <v>1719895.5607679999</v>
      </c>
      <c r="F753" s="2819">
        <f>'Part VI-Pro Forma'!F15</f>
        <v>1754293.4719833599</v>
      </c>
      <c r="G753" s="2819">
        <f>'Part VI-Pro Forma'!G15</f>
        <v>1789379.3414230272</v>
      </c>
      <c r="H753" s="2819">
        <f>'Part VI-Pro Forma'!H15</f>
        <v>1825166.9282514879</v>
      </c>
      <c r="I753" s="2819">
        <f>'Part VI-Pro Forma'!I15</f>
        <v>1861670.2668165171</v>
      </c>
      <c r="J753" s="2819">
        <f>'Part VI-Pro Forma'!J15</f>
        <v>1898903.6721528478</v>
      </c>
      <c r="K753" s="2819">
        <f>'Part VI-Pro Forma'!K15</f>
        <v>1936881.7455959048</v>
      </c>
      <c r="N753" s="2650"/>
      <c r="O753" s="2650"/>
      <c r="S753" s="359" t="s">
        <v>3321</v>
      </c>
    </row>
    <row r="754" spans="1:19">
      <c r="A754" s="356" t="s">
        <v>951</v>
      </c>
      <c r="B754" s="2819">
        <f>'Part VI-Pro Forma'!B16</f>
        <v>32413.920000000002</v>
      </c>
      <c r="C754" s="2819">
        <f>'Part VI-Pro Forma'!C16</f>
        <v>33062.198400000001</v>
      </c>
      <c r="D754" s="2819">
        <f>'Part VI-Pro Forma'!D16</f>
        <v>33723.442368000004</v>
      </c>
      <c r="E754" s="2819">
        <f>'Part VI-Pro Forma'!E16</f>
        <v>34397.91121536</v>
      </c>
      <c r="F754" s="2819">
        <f>'Part VI-Pro Forma'!F16</f>
        <v>35085.8694396672</v>
      </c>
      <c r="G754" s="2819">
        <f>'Part VI-Pro Forma'!G16</f>
        <v>35787.586828460546</v>
      </c>
      <c r="H754" s="2819">
        <f>'Part VI-Pro Forma'!H16</f>
        <v>36503.338565029757</v>
      </c>
      <c r="I754" s="2819">
        <f>'Part VI-Pro Forma'!I16</f>
        <v>37233.405336330346</v>
      </c>
      <c r="J754" s="2819">
        <f>'Part VI-Pro Forma'!J16</f>
        <v>37978.073443056957</v>
      </c>
      <c r="K754" s="2819">
        <f>'Part VI-Pro Forma'!K16</f>
        <v>38737.634911918096</v>
      </c>
      <c r="N754" s="2650"/>
      <c r="O754" s="2650"/>
      <c r="S754" s="359"/>
    </row>
    <row r="755" spans="1:19" ht="12.75" customHeight="1">
      <c r="A755" s="356" t="s">
        <v>2210</v>
      </c>
      <c r="B755" s="2819">
        <f>'Part VI-Pro Forma'!B17</f>
        <v>-115717.69440000001</v>
      </c>
      <c r="C755" s="2819">
        <f>'Part VI-Pro Forma'!C17</f>
        <v>-118032.04828800002</v>
      </c>
      <c r="D755" s="2819">
        <f>'Part VI-Pro Forma'!D17</f>
        <v>-120392.68925376002</v>
      </c>
      <c r="E755" s="2819">
        <f>'Part VI-Pro Forma'!E17</f>
        <v>-122800.54303883521</v>
      </c>
      <c r="F755" s="2819">
        <f>'Part VI-Pro Forma'!F17</f>
        <v>-125256.5538996119</v>
      </c>
      <c r="G755" s="2819">
        <f>'Part VI-Pro Forma'!G17</f>
        <v>-127761.68497760415</v>
      </c>
      <c r="H755" s="2819">
        <f>'Part VI-Pro Forma'!H17</f>
        <v>-130316.91867715624</v>
      </c>
      <c r="I755" s="2819">
        <f>'Part VI-Pro Forma'!I17</f>
        <v>-132923.25705069935</v>
      </c>
      <c r="J755" s="2819">
        <f>'Part VI-Pro Forma'!J17</f>
        <v>-135581.72219171334</v>
      </c>
      <c r="K755" s="2819">
        <f>'Part VI-Pro Forma'!K17</f>
        <v>-138293.35663554762</v>
      </c>
      <c r="N755" s="2650"/>
      <c r="O755" s="2650"/>
      <c r="Q755" s="359" t="s">
        <v>3215</v>
      </c>
      <c r="R755" s="359" t="s">
        <v>3320</v>
      </c>
      <c r="S755" s="359"/>
    </row>
    <row r="756" spans="1:19">
      <c r="A756" s="356" t="s">
        <v>47</v>
      </c>
      <c r="B756" s="2819">
        <f>'Part VI-Pro Forma'!B18</f>
        <v>0</v>
      </c>
      <c r="C756" s="2819">
        <f>'Part VI-Pro Forma'!C18</f>
        <v>0</v>
      </c>
      <c r="D756" s="2819">
        <f>'Part VI-Pro Forma'!D18</f>
        <v>0</v>
      </c>
      <c r="E756" s="2819">
        <f>'Part VI-Pro Forma'!E18</f>
        <v>0</v>
      </c>
      <c r="F756" s="2819">
        <f>'Part VI-Pro Forma'!F18</f>
        <v>0</v>
      </c>
      <c r="G756" s="2819">
        <f>'Part VI-Pro Forma'!G18</f>
        <v>0</v>
      </c>
      <c r="H756" s="2819">
        <f>'Part VI-Pro Forma'!H18</f>
        <v>0</v>
      </c>
      <c r="I756" s="2819">
        <f>'Part VI-Pro Forma'!I18</f>
        <v>0</v>
      </c>
      <c r="J756" s="2819">
        <f>'Part VI-Pro Forma'!J18</f>
        <v>0</v>
      </c>
      <c r="K756" s="2819">
        <f>'Part VI-Pro Forma'!K18</f>
        <v>0</v>
      </c>
      <c r="N756" s="2650"/>
      <c r="O756" s="2650"/>
      <c r="Q756" s="359"/>
      <c r="R756" s="359"/>
      <c r="S756" s="359"/>
    </row>
    <row r="757" spans="1:19">
      <c r="A757" s="356" t="s">
        <v>48</v>
      </c>
      <c r="B757" s="2819">
        <f>'Part VI-Pro Forma'!B19</f>
        <v>0</v>
      </c>
      <c r="C757" s="2819">
        <f>'Part VI-Pro Forma'!C19</f>
        <v>0</v>
      </c>
      <c r="D757" s="2819">
        <f>'Part VI-Pro Forma'!D19</f>
        <v>0</v>
      </c>
      <c r="E757" s="2819">
        <f>'Part VI-Pro Forma'!E19</f>
        <v>0</v>
      </c>
      <c r="F757" s="2819">
        <f>'Part VI-Pro Forma'!F19</f>
        <v>0</v>
      </c>
      <c r="G757" s="2819">
        <f>'Part VI-Pro Forma'!G19</f>
        <v>0</v>
      </c>
      <c r="H757" s="2819">
        <f>'Part VI-Pro Forma'!H19</f>
        <v>0</v>
      </c>
      <c r="I757" s="2819">
        <f>'Part VI-Pro Forma'!I19</f>
        <v>0</v>
      </c>
      <c r="J757" s="2819">
        <f>'Part VI-Pro Forma'!J19</f>
        <v>0</v>
      </c>
      <c r="K757" s="2819">
        <f>'Part VI-Pro Forma'!K19</f>
        <v>0</v>
      </c>
      <c r="N757" s="2650"/>
      <c r="O757" s="2650"/>
    </row>
    <row r="758" spans="1:19">
      <c r="A758" s="356" t="s">
        <v>3714</v>
      </c>
      <c r="B758" s="2819">
        <f>'Part VI-Pro Forma'!B20</f>
        <v>1537392.2256</v>
      </c>
      <c r="C758" s="2819">
        <f>'Part VI-Pro Forma'!C20</f>
        <v>1568140.070112</v>
      </c>
      <c r="D758" s="2819">
        <f>'Part VI-Pro Forma'!D20</f>
        <v>1599502.87151424</v>
      </c>
      <c r="E758" s="2819">
        <f>'Part VI-Pro Forma'!E20</f>
        <v>1631492.9289445246</v>
      </c>
      <c r="F758" s="2819">
        <f>'Part VI-Pro Forma'!F20</f>
        <v>1664122.7875234152</v>
      </c>
      <c r="G758" s="2819">
        <f>'Part VI-Pro Forma'!G20</f>
        <v>1697405.2432738836</v>
      </c>
      <c r="H758" s="2819">
        <f>'Part VI-Pro Forma'!H20</f>
        <v>1731353.3481393612</v>
      </c>
      <c r="I758" s="2819">
        <f>'Part VI-Pro Forma'!I20</f>
        <v>1765980.4151021482</v>
      </c>
      <c r="J758" s="2819">
        <f>'Part VI-Pro Forma'!J20</f>
        <v>1801300.0234041915</v>
      </c>
      <c r="K758" s="2819">
        <f>'Part VI-Pro Forma'!K20</f>
        <v>1837326.0238722751</v>
      </c>
      <c r="N758" s="2650"/>
      <c r="O758" s="2650"/>
    </row>
    <row r="759" spans="1:19">
      <c r="A759" s="356" t="s">
        <v>571</v>
      </c>
      <c r="B759" s="2819">
        <f>'Part VI-Pro Forma'!B21</f>
        <v>-825746</v>
      </c>
      <c r="C759" s="2819">
        <f>'Part VI-Pro Forma'!C21</f>
        <v>-850518.38</v>
      </c>
      <c r="D759" s="2819">
        <f>'Part VI-Pro Forma'!D21</f>
        <v>-876033.9314</v>
      </c>
      <c r="E759" s="2819">
        <f>'Part VI-Pro Forma'!E21</f>
        <v>-902314.94934199995</v>
      </c>
      <c r="F759" s="2819">
        <f>'Part VI-Pro Forma'!F21</f>
        <v>-929384.39782225993</v>
      </c>
      <c r="G759" s="2819">
        <f>'Part VI-Pro Forma'!G21</f>
        <v>-957265.92975692765</v>
      </c>
      <c r="H759" s="2819">
        <f>'Part VI-Pro Forma'!H21</f>
        <v>-985983.90764963557</v>
      </c>
      <c r="I759" s="2819">
        <f>'Part VI-Pro Forma'!I21</f>
        <v>-1015563.4248791247</v>
      </c>
      <c r="J759" s="2819">
        <f>'Part VI-Pro Forma'!J21</f>
        <v>-1046030.3276254983</v>
      </c>
      <c r="K759" s="2819">
        <f>'Part VI-Pro Forma'!K21</f>
        <v>-1077411.2374542633</v>
      </c>
      <c r="N759" s="2650"/>
      <c r="O759" s="2650"/>
      <c r="Q759" s="1640">
        <v>1</v>
      </c>
      <c r="R759" s="1785">
        <f>-B770</f>
        <v>115793.2706420811</v>
      </c>
      <c r="S759" s="1785">
        <f>B771+R759</f>
        <v>115793.2706420811</v>
      </c>
    </row>
    <row r="760" spans="1:19">
      <c r="A760" s="356" t="s">
        <v>1049</v>
      </c>
      <c r="B760" s="2819">
        <f>'Part VI-Pro Forma'!B22</f>
        <v>-61248</v>
      </c>
      <c r="C760" s="2819">
        <f>'Part VI-Pro Forma'!C22</f>
        <v>-63085</v>
      </c>
      <c r="D760" s="2819">
        <f>'Part VI-Pro Forma'!D22</f>
        <v>-64978</v>
      </c>
      <c r="E760" s="2819">
        <f>'Part VI-Pro Forma'!E22</f>
        <v>-66927</v>
      </c>
      <c r="F760" s="2819">
        <f>'Part VI-Pro Forma'!F22</f>
        <v>-68935</v>
      </c>
      <c r="G760" s="2819">
        <f>'Part VI-Pro Forma'!G22</f>
        <v>-71003</v>
      </c>
      <c r="H760" s="2819">
        <f>'Part VI-Pro Forma'!H22</f>
        <v>-73133</v>
      </c>
      <c r="I760" s="2819">
        <f>'Part VI-Pro Forma'!I22</f>
        <v>-75327</v>
      </c>
      <c r="J760" s="2819">
        <f>'Part VI-Pro Forma'!J22</f>
        <v>-77587</v>
      </c>
      <c r="K760" s="2819">
        <f>'Part VI-Pro Forma'!K22</f>
        <v>-79915</v>
      </c>
      <c r="N760" s="2650"/>
      <c r="O760" s="2650"/>
      <c r="Q760" s="1640">
        <v>2</v>
      </c>
      <c r="R760" s="1785">
        <f>-SUM(B770:C770)</f>
        <v>234175.80579616223</v>
      </c>
      <c r="S760" s="1785">
        <f>SUM(B771:C771)+R760</f>
        <v>234175.80579616223</v>
      </c>
    </row>
    <row r="761" spans="1:19">
      <c r="A761" s="356" t="s">
        <v>1127</v>
      </c>
      <c r="B761" s="2819">
        <f>'Part VI-Pro Forma'!B23</f>
        <v>-46640</v>
      </c>
      <c r="C761" s="2819">
        <f>'Part VI-Pro Forma'!C23</f>
        <v>-48039.200000000004</v>
      </c>
      <c r="D761" s="2819">
        <f>'Part VI-Pro Forma'!D23</f>
        <v>-49480.375999999997</v>
      </c>
      <c r="E761" s="2819">
        <f>'Part VI-Pro Forma'!E23</f>
        <v>-50964.787279999997</v>
      </c>
      <c r="F761" s="2819">
        <f>'Part VI-Pro Forma'!F23</f>
        <v>-52493.730898399997</v>
      </c>
      <c r="G761" s="2819">
        <f>'Part VI-Pro Forma'!G23</f>
        <v>-54068.542825351993</v>
      </c>
      <c r="H761" s="2819">
        <f>'Part VI-Pro Forma'!H23</f>
        <v>-55690.599110112555</v>
      </c>
      <c r="I761" s="2819">
        <f>'Part VI-Pro Forma'!I23</f>
        <v>-57361.317083415939</v>
      </c>
      <c r="J761" s="2819">
        <f>'Part VI-Pro Forma'!J23</f>
        <v>-59082.156595918408</v>
      </c>
      <c r="K761" s="2819">
        <f>'Part VI-Pro Forma'!K23</f>
        <v>-60854.621293795964</v>
      </c>
      <c r="N761" s="2650"/>
      <c r="O761" s="2650"/>
      <c r="Q761" s="1640">
        <v>3</v>
      </c>
      <c r="R761" s="1785">
        <f>-SUM(B770:D770)</f>
        <v>354916.91495248332</v>
      </c>
      <c r="S761" s="1785">
        <f>SUM(B771:D771)+R761</f>
        <v>354916.91495248332</v>
      </c>
    </row>
    <row r="762" spans="1:19">
      <c r="A762" s="356" t="s">
        <v>3713</v>
      </c>
      <c r="B762" s="2819">
        <f>'Part VI-Pro Forma'!B24</f>
        <v>0</v>
      </c>
      <c r="C762" s="2819">
        <f>'Part VI-Pro Forma'!C24</f>
        <v>0</v>
      </c>
      <c r="D762" s="2819">
        <f>'Part VI-Pro Forma'!D24</f>
        <v>0</v>
      </c>
      <c r="E762" s="2819">
        <f>'Part VI-Pro Forma'!E24</f>
        <v>0</v>
      </c>
      <c r="F762" s="2819">
        <f>'Part VI-Pro Forma'!F24</f>
        <v>0</v>
      </c>
      <c r="G762" s="2819">
        <f>'Part VI-Pro Forma'!G24</f>
        <v>0</v>
      </c>
      <c r="H762" s="2819">
        <f>'Part VI-Pro Forma'!H24</f>
        <v>0</v>
      </c>
      <c r="I762" s="2819">
        <f>'Part VI-Pro Forma'!I24</f>
        <v>0</v>
      </c>
      <c r="J762" s="2819">
        <f>'Part VI-Pro Forma'!J24</f>
        <v>0</v>
      </c>
      <c r="K762" s="2819">
        <f>'Part VI-Pro Forma'!K24</f>
        <v>0</v>
      </c>
      <c r="N762" s="2650"/>
      <c r="O762" s="2650"/>
      <c r="Q762" s="1640">
        <v>4</v>
      </c>
      <c r="R762" s="1785">
        <f>-SUM(B770:E770)</f>
        <v>477774.51731708902</v>
      </c>
      <c r="S762" s="1785">
        <f>SUM(B771:E771)+R762</f>
        <v>477774.51731708902</v>
      </c>
    </row>
    <row r="763" spans="1:19">
      <c r="A763" s="356" t="s">
        <v>1128</v>
      </c>
      <c r="B763" s="2819">
        <f>SUM(B758:B762)</f>
        <v>603758.22560000001</v>
      </c>
      <c r="C763" s="2819">
        <f t="shared" ref="C763:J763" si="420">SUM(C758:C762)</f>
        <v>606497.49011200003</v>
      </c>
      <c r="D763" s="2819">
        <f t="shared" si="420"/>
        <v>609010.56411424</v>
      </c>
      <c r="E763" s="2819">
        <f t="shared" si="420"/>
        <v>611286.19232252461</v>
      </c>
      <c r="F763" s="2819">
        <f t="shared" si="420"/>
        <v>613309.65880275529</v>
      </c>
      <c r="G763" s="2819">
        <f t="shared" si="420"/>
        <v>615067.77069160389</v>
      </c>
      <c r="H763" s="2819">
        <f t="shared" si="420"/>
        <v>616545.84137961315</v>
      </c>
      <c r="I763" s="2819">
        <f t="shared" si="420"/>
        <v>617728.67313960753</v>
      </c>
      <c r="J763" s="2819">
        <f t="shared" si="420"/>
        <v>618600.53918277472</v>
      </c>
      <c r="K763" s="2819">
        <f>SUM(K758:K762)</f>
        <v>619145.16512421588</v>
      </c>
      <c r="N763" s="2650"/>
      <c r="O763" s="2650"/>
      <c r="Q763" s="1640">
        <v>5</v>
      </c>
      <c r="R763" s="1785">
        <f>-SUM(B770:F770)</f>
        <v>602491.67711192544</v>
      </c>
      <c r="S763" s="1785">
        <f>SUM(B771:F771)+R763</f>
        <v>602491.67711192544</v>
      </c>
    </row>
    <row r="764" spans="1:19">
      <c r="A764" s="356" t="s">
        <v>1484</v>
      </c>
      <c r="B764" s="2819">
        <f>'Part VI-Pro Forma'!B26</f>
        <v>-482964.9549579189</v>
      </c>
      <c r="C764" s="2819">
        <f>'Part VI-Pro Forma'!C26</f>
        <v>-482964.9549579189</v>
      </c>
      <c r="D764" s="2819">
        <f>'Part VI-Pro Forma'!D26</f>
        <v>-482964.9549579189</v>
      </c>
      <c r="E764" s="2819">
        <f>'Part VI-Pro Forma'!E26</f>
        <v>-482964.9549579189</v>
      </c>
      <c r="F764" s="2819">
        <f>'Part VI-Pro Forma'!F26</f>
        <v>-482964.9549579189</v>
      </c>
      <c r="G764" s="2819">
        <f>'Part VI-Pro Forma'!G26</f>
        <v>-482964.9549579189</v>
      </c>
      <c r="H764" s="2819">
        <f>'Part VI-Pro Forma'!H26</f>
        <v>-482964.9549579189</v>
      </c>
      <c r="I764" s="2819">
        <f>'Part VI-Pro Forma'!I26</f>
        <v>-482964.9549579189</v>
      </c>
      <c r="J764" s="2819">
        <f>'Part VI-Pro Forma'!J26</f>
        <v>-482964.9549579189</v>
      </c>
      <c r="K764" s="2819">
        <f>'Part VI-Pro Forma'!K26</f>
        <v>-482964.9549579189</v>
      </c>
      <c r="N764" s="2650"/>
      <c r="O764" s="2650"/>
      <c r="Q764" s="1640">
        <v>6</v>
      </c>
      <c r="R764" s="1785">
        <f>-SUM(B770:G770)</f>
        <v>728798.12247411045</v>
      </c>
      <c r="S764" s="1785">
        <f>SUM(B771:G771)+R764</f>
        <v>728798.12247411045</v>
      </c>
    </row>
    <row r="765" spans="1:19">
      <c r="A765" s="356" t="s">
        <v>1485</v>
      </c>
      <c r="B765" s="2819">
        <f>'Part VI-Pro Forma'!B27</f>
        <v>0</v>
      </c>
      <c r="C765" s="2819">
        <f>'Part VI-Pro Forma'!C27</f>
        <v>0</v>
      </c>
      <c r="D765" s="2819">
        <f>'Part VI-Pro Forma'!D27</f>
        <v>0</v>
      </c>
      <c r="E765" s="2819">
        <f>'Part VI-Pro Forma'!E27</f>
        <v>0</v>
      </c>
      <c r="F765" s="2819">
        <f>'Part VI-Pro Forma'!F27</f>
        <v>0</v>
      </c>
      <c r="G765" s="2819">
        <f>'Part VI-Pro Forma'!G27</f>
        <v>0</v>
      </c>
      <c r="H765" s="2819">
        <f>'Part VI-Pro Forma'!H27</f>
        <v>0</v>
      </c>
      <c r="I765" s="2819">
        <f>'Part VI-Pro Forma'!I27</f>
        <v>0</v>
      </c>
      <c r="J765" s="2819">
        <f>'Part VI-Pro Forma'!J27</f>
        <v>-11915.476388300885</v>
      </c>
      <c r="K765" s="2819">
        <f>'Part VI-Pro Forma'!K27</f>
        <v>-12351.17714145378</v>
      </c>
      <c r="N765" s="2650"/>
      <c r="O765" s="2650"/>
      <c r="Q765" s="1640">
        <v>7</v>
      </c>
      <c r="R765" s="1785">
        <f>-SUM(B770:H770)</f>
        <v>856408.7474131597</v>
      </c>
      <c r="S765" s="1785">
        <f>SUM(B771:H771)+R765</f>
        <v>856408.7474131597</v>
      </c>
    </row>
    <row r="766" spans="1:19">
      <c r="A766" s="356" t="s">
        <v>1486</v>
      </c>
      <c r="B766" s="2819">
        <f>'Part VI-Pro Forma'!B28</f>
        <v>0</v>
      </c>
      <c r="C766" s="2819">
        <f>'Part VI-Pro Forma'!C28</f>
        <v>0</v>
      </c>
      <c r="D766" s="2819">
        <f>'Part VI-Pro Forma'!D28</f>
        <v>0</v>
      </c>
      <c r="E766" s="2819">
        <f>'Part VI-Pro Forma'!E28</f>
        <v>0</v>
      </c>
      <c r="F766" s="2819">
        <f>'Part VI-Pro Forma'!F28</f>
        <v>0</v>
      </c>
      <c r="G766" s="2819">
        <f>'Part VI-Pro Forma'!G28</f>
        <v>0</v>
      </c>
      <c r="H766" s="2819">
        <f>'Part VI-Pro Forma'!H28</f>
        <v>0</v>
      </c>
      <c r="I766" s="2819">
        <f>'Part VI-Pro Forma'!I28</f>
        <v>0</v>
      </c>
      <c r="J766" s="2819">
        <f>'Part VI-Pro Forma'!J28</f>
        <v>0</v>
      </c>
      <c r="K766" s="2819">
        <f>'Part VI-Pro Forma'!K28</f>
        <v>0</v>
      </c>
      <c r="N766" s="2650"/>
      <c r="O766" s="2650"/>
      <c r="Q766" s="1640">
        <v>8</v>
      </c>
      <c r="R766" s="1785">
        <f>-SUM(B770:I770)</f>
        <v>985023.09626772394</v>
      </c>
      <c r="S766" s="1785">
        <f>SUM(B771:I771)+R766</f>
        <v>985023.09626772394</v>
      </c>
    </row>
    <row r="767" spans="1:19">
      <c r="A767" s="356" t="s">
        <v>3201</v>
      </c>
      <c r="B767" s="2819">
        <f>'Part VI-Pro Forma'!B29</f>
        <v>0</v>
      </c>
      <c r="C767" s="2819">
        <f>'Part VI-Pro Forma'!C29</f>
        <v>0</v>
      </c>
      <c r="D767" s="2819">
        <f>'Part VI-Pro Forma'!D29</f>
        <v>0</v>
      </c>
      <c r="E767" s="2819">
        <f>'Part VI-Pro Forma'!E29</f>
        <v>0</v>
      </c>
      <c r="F767" s="2819">
        <f>'Part VI-Pro Forma'!F29</f>
        <v>0</v>
      </c>
      <c r="G767" s="2819">
        <f>'Part VI-Pro Forma'!G29</f>
        <v>0</v>
      </c>
      <c r="H767" s="2819">
        <f>'Part VI-Pro Forma'!H29</f>
        <v>0</v>
      </c>
      <c r="I767" s="2819">
        <f>'Part VI-Pro Forma'!I29</f>
        <v>0</v>
      </c>
      <c r="J767" s="2819">
        <f>'Part VI-Pro Forma'!J29</f>
        <v>0</v>
      </c>
      <c r="K767" s="2819">
        <f>'Part VI-Pro Forma'!K29</f>
        <v>0</v>
      </c>
      <c r="N767" s="2650"/>
      <c r="O767" s="2650"/>
      <c r="Q767" s="1640">
        <v>9</v>
      </c>
      <c r="R767" s="1785">
        <f>-SUM(B770:J770)</f>
        <v>1007085.5540469006</v>
      </c>
      <c r="S767" s="1785">
        <f>SUM(B771:J771)+R767</f>
        <v>1102409.3536973407</v>
      </c>
    </row>
    <row r="768" spans="1:19">
      <c r="A768" s="356" t="s">
        <v>710</v>
      </c>
      <c r="B768" s="2819">
        <f>'Part VI-Pro Forma'!B30</f>
        <v>0</v>
      </c>
      <c r="C768" s="2819">
        <f>'Part VI-Pro Forma'!C30</f>
        <v>0</v>
      </c>
      <c r="D768" s="2819">
        <f>'Part VI-Pro Forma'!D30</f>
        <v>0</v>
      </c>
      <c r="E768" s="2819">
        <f>'Part VI-Pro Forma'!E30</f>
        <v>0</v>
      </c>
      <c r="F768" s="2819">
        <f>'Part VI-Pro Forma'!F30</f>
        <v>0</v>
      </c>
      <c r="G768" s="2819">
        <f>'Part VI-Pro Forma'!G30</f>
        <v>0</v>
      </c>
      <c r="H768" s="2819">
        <f>'Part VI-Pro Forma'!H30</f>
        <v>0</v>
      </c>
      <c r="I768" s="2819">
        <f>'Part VI-Pro Forma'!I30</f>
        <v>0</v>
      </c>
      <c r="J768" s="2819">
        <f>'Part VI-Pro Forma'!J30</f>
        <v>0</v>
      </c>
      <c r="K768" s="2819">
        <f>'Part VI-Pro Forma'!K30</f>
        <v>0</v>
      </c>
      <c r="N768" s="2650"/>
      <c r="O768" s="2650"/>
      <c r="Q768" s="1640">
        <v>10</v>
      </c>
      <c r="R768" s="1785">
        <f>-SUM(B770:K770)</f>
        <v>1007085.5540469006</v>
      </c>
      <c r="S768" s="1785">
        <f>SUM(B771:K771)+R768</f>
        <v>1219714.5208030378</v>
      </c>
    </row>
    <row r="769" spans="1:19">
      <c r="A769" s="356" t="s">
        <v>1094</v>
      </c>
      <c r="B769" s="2819">
        <f>'Part VI-Pro Forma'!B31</f>
        <v>-5000</v>
      </c>
      <c r="C769" s="2819">
        <f>'Part VI-Pro Forma'!C31</f>
        <v>-5150</v>
      </c>
      <c r="D769" s="2819">
        <f>'Part VI-Pro Forma'!D31</f>
        <v>-5304.5</v>
      </c>
      <c r="E769" s="2819">
        <f>'Part VI-Pro Forma'!E31</f>
        <v>-5463.6350000000002</v>
      </c>
      <c r="F769" s="2819">
        <f>'Part VI-Pro Forma'!F31</f>
        <v>-5627.5440500000004</v>
      </c>
      <c r="G769" s="2819">
        <f>'Part VI-Pro Forma'!G31</f>
        <v>-5796.3703715000001</v>
      </c>
      <c r="H769" s="2819">
        <f>'Part VI-Pro Forma'!H31</f>
        <v>-5970.2614826449999</v>
      </c>
      <c r="I769" s="2819">
        <f>'Part VI-Pro Forma'!I31</f>
        <v>-6149.3693271243501</v>
      </c>
      <c r="J769" s="2819">
        <f>'Part VI-Pro Forma'!J31</f>
        <v>-6333.8504069380806</v>
      </c>
      <c r="K769" s="2819">
        <f>'Part VI-Pro Forma'!K31</f>
        <v>-6523.865919146223</v>
      </c>
      <c r="N769" s="2650"/>
      <c r="O769" s="2650"/>
      <c r="Q769" s="1640">
        <v>11</v>
      </c>
      <c r="R769" s="1785">
        <f>-SUM(B770:K770)-B802</f>
        <v>1007085.5540469006</v>
      </c>
      <c r="S769" s="1785">
        <f>SUM(B771:K771)+B803+R769</f>
        <v>1337059.9968517355</v>
      </c>
    </row>
    <row r="770" spans="1:19">
      <c r="A770" s="356" t="s">
        <v>3274</v>
      </c>
      <c r="B770" s="2819">
        <f>'Part VI-Pro Forma'!B32</f>
        <v>-115793.2706420811</v>
      </c>
      <c r="C770" s="2819">
        <f>'Part VI-Pro Forma'!C32</f>
        <v>-118382.53515408112</v>
      </c>
      <c r="D770" s="2819">
        <f>'Part VI-Pro Forma'!D32</f>
        <v>-120741.10915632109</v>
      </c>
      <c r="E770" s="2819">
        <f>'Part VI-Pro Forma'!E32</f>
        <v>-122857.60236460571</v>
      </c>
      <c r="F770" s="2819">
        <f>'Part VI-Pro Forma'!F32</f>
        <v>-124717.15979483639</v>
      </c>
      <c r="G770" s="2819">
        <f>'Part VI-Pro Forma'!G32</f>
        <v>-126306.44536218498</v>
      </c>
      <c r="H770" s="2819">
        <f>'Part VI-Pro Forma'!H32</f>
        <v>-127610.62493904924</v>
      </c>
      <c r="I770" s="2819">
        <f>'Part VI-Pro Forma'!I32</f>
        <v>-128614.34885456428</v>
      </c>
      <c r="J770" s="2819">
        <f>'Part VI-Pro Forma'!J32</f>
        <v>-22062.457779176679</v>
      </c>
      <c r="K770" s="2819">
        <f>'Part VI-Pro Forma'!K32</f>
        <v>0</v>
      </c>
      <c r="N770" s="2650"/>
      <c r="O770" s="2650"/>
      <c r="Q770" s="1640">
        <v>12</v>
      </c>
      <c r="R770" s="1785">
        <f>-SUM(B770:K770) - SUM(B802:C802)</f>
        <v>1007085.5540469006</v>
      </c>
      <c r="S770" s="1785">
        <f>SUM(B771:K771) + SUM(B803:C803)+R770</f>
        <v>1454177.5640931944</v>
      </c>
    </row>
    <row r="771" spans="1:19">
      <c r="A771" s="356" t="s">
        <v>1095</v>
      </c>
      <c r="B771" s="2819">
        <f t="shared" ref="B771:K771" si="421">SUM(B763:B770)</f>
        <v>0</v>
      </c>
      <c r="C771" s="2819">
        <f t="shared" si="421"/>
        <v>0</v>
      </c>
      <c r="D771" s="2819">
        <f t="shared" si="421"/>
        <v>0</v>
      </c>
      <c r="E771" s="2819">
        <f t="shared" si="421"/>
        <v>0</v>
      </c>
      <c r="F771" s="2819">
        <f t="shared" si="421"/>
        <v>0</v>
      </c>
      <c r="G771" s="2819">
        <f t="shared" si="421"/>
        <v>0</v>
      </c>
      <c r="H771" s="2819">
        <f t="shared" si="421"/>
        <v>0</v>
      </c>
      <c r="I771" s="2819">
        <f t="shared" si="421"/>
        <v>0</v>
      </c>
      <c r="J771" s="2819">
        <f t="shared" si="421"/>
        <v>95323.799650440167</v>
      </c>
      <c r="K771" s="2819">
        <f t="shared" si="421"/>
        <v>117305.16710569698</v>
      </c>
      <c r="N771" s="2650"/>
      <c r="O771" s="2650"/>
      <c r="Q771" s="1640">
        <v>13</v>
      </c>
      <c r="R771" s="1785">
        <f>-SUM(B770:K770) - SUM(B802:D802)</f>
        <v>1007085.5540469006</v>
      </c>
      <c r="S771" s="1785">
        <f>SUM(B771:K771) + SUM(B803:D803)+R771</f>
        <v>1570985.6423614239</v>
      </c>
    </row>
    <row r="772" spans="1:19">
      <c r="A772" s="356" t="str">
        <f>IF('Part II-Sources of Funds'!$E$42 = "Neither", "", "DCR Mortgage A")</f>
        <v>DCR Mortgage A</v>
      </c>
      <c r="B772" s="2820">
        <f t="shared" ref="B772:K772" si="422">IF(B764=0,"",-B763/B764)</f>
        <v>1.2501077343233029</v>
      </c>
      <c r="C772" s="2820">
        <f t="shared" si="422"/>
        <v>1.2557795009471124</v>
      </c>
      <c r="D772" s="2820">
        <f t="shared" si="422"/>
        <v>1.2609829302569242</v>
      </c>
      <c r="E772" s="2820">
        <f t="shared" si="422"/>
        <v>1.2656947176960003</v>
      </c>
      <c r="F772" s="2820">
        <f t="shared" si="422"/>
        <v>1.2698843932810682</v>
      </c>
      <c r="G772" s="2820">
        <f t="shared" si="422"/>
        <v>1.2735246406133034</v>
      </c>
      <c r="H772" s="2820">
        <f t="shared" si="422"/>
        <v>1.2765850504273819</v>
      </c>
      <c r="I772" s="2820">
        <f t="shared" si="422"/>
        <v>1.2790341551664566</v>
      </c>
      <c r="J772" s="2820">
        <f t="shared" si="422"/>
        <v>1.2808393918284895</v>
      </c>
      <c r="K772" s="2820">
        <f t="shared" si="422"/>
        <v>1.2819670635898675</v>
      </c>
      <c r="N772" s="2650"/>
      <c r="O772" s="2650"/>
      <c r="Q772" s="1640">
        <v>14</v>
      </c>
      <c r="R772" s="1785">
        <f>-SUM(B770:K770) - SUM(B802:E802)</f>
        <v>1007085.5540469006</v>
      </c>
      <c r="S772" s="1785">
        <f>SUM(B771:K771) + SUM(B803:E803)+R772</f>
        <v>1687398.3428274174</v>
      </c>
    </row>
    <row r="773" spans="1:19">
      <c r="A773" s="356" t="str">
        <f>IF('Part II-Sources of Funds'!$E$42 = "Neither", "", "DCR Mortgage B")</f>
        <v>DCR Mortgage B</v>
      </c>
      <c r="B773" s="2820" t="str">
        <f t="shared" ref="B773:K773" si="423">IF(B765=0,"",-(B763+B764)/B765)</f>
        <v/>
      </c>
      <c r="C773" s="2820" t="str">
        <f t="shared" si="423"/>
        <v/>
      </c>
      <c r="D773" s="2820" t="str">
        <f t="shared" si="423"/>
        <v/>
      </c>
      <c r="E773" s="2820" t="str">
        <f t="shared" si="423"/>
        <v/>
      </c>
      <c r="F773" s="2820" t="str">
        <f t="shared" si="423"/>
        <v/>
      </c>
      <c r="G773" s="2820" t="str">
        <f t="shared" si="423"/>
        <v/>
      </c>
      <c r="H773" s="2820" t="str">
        <f t="shared" si="423"/>
        <v/>
      </c>
      <c r="I773" s="2820" t="str">
        <f t="shared" si="423"/>
        <v/>
      </c>
      <c r="J773" s="2820">
        <f t="shared" si="423"/>
        <v>11.383144056080589</v>
      </c>
      <c r="K773" s="2820">
        <f t="shared" si="423"/>
        <v>11.025686750879849</v>
      </c>
      <c r="N773" s="2650"/>
      <c r="O773" s="2650"/>
      <c r="Q773" s="1640">
        <v>15</v>
      </c>
      <c r="R773" s="1785">
        <f>-SUM(B770:K770) - SUM(B802:F802)</f>
        <v>1007085.5540469006</v>
      </c>
      <c r="S773" s="1785">
        <f>SUM(B771:K771) + SUM(B803:F803)+R773</f>
        <v>1803325.9327541026</v>
      </c>
    </row>
    <row r="774" spans="1:19">
      <c r="A774" s="356" t="str">
        <f>IF('Part II-Sources of Funds'!$E$42 = "Neither", "DCR First Mortgage", "DCR Mortgage C")</f>
        <v>DCR Mortgage C</v>
      </c>
      <c r="B774" s="2820" t="str">
        <f t="shared" ref="B774:K774" si="424">IF(B766=0,"",-(B763+B764+B765)/B766)</f>
        <v/>
      </c>
      <c r="C774" s="2820" t="str">
        <f t="shared" si="424"/>
        <v/>
      </c>
      <c r="D774" s="2820" t="str">
        <f t="shared" si="424"/>
        <v/>
      </c>
      <c r="E774" s="2820" t="str">
        <f t="shared" si="424"/>
        <v/>
      </c>
      <c r="F774" s="2820" t="str">
        <f t="shared" si="424"/>
        <v/>
      </c>
      <c r="G774" s="2820" t="str">
        <f t="shared" si="424"/>
        <v/>
      </c>
      <c r="H774" s="2820" t="str">
        <f t="shared" si="424"/>
        <v/>
      </c>
      <c r="I774" s="2820" t="str">
        <f t="shared" si="424"/>
        <v/>
      </c>
      <c r="J774" s="2820" t="str">
        <f t="shared" si="424"/>
        <v/>
      </c>
      <c r="K774" s="2820" t="str">
        <f t="shared" si="424"/>
        <v/>
      </c>
      <c r="N774" s="2650"/>
      <c r="O774" s="2650"/>
      <c r="Q774" s="1640">
        <v>16</v>
      </c>
      <c r="R774" s="1785">
        <f>-SUM(B770:K770) - SUM(B802:G802)</f>
        <v>1007085.5540469006</v>
      </c>
      <c r="S774" s="1785">
        <f>SUM(B771:K771) + SUM(B803:G803)+R774</f>
        <v>1803325.9327541026</v>
      </c>
    </row>
    <row r="775" spans="1:19">
      <c r="A775" s="356" t="s">
        <v>728</v>
      </c>
      <c r="B775" s="2820" t="str">
        <f t="shared" ref="B775:K775" si="425">IF(B767=0,"",-(B763+B764+B765+B766)/B767)</f>
        <v/>
      </c>
      <c r="C775" s="2820" t="str">
        <f t="shared" si="425"/>
        <v/>
      </c>
      <c r="D775" s="2820" t="str">
        <f t="shared" si="425"/>
        <v/>
      </c>
      <c r="E775" s="2820" t="str">
        <f t="shared" si="425"/>
        <v/>
      </c>
      <c r="F775" s="2820" t="str">
        <f t="shared" si="425"/>
        <v/>
      </c>
      <c r="G775" s="2820" t="str">
        <f t="shared" si="425"/>
        <v/>
      </c>
      <c r="H775" s="2820" t="str">
        <f t="shared" si="425"/>
        <v/>
      </c>
      <c r="I775" s="2820" t="str">
        <f t="shared" si="425"/>
        <v/>
      </c>
      <c r="J775" s="2820" t="str">
        <f t="shared" si="425"/>
        <v/>
      </c>
      <c r="K775" s="2820" t="str">
        <f t="shared" si="425"/>
        <v/>
      </c>
      <c r="N775" s="2650"/>
      <c r="O775" s="2650"/>
      <c r="Q775" s="1640">
        <v>17</v>
      </c>
      <c r="R775" s="1785">
        <f>-SUM(B770:K770) - SUM(B802:H802)</f>
        <v>1007085.5540469006</v>
      </c>
      <c r="S775" s="1785">
        <f>SUM(B771:K771) + SUM(B803:H803)+R775</f>
        <v>1803325.9327541026</v>
      </c>
    </row>
    <row r="776" spans="1:19">
      <c r="A776" s="356" t="s">
        <v>3130</v>
      </c>
      <c r="B776" s="2820">
        <f t="shared" ref="B776:K776" si="426">IF(AND(B764=0,B765=0,B766=0,B767=0),"",-B763/(B764+B765+B766+B767))</f>
        <v>1.2501077343233029</v>
      </c>
      <c r="C776" s="2820">
        <f t="shared" si="426"/>
        <v>1.2557795009471124</v>
      </c>
      <c r="D776" s="2820">
        <f t="shared" si="426"/>
        <v>1.2609829302569242</v>
      </c>
      <c r="E776" s="2820">
        <f t="shared" si="426"/>
        <v>1.2656947176960003</v>
      </c>
      <c r="F776" s="2820">
        <f t="shared" si="426"/>
        <v>1.2698843932810682</v>
      </c>
      <c r="G776" s="2820">
        <f t="shared" si="426"/>
        <v>1.2735246406133034</v>
      </c>
      <c r="H776" s="2820">
        <f t="shared" si="426"/>
        <v>1.2765850504273819</v>
      </c>
      <c r="I776" s="2820">
        <f t="shared" si="426"/>
        <v>1.2790341551664566</v>
      </c>
      <c r="J776" s="2820">
        <f t="shared" si="426"/>
        <v>1.25</v>
      </c>
      <c r="K776" s="2820">
        <f t="shared" si="426"/>
        <v>1.25</v>
      </c>
      <c r="N776" s="2650"/>
      <c r="O776" s="2650"/>
      <c r="Q776" s="1640">
        <v>18</v>
      </c>
      <c r="R776" s="1785">
        <f>-SUM(B770:K770) - SUM(B802:I802)</f>
        <v>1007085.5540469006</v>
      </c>
      <c r="S776" s="1785">
        <f>SUM(B771:K771) + SUM(B803:I803)+R776</f>
        <v>1803325.9327541026</v>
      </c>
    </row>
    <row r="777" spans="1:19">
      <c r="A777" s="356" t="s">
        <v>717</v>
      </c>
      <c r="B777" s="2821">
        <f t="shared" ref="B777:K777" si="427">IF(OR(B760="Choose mgt fee",B760="Choose One!"),"",(B753+B754+B755+B756+B757) / -(B759+B760+B761))</f>
        <v>1.6466754912524608</v>
      </c>
      <c r="C777" s="2821">
        <f t="shared" si="427"/>
        <v>1.6306890966828862</v>
      </c>
      <c r="D777" s="2821">
        <f t="shared" si="427"/>
        <v>1.6148564300442338</v>
      </c>
      <c r="E777" s="2821">
        <f t="shared" si="427"/>
        <v>1.599178745228198</v>
      </c>
      <c r="F777" s="2821">
        <f t="shared" si="427"/>
        <v>1.5836524516489865</v>
      </c>
      <c r="G777" s="2821">
        <f t="shared" si="427"/>
        <v>1.5682772575767454</v>
      </c>
      <c r="H777" s="2821">
        <f t="shared" si="427"/>
        <v>1.5530513901647818</v>
      </c>
      <c r="I777" s="2821">
        <f t="shared" si="427"/>
        <v>1.5379732079341877</v>
      </c>
      <c r="J777" s="2821">
        <f t="shared" si="427"/>
        <v>1.5230411845406411</v>
      </c>
      <c r="K777" s="2821">
        <f t="shared" si="427"/>
        <v>1.5082538940568477</v>
      </c>
      <c r="N777" s="2650"/>
      <c r="O777" s="2650"/>
      <c r="Q777" s="1640">
        <v>19</v>
      </c>
      <c r="R777" s="1785">
        <f>-SUM(B770:K770) - SUM(B802:J802)</f>
        <v>1007085.5540469006</v>
      </c>
      <c r="S777" s="1785">
        <f>SUM(B771:K771) + SUM(B803:J803)+R777</f>
        <v>1803325.9327541026</v>
      </c>
    </row>
    <row r="778" spans="1:19">
      <c r="A778" s="356" t="s">
        <v>2399</v>
      </c>
      <c r="B778" s="2819">
        <f>'Part VI-Pro Forma'!B40</f>
        <v>7117621.944586657</v>
      </c>
      <c r="C778" s="2819">
        <f>'Part VI-Pro Forma'!C40</f>
        <v>7072553.9388107527</v>
      </c>
      <c r="D778" s="2819">
        <f>'Part VI-Pro Forma'!D40</f>
        <v>7024625.2378638601</v>
      </c>
      <c r="E778" s="2819">
        <f>'Part VI-Pro Forma'!E40</f>
        <v>6973654.2588975616</v>
      </c>
      <c r="F778" s="2819">
        <f>'Part VI-Pro Forma'!F40</f>
        <v>6919447.8930780161</v>
      </c>
      <c r="G778" s="2819">
        <f>'Part VI-Pro Forma'!G40</f>
        <v>6861800.773973139</v>
      </c>
      <c r="H778" s="2819">
        <f>'Part VI-Pro Forma'!H40</f>
        <v>6800494.4995006006</v>
      </c>
      <c r="I778" s="2819">
        <f>'Part VI-Pro Forma'!I40</f>
        <v>6735296.8044889122</v>
      </c>
      <c r="J778" s="2819">
        <f>'Part VI-Pro Forma'!J40</f>
        <v>6665960.680716766</v>
      </c>
      <c r="K778" s="2819">
        <f>'Part VI-Pro Forma'!K40</f>
        <v>6592223.4410967994</v>
      </c>
      <c r="N778" s="2650"/>
      <c r="O778" s="2650"/>
      <c r="Q778" s="1640">
        <v>20</v>
      </c>
      <c r="R778" s="1785">
        <f>-SUM(B770:K770) - SUM(B802:K802)</f>
        <v>1007085.5540469006</v>
      </c>
      <c r="S778" s="1785">
        <f>SUM(B771:K771) + SUM(B803:K803)+R778</f>
        <v>1803325.9327541026</v>
      </c>
    </row>
    <row r="779" spans="1:19">
      <c r="A779" s="356" t="s">
        <v>2400</v>
      </c>
      <c r="B779" s="2819">
        <f>'Part VI-Pro Forma'!B41</f>
        <v>9286875.9925086368</v>
      </c>
      <c r="C779" s="2819">
        <f>'Part VI-Pro Forma'!C41</f>
        <v>9958225.0089089219</v>
      </c>
      <c r="D779" s="2819">
        <f>'Part VI-Pro Forma'!D41</f>
        <v>10678105.899987537</v>
      </c>
      <c r="E779" s="2819">
        <f>'Part VI-Pro Forma'!E41</f>
        <v>11450027.038889086</v>
      </c>
      <c r="F779" s="2819">
        <f>'Part VI-Pro Forma'!F41</f>
        <v>12277750.419336464</v>
      </c>
      <c r="G779" s="2819">
        <f>'Part VI-Pro Forma'!G41</f>
        <v>13165309.989882981</v>
      </c>
      <c r="H779" s="2819">
        <f>'Part VI-Pro Forma'!H41</f>
        <v>14117031.313549032</v>
      </c>
      <c r="I779" s="2819">
        <f>'Part VI-Pro Forma'!I41</f>
        <v>15137552.648655506</v>
      </c>
      <c r="J779" s="2819">
        <f>'Part VI-Pro Forma'!J41</f>
        <v>16219542.257141614</v>
      </c>
      <c r="K779" s="2819">
        <f>'Part VI-Pro Forma'!K41</f>
        <v>17379299.02701544</v>
      </c>
      <c r="N779" s="2650"/>
      <c r="O779" s="2650"/>
    </row>
    <row r="780" spans="1:19">
      <c r="A780" s="356" t="s">
        <v>2401</v>
      </c>
      <c r="B780" s="2819" t="str">
        <f>'Part VI-Pro Forma'!B42</f>
        <v/>
      </c>
      <c r="C780" s="2819" t="str">
        <f>'Part VI-Pro Forma'!C42</f>
        <v/>
      </c>
      <c r="D780" s="2819" t="str">
        <f>'Part VI-Pro Forma'!D42</f>
        <v/>
      </c>
      <c r="E780" s="2819" t="str">
        <f>'Part VI-Pro Forma'!E42</f>
        <v/>
      </c>
      <c r="F780" s="2819" t="str">
        <f>'Part VI-Pro Forma'!F42</f>
        <v/>
      </c>
      <c r="G780" s="2819" t="str">
        <f>'Part VI-Pro Forma'!G42</f>
        <v/>
      </c>
      <c r="H780" s="2819" t="str">
        <f>'Part VI-Pro Forma'!H42</f>
        <v/>
      </c>
      <c r="I780" s="2819" t="str">
        <f>'Part VI-Pro Forma'!I42</f>
        <v/>
      </c>
      <c r="J780" s="2819" t="str">
        <f>'Part VI-Pro Forma'!J42</f>
        <v/>
      </c>
      <c r="K780" s="2819" t="str">
        <f>'Part VI-Pro Forma'!K42</f>
        <v/>
      </c>
      <c r="N780" s="2650"/>
      <c r="O780" s="2650"/>
    </row>
    <row r="781" spans="1:19">
      <c r="A781" s="356" t="s">
        <v>729</v>
      </c>
      <c r="B781" s="2819" t="str">
        <f>'Part VI-Pro Forma'!B43</f>
        <v/>
      </c>
      <c r="C781" s="2819" t="str">
        <f>'Part VI-Pro Forma'!C43</f>
        <v/>
      </c>
      <c r="D781" s="2819" t="str">
        <f>'Part VI-Pro Forma'!D43</f>
        <v/>
      </c>
      <c r="E781" s="2819" t="str">
        <f>'Part VI-Pro Forma'!E43</f>
        <v/>
      </c>
      <c r="F781" s="2819" t="str">
        <f>'Part VI-Pro Forma'!F43</f>
        <v/>
      </c>
      <c r="G781" s="2819" t="str">
        <f>'Part VI-Pro Forma'!G43</f>
        <v/>
      </c>
      <c r="H781" s="2819" t="str">
        <f>'Part VI-Pro Forma'!H43</f>
        <v/>
      </c>
      <c r="I781" s="2819" t="str">
        <f>'Part VI-Pro Forma'!I43</f>
        <v/>
      </c>
      <c r="J781" s="2819" t="str">
        <f>'Part VI-Pro Forma'!J43</f>
        <v/>
      </c>
      <c r="K781" s="2819" t="str">
        <f>'Part VI-Pro Forma'!K43</f>
        <v/>
      </c>
      <c r="N781" s="2650"/>
      <c r="O781" s="2650"/>
    </row>
    <row r="782" spans="1:19">
      <c r="A782" s="356" t="s">
        <v>3275</v>
      </c>
      <c r="B782" s="2819">
        <f>'Part VI-Pro Forma'!B44</f>
        <v>696017.3490271843</v>
      </c>
      <c r="C782" s="2819">
        <f>'Part VI-Pro Forma'!C44</f>
        <v>624077.02749063517</v>
      </c>
      <c r="D782" s="2819">
        <f>'Part VI-Pro Forma'!D44</f>
        <v>544500.39850299456</v>
      </c>
      <c r="E782" s="2819">
        <f>'Part VI-Pro Forma'!E44</f>
        <v>456985.43335501978</v>
      </c>
      <c r="F782" s="2819">
        <f>'Part VI-Pro Forma'!F44</f>
        <v>361223.6106291074</v>
      </c>
      <c r="G782" s="2819">
        <f>'Part VI-Pro Forma'!G44</f>
        <v>256897.87825015147</v>
      </c>
      <c r="H782" s="2819">
        <f>'Part VI-Pro Forma'!H44</f>
        <v>143683.58385552664</v>
      </c>
      <c r="I782" s="2819">
        <f>'Part VI-Pro Forma'!I44</f>
        <v>21248.457779176679</v>
      </c>
      <c r="J782" s="2819">
        <f>'Part VI-Pro Forma'!J44</f>
        <v>0.26969947549514472</v>
      </c>
      <c r="K782" s="2819">
        <f>'Part VI-Pro Forma'!K44</f>
        <v>0.28919607238557316</v>
      </c>
      <c r="N782" s="2650"/>
      <c r="O782" s="2650"/>
    </row>
    <row r="783" spans="1:19">
      <c r="B783" s="2819"/>
      <c r="C783" s="2819"/>
      <c r="D783" s="2819"/>
      <c r="E783" s="2819"/>
      <c r="F783" s="2819"/>
      <c r="G783" s="2819"/>
      <c r="H783" s="2819"/>
      <c r="I783" s="2819"/>
      <c r="J783" s="2819"/>
      <c r="K783" s="2819"/>
    </row>
    <row r="784" spans="1:19" ht="13">
      <c r="A784" s="360" t="s">
        <v>2278</v>
      </c>
      <c r="B784" s="2822">
        <f>K752+1</f>
        <v>11</v>
      </c>
      <c r="C784" s="2822">
        <f t="shared" ref="C784:K784" si="428">B784+1</f>
        <v>12</v>
      </c>
      <c r="D784" s="2822">
        <f t="shared" si="428"/>
        <v>13</v>
      </c>
      <c r="E784" s="2822">
        <f t="shared" si="428"/>
        <v>14</v>
      </c>
      <c r="F784" s="2822">
        <f t="shared" si="428"/>
        <v>15</v>
      </c>
      <c r="G784" s="2822">
        <f t="shared" si="428"/>
        <v>16</v>
      </c>
      <c r="H784" s="2822">
        <f t="shared" si="428"/>
        <v>17</v>
      </c>
      <c r="I784" s="2822">
        <f t="shared" si="428"/>
        <v>18</v>
      </c>
      <c r="J784" s="2822">
        <f t="shared" si="428"/>
        <v>19</v>
      </c>
      <c r="K784" s="2822">
        <f t="shared" si="428"/>
        <v>20</v>
      </c>
      <c r="N784" s="360" t="s">
        <v>2402</v>
      </c>
      <c r="O784" s="360"/>
    </row>
    <row r="785" spans="1:19">
      <c r="A785" s="356" t="s">
        <v>2209</v>
      </c>
      <c r="B785" s="2819">
        <f>'Part VI-Pro Forma'!B47</f>
        <v>1975619.3805078228</v>
      </c>
      <c r="C785" s="2819">
        <f>'Part VI-Pro Forma'!C47</f>
        <v>2015131.7681179789</v>
      </c>
      <c r="D785" s="2819">
        <f>'Part VI-Pro Forma'!D47</f>
        <v>2055434.4034803389</v>
      </c>
      <c r="E785" s="2819">
        <f>'Part VI-Pro Forma'!E47</f>
        <v>2096543.0915499455</v>
      </c>
      <c r="F785" s="2819">
        <f>'Part VI-Pro Forma'!F47</f>
        <v>2138473.9533809447</v>
      </c>
      <c r="G785" s="2819">
        <f>'Part VI-Pro Forma'!G47</f>
        <v>2181243.4324485627</v>
      </c>
      <c r="H785" s="2819">
        <f>'Part VI-Pro Forma'!H47</f>
        <v>2224868.3010975346</v>
      </c>
      <c r="I785" s="2819">
        <f>'Part VI-Pro Forma'!I47</f>
        <v>2269365.6671194853</v>
      </c>
      <c r="J785" s="2819">
        <f>'Part VI-Pro Forma'!J47</f>
        <v>2314752.980461875</v>
      </c>
      <c r="K785" s="2819">
        <f>'Part VI-Pro Forma'!K47</f>
        <v>2361048.0400711121</v>
      </c>
      <c r="N785" s="2650"/>
      <c r="O785" s="2650"/>
    </row>
    <row r="786" spans="1:19">
      <c r="A786" s="356" t="s">
        <v>951</v>
      </c>
      <c r="B786" s="2819">
        <f>'Part VI-Pro Forma'!B48</f>
        <v>39512.38761015646</v>
      </c>
      <c r="C786" s="2819">
        <f>'Part VI-Pro Forma'!C48</f>
        <v>40302.635362359579</v>
      </c>
      <c r="D786" s="2819">
        <f>'Part VI-Pro Forma'!D48</f>
        <v>41108.688069606782</v>
      </c>
      <c r="E786" s="2819">
        <f>'Part VI-Pro Forma'!E48</f>
        <v>41930.861830998911</v>
      </c>
      <c r="F786" s="2819">
        <f>'Part VI-Pro Forma'!F48</f>
        <v>42769.479067618893</v>
      </c>
      <c r="G786" s="2819">
        <f>'Part VI-Pro Forma'!G48</f>
        <v>43624.868648971264</v>
      </c>
      <c r="H786" s="2819">
        <f>'Part VI-Pro Forma'!H48</f>
        <v>44497.366021950693</v>
      </c>
      <c r="I786" s="2819">
        <f>'Part VI-Pro Forma'!I48</f>
        <v>45387.313342389709</v>
      </c>
      <c r="J786" s="2819">
        <f>'Part VI-Pro Forma'!J48</f>
        <v>46295.059609237498</v>
      </c>
      <c r="K786" s="2819">
        <f>'Part VI-Pro Forma'!K48</f>
        <v>47220.960801422247</v>
      </c>
      <c r="N786" s="2650"/>
      <c r="O786" s="2650"/>
    </row>
    <row r="787" spans="1:19">
      <c r="A787" s="356" t="s">
        <v>2210</v>
      </c>
      <c r="B787" s="2819">
        <f>'Part VI-Pro Forma'!B49</f>
        <v>-141059.22376825858</v>
      </c>
      <c r="C787" s="2819">
        <f>'Part VI-Pro Forma'!C49</f>
        <v>-143880.40824362371</v>
      </c>
      <c r="D787" s="2819">
        <f>'Part VI-Pro Forma'!D49</f>
        <v>-146758.01640849619</v>
      </c>
      <c r="E787" s="2819">
        <f>'Part VI-Pro Forma'!E49</f>
        <v>-149693.17673666612</v>
      </c>
      <c r="F787" s="2819">
        <f>'Part VI-Pro Forma'!F49</f>
        <v>-152687.04027139946</v>
      </c>
      <c r="G787" s="2819">
        <f>'Part VI-Pro Forma'!G49</f>
        <v>-155740.78107682741</v>
      </c>
      <c r="H787" s="2819">
        <f>'Part VI-Pro Forma'!H49</f>
        <v>-158855.59669836398</v>
      </c>
      <c r="I787" s="2819">
        <f>'Part VI-Pro Forma'!I49</f>
        <v>-162032.70863233125</v>
      </c>
      <c r="J787" s="2819">
        <f>'Part VI-Pro Forma'!J49</f>
        <v>-165273.36280497789</v>
      </c>
      <c r="K787" s="2819">
        <f>'Part VI-Pro Forma'!K49</f>
        <v>-168578.8300610774</v>
      </c>
      <c r="N787" s="2650"/>
      <c r="O787" s="2650"/>
    </row>
    <row r="788" spans="1:19">
      <c r="A788" s="356" t="s">
        <v>47</v>
      </c>
      <c r="B788" s="2819">
        <f>'Part VI-Pro Forma'!B50</f>
        <v>0</v>
      </c>
      <c r="C788" s="2819">
        <f>'Part VI-Pro Forma'!C50</f>
        <v>0</v>
      </c>
      <c r="D788" s="2819">
        <f>'Part VI-Pro Forma'!D50</f>
        <v>0</v>
      </c>
      <c r="E788" s="2819">
        <f>'Part VI-Pro Forma'!E50</f>
        <v>0</v>
      </c>
      <c r="F788" s="2819">
        <f>'Part VI-Pro Forma'!F50</f>
        <v>0</v>
      </c>
      <c r="G788" s="2819">
        <f>'Part VI-Pro Forma'!G50</f>
        <v>0</v>
      </c>
      <c r="H788" s="2819">
        <f>'Part VI-Pro Forma'!H50</f>
        <v>0</v>
      </c>
      <c r="I788" s="2819">
        <f>'Part VI-Pro Forma'!I50</f>
        <v>0</v>
      </c>
      <c r="J788" s="2819">
        <f>'Part VI-Pro Forma'!J50</f>
        <v>0</v>
      </c>
      <c r="K788" s="2819">
        <f>'Part VI-Pro Forma'!K50</f>
        <v>0</v>
      </c>
      <c r="N788" s="2650"/>
      <c r="O788" s="2650"/>
    </row>
    <row r="789" spans="1:19">
      <c r="A789" s="356" t="s">
        <v>48</v>
      </c>
      <c r="B789" s="2819">
        <f>'Part VI-Pro Forma'!B51</f>
        <v>0</v>
      </c>
      <c r="C789" s="2819">
        <f>'Part VI-Pro Forma'!C51</f>
        <v>0</v>
      </c>
      <c r="D789" s="2819">
        <f>'Part VI-Pro Forma'!D51</f>
        <v>0</v>
      </c>
      <c r="E789" s="2819">
        <f>'Part VI-Pro Forma'!E51</f>
        <v>0</v>
      </c>
      <c r="F789" s="2819">
        <f>'Part VI-Pro Forma'!F51</f>
        <v>0</v>
      </c>
      <c r="G789" s="2819">
        <f>'Part VI-Pro Forma'!G51</f>
        <v>0</v>
      </c>
      <c r="H789" s="2819">
        <f>'Part VI-Pro Forma'!H51</f>
        <v>0</v>
      </c>
      <c r="I789" s="2819">
        <f>'Part VI-Pro Forma'!I51</f>
        <v>0</v>
      </c>
      <c r="J789" s="2819">
        <f>'Part VI-Pro Forma'!J51</f>
        <v>0</v>
      </c>
      <c r="K789" s="2819">
        <f>'Part VI-Pro Forma'!K51</f>
        <v>0</v>
      </c>
      <c r="N789" s="2650"/>
      <c r="O789" s="2650"/>
    </row>
    <row r="790" spans="1:19">
      <c r="A790" s="356" t="s">
        <v>3714</v>
      </c>
      <c r="B790" s="2819">
        <f>'Part VI-Pro Forma'!B52</f>
        <v>1874072.5443497207</v>
      </c>
      <c r="C790" s="2819">
        <f>'Part VI-Pro Forma'!C52</f>
        <v>1911553.9952367146</v>
      </c>
      <c r="D790" s="2819">
        <f>'Part VI-Pro Forma'!D52</f>
        <v>1949785.0751414495</v>
      </c>
      <c r="E790" s="2819">
        <f>'Part VI-Pro Forma'!E52</f>
        <v>1988780.7766442781</v>
      </c>
      <c r="F790" s="2819">
        <f>'Part VI-Pro Forma'!F52</f>
        <v>2028556.3921771641</v>
      </c>
      <c r="G790" s="2819">
        <f>'Part VI-Pro Forma'!G52</f>
        <v>2069127.5200207068</v>
      </c>
      <c r="H790" s="2819">
        <f>'Part VI-Pro Forma'!H52</f>
        <v>2110510.0704211215</v>
      </c>
      <c r="I790" s="2819">
        <f>'Part VI-Pro Forma'!I52</f>
        <v>2152720.2718295436</v>
      </c>
      <c r="J790" s="2819">
        <f>'Part VI-Pro Forma'!J52</f>
        <v>2195774.6772661349</v>
      </c>
      <c r="K790" s="2819">
        <f>'Part VI-Pro Forma'!K52</f>
        <v>2239690.1708114566</v>
      </c>
      <c r="N790" s="2650"/>
      <c r="O790" s="2650"/>
    </row>
    <row r="791" spans="1:19">
      <c r="A791" s="356" t="s">
        <v>571</v>
      </c>
      <c r="B791" s="2819">
        <f>'Part VI-Pro Forma'!B53</f>
        <v>-1109733.5745778913</v>
      </c>
      <c r="C791" s="2819">
        <f>'Part VI-Pro Forma'!C53</f>
        <v>-1143025.5818152279</v>
      </c>
      <c r="D791" s="2819">
        <f>'Part VI-Pro Forma'!D53</f>
        <v>-1177316.3492696846</v>
      </c>
      <c r="E791" s="2819">
        <f>'Part VI-Pro Forma'!E53</f>
        <v>-1212635.8397477751</v>
      </c>
      <c r="F791" s="2819">
        <f>'Part VI-Pro Forma'!F53</f>
        <v>-1249014.9149402084</v>
      </c>
      <c r="G791" s="2819">
        <f>'Part VI-Pro Forma'!G53</f>
        <v>-1286485.3623884148</v>
      </c>
      <c r="H791" s="2819">
        <f>'Part VI-Pro Forma'!H53</f>
        <v>-1325079.9232600671</v>
      </c>
      <c r="I791" s="2819">
        <f>'Part VI-Pro Forma'!I53</f>
        <v>-1364832.3209578691</v>
      </c>
      <c r="J791" s="2819">
        <f>'Part VI-Pro Forma'!J53</f>
        <v>-1405777.2905866052</v>
      </c>
      <c r="K791" s="2819">
        <f>'Part VI-Pro Forma'!K53</f>
        <v>-1447950.6093042032</v>
      </c>
      <c r="N791" s="2650"/>
      <c r="O791" s="2650"/>
    </row>
    <row r="792" spans="1:19">
      <c r="A792" s="356" t="s">
        <v>1049</v>
      </c>
      <c r="B792" s="2819">
        <f>'Part VI-Pro Forma'!B54</f>
        <v>-82312</v>
      </c>
      <c r="C792" s="2819">
        <f>'Part VI-Pro Forma'!C54</f>
        <v>-84782</v>
      </c>
      <c r="D792" s="2819">
        <f>'Part VI-Pro Forma'!D54</f>
        <v>-87325</v>
      </c>
      <c r="E792" s="2819">
        <f>'Part VI-Pro Forma'!E54</f>
        <v>-89945</v>
      </c>
      <c r="F792" s="2819">
        <f>'Part VI-Pro Forma'!F54</f>
        <v>-92643</v>
      </c>
      <c r="G792" s="2819">
        <f>'Part VI-Pro Forma'!G54</f>
        <v>-95422</v>
      </c>
      <c r="H792" s="2819">
        <f>'Part VI-Pro Forma'!H54</f>
        <v>-98285</v>
      </c>
      <c r="I792" s="2819">
        <f>'Part VI-Pro Forma'!I54</f>
        <v>-101234</v>
      </c>
      <c r="J792" s="2819">
        <f>'Part VI-Pro Forma'!J54</f>
        <v>-104271</v>
      </c>
      <c r="K792" s="2819">
        <f>'Part VI-Pro Forma'!K54</f>
        <v>-107399</v>
      </c>
      <c r="N792" s="2650"/>
      <c r="O792" s="2650"/>
    </row>
    <row r="793" spans="1:19">
      <c r="A793" s="356" t="s">
        <v>1127</v>
      </c>
      <c r="B793" s="2819">
        <f>'Part VI-Pro Forma'!B55</f>
        <v>-62680.259932609843</v>
      </c>
      <c r="C793" s="2819">
        <f>'Part VI-Pro Forma'!C55</f>
        <v>-64560.667730588139</v>
      </c>
      <c r="D793" s="2819">
        <f>'Part VI-Pro Forma'!D55</f>
        <v>-66497.487762505771</v>
      </c>
      <c r="E793" s="2819">
        <f>'Part VI-Pro Forma'!E55</f>
        <v>-68492.412395380947</v>
      </c>
      <c r="F793" s="2819">
        <f>'Part VI-Pro Forma'!F55</f>
        <v>-70547.184767242376</v>
      </c>
      <c r="G793" s="2819">
        <f>'Part VI-Pro Forma'!G55</f>
        <v>-72663.600310259659</v>
      </c>
      <c r="H793" s="2819">
        <f>'Part VI-Pro Forma'!H55</f>
        <v>-74843.508319567423</v>
      </c>
      <c r="I793" s="2819">
        <f>'Part VI-Pro Forma'!I55</f>
        <v>-77088.813569154445</v>
      </c>
      <c r="J793" s="2819">
        <f>'Part VI-Pro Forma'!J55</f>
        <v>-79401.477976229085</v>
      </c>
      <c r="K793" s="2819">
        <f>'Part VI-Pro Forma'!K55</f>
        <v>-81783.522315515962</v>
      </c>
      <c r="N793" s="2650"/>
      <c r="O793" s="2650"/>
      <c r="Q793" s="1640"/>
      <c r="R793" s="1785"/>
      <c r="S793" s="1785"/>
    </row>
    <row r="794" spans="1:19">
      <c r="A794" s="356" t="s">
        <v>3713</v>
      </c>
      <c r="B794" s="2819">
        <f>'Part VI-Pro Forma'!B56</f>
        <v>0</v>
      </c>
      <c r="C794" s="2819">
        <f>'Part VI-Pro Forma'!C56</f>
        <v>0</v>
      </c>
      <c r="D794" s="2819">
        <f>'Part VI-Pro Forma'!D56</f>
        <v>0</v>
      </c>
      <c r="E794" s="2819">
        <f>'Part VI-Pro Forma'!E56</f>
        <v>0</v>
      </c>
      <c r="F794" s="2819">
        <f>'Part VI-Pro Forma'!F56</f>
        <v>0</v>
      </c>
      <c r="G794" s="2819">
        <f>'Part VI-Pro Forma'!G56</f>
        <v>0</v>
      </c>
      <c r="H794" s="2819">
        <f>'Part VI-Pro Forma'!H56</f>
        <v>0</v>
      </c>
      <c r="I794" s="2819">
        <f>'Part VI-Pro Forma'!I56</f>
        <v>0</v>
      </c>
      <c r="J794" s="2819">
        <f>'Part VI-Pro Forma'!J56</f>
        <v>0</v>
      </c>
      <c r="K794" s="2819">
        <f>'Part VI-Pro Forma'!K56</f>
        <v>0</v>
      </c>
      <c r="N794" s="2650"/>
      <c r="O794" s="2650"/>
    </row>
    <row r="795" spans="1:19">
      <c r="A795" s="356" t="s">
        <v>1128</v>
      </c>
      <c r="B795" s="2819">
        <f>SUM(B790:B794)</f>
        <v>619346.70983921958</v>
      </c>
      <c r="C795" s="2819">
        <f t="shared" ref="C795:J795" si="429">SUM(C790:C794)</f>
        <v>619185.74569089862</v>
      </c>
      <c r="D795" s="2819">
        <f t="shared" si="429"/>
        <v>618646.23810925905</v>
      </c>
      <c r="E795" s="2819">
        <f t="shared" si="429"/>
        <v>617707.52450112207</v>
      </c>
      <c r="F795" s="2819">
        <f t="shared" si="429"/>
        <v>616351.29246971325</v>
      </c>
      <c r="G795" s="2819">
        <f t="shared" si="429"/>
        <v>614556.5573220324</v>
      </c>
      <c r="H795" s="2819">
        <f t="shared" si="429"/>
        <v>612301.638841487</v>
      </c>
      <c r="I795" s="2819">
        <f t="shared" si="429"/>
        <v>609565.1373025201</v>
      </c>
      <c r="J795" s="2819">
        <f t="shared" si="429"/>
        <v>606324.90870330064</v>
      </c>
      <c r="K795" s="2819">
        <f>SUM(K790:K794)</f>
        <v>602557.03919173754</v>
      </c>
      <c r="N795" s="2650"/>
      <c r="O795" s="2650"/>
    </row>
    <row r="796" spans="1:19">
      <c r="A796" s="356" t="str">
        <f>$A764</f>
        <v>Mortgage A</v>
      </c>
      <c r="B796" s="2819">
        <f>'Part VI-Pro Forma'!B58</f>
        <v>-482964.9549579189</v>
      </c>
      <c r="C796" s="2819">
        <f>'Part VI-Pro Forma'!C58</f>
        <v>-482964.9549579189</v>
      </c>
      <c r="D796" s="2819">
        <f>'Part VI-Pro Forma'!D58</f>
        <v>-482964.9549579189</v>
      </c>
      <c r="E796" s="2819">
        <f>'Part VI-Pro Forma'!E58</f>
        <v>-482964.9549579189</v>
      </c>
      <c r="F796" s="2819">
        <f>'Part VI-Pro Forma'!F58</f>
        <v>-482964.9549579189</v>
      </c>
      <c r="G796" s="2819">
        <f>'Part VI-Pro Forma'!G58</f>
        <v>-482964.9549579189</v>
      </c>
      <c r="H796" s="2819">
        <f>'Part VI-Pro Forma'!H58</f>
        <v>-482964.9549579189</v>
      </c>
      <c r="I796" s="2819">
        <f>'Part VI-Pro Forma'!I58</f>
        <v>-482964.9549579189</v>
      </c>
      <c r="J796" s="2819">
        <f>'Part VI-Pro Forma'!J58</f>
        <v>-482964.9549579189</v>
      </c>
      <c r="K796" s="2819">
        <f>'Part VI-Pro Forma'!K58</f>
        <v>-482964.9549579189</v>
      </c>
      <c r="N796" s="2650"/>
      <c r="O796" s="2650"/>
    </row>
    <row r="797" spans="1:19">
      <c r="A797" s="356" t="str">
        <f>$A765</f>
        <v>Mortgage B</v>
      </c>
      <c r="B797" s="2819">
        <f>'Part VI-Pro Forma'!B59</f>
        <v>-12512.412913456734</v>
      </c>
      <c r="C797" s="2819">
        <f>'Part VI-Pro Forma'!C59</f>
        <v>-12383.641594799992</v>
      </c>
      <c r="D797" s="2819">
        <f>'Part VI-Pro Forma'!D59</f>
        <v>-11952.035529488348</v>
      </c>
      <c r="E797" s="2819">
        <f>'Part VI-Pro Forma'!E59</f>
        <v>-11201.064642978774</v>
      </c>
      <c r="F797" s="2819">
        <f>'Part VI-Pro Forma'!F59</f>
        <v>-10116.079017851676</v>
      </c>
      <c r="G797" s="2819">
        <f>'Part VI-Pro Forma'!G59</f>
        <v>-124028.65373983793</v>
      </c>
      <c r="H797" s="2819">
        <f>'Part VI-Pro Forma'!H59</f>
        <v>-121546.84680056426</v>
      </c>
      <c r="I797" s="2819">
        <f>'Part VI-Pro Forma'!I59</f>
        <v>-126600.1823446012</v>
      </c>
      <c r="J797" s="2819">
        <f>'Part VI-Pro Forma'!J59</f>
        <v>-123359.95374538173</v>
      </c>
      <c r="K797" s="2819">
        <f>'Part VI-Pro Forma'!K59</f>
        <v>-119592.08423381863</v>
      </c>
      <c r="N797" s="2650"/>
      <c r="O797" s="2650"/>
    </row>
    <row r="798" spans="1:19">
      <c r="A798" s="356" t="str">
        <f>$A766</f>
        <v>Mortgage C</v>
      </c>
      <c r="B798" s="2819">
        <f>'Part VI-Pro Forma'!B60</f>
        <v>0</v>
      </c>
      <c r="C798" s="2819">
        <f>'Part VI-Pro Forma'!C60</f>
        <v>0</v>
      </c>
      <c r="D798" s="2819">
        <f>'Part VI-Pro Forma'!D60</f>
        <v>0</v>
      </c>
      <c r="E798" s="2819">
        <f>'Part VI-Pro Forma'!E60</f>
        <v>0</v>
      </c>
      <c r="F798" s="2819">
        <f>'Part VI-Pro Forma'!F60</f>
        <v>0</v>
      </c>
      <c r="G798" s="2819">
        <f>'Part VI-Pro Forma'!G60</f>
        <v>0</v>
      </c>
      <c r="H798" s="2819">
        <f>'Part VI-Pro Forma'!H60</f>
        <v>0</v>
      </c>
      <c r="I798" s="2819">
        <f>'Part VI-Pro Forma'!I60</f>
        <v>0</v>
      </c>
      <c r="J798" s="2819">
        <f>'Part VI-Pro Forma'!J60</f>
        <v>0</v>
      </c>
      <c r="K798" s="2819">
        <f>'Part VI-Pro Forma'!K60</f>
        <v>0</v>
      </c>
      <c r="N798" s="2650"/>
      <c r="O798" s="2650"/>
    </row>
    <row r="799" spans="1:19">
      <c r="A799" s="356" t="str">
        <f>$A767</f>
        <v>D/S Other Source,not DDF</v>
      </c>
      <c r="B799" s="2819">
        <f>'Part VI-Pro Forma'!B61</f>
        <v>0</v>
      </c>
      <c r="C799" s="2819">
        <f>'Part VI-Pro Forma'!C61</f>
        <v>0</v>
      </c>
      <c r="D799" s="2819">
        <f>'Part VI-Pro Forma'!D61</f>
        <v>0</v>
      </c>
      <c r="E799" s="2819">
        <f>'Part VI-Pro Forma'!E61</f>
        <v>0</v>
      </c>
      <c r="F799" s="2819">
        <f>'Part VI-Pro Forma'!F61</f>
        <v>0</v>
      </c>
      <c r="G799" s="2819">
        <f>'Part VI-Pro Forma'!G61</f>
        <v>0</v>
      </c>
      <c r="H799" s="2819">
        <f>'Part VI-Pro Forma'!H61</f>
        <v>0</v>
      </c>
      <c r="I799" s="2819">
        <f>'Part VI-Pro Forma'!I61</f>
        <v>0</v>
      </c>
      <c r="J799" s="2819">
        <f>'Part VI-Pro Forma'!J61</f>
        <v>0</v>
      </c>
      <c r="K799" s="2819">
        <f>'Part VI-Pro Forma'!K61</f>
        <v>0</v>
      </c>
      <c r="N799" s="2650"/>
      <c r="O799" s="2650"/>
    </row>
    <row r="800" spans="1:19">
      <c r="A800" s="356" t="s">
        <v>710</v>
      </c>
      <c r="B800" s="2819">
        <f>'Part VI-Pro Forma'!B62</f>
        <v>0</v>
      </c>
      <c r="C800" s="2819">
        <f>'Part VI-Pro Forma'!C62</f>
        <v>0</v>
      </c>
      <c r="D800" s="2819">
        <f>'Part VI-Pro Forma'!D62</f>
        <v>0</v>
      </c>
      <c r="E800" s="2819">
        <f>'Part VI-Pro Forma'!E62</f>
        <v>0</v>
      </c>
      <c r="F800" s="2819">
        <f>'Part VI-Pro Forma'!F62</f>
        <v>0</v>
      </c>
      <c r="G800" s="2819">
        <f>'Part VI-Pro Forma'!G62</f>
        <v>0</v>
      </c>
      <c r="H800" s="2819">
        <f>'Part VI-Pro Forma'!H62</f>
        <v>0</v>
      </c>
      <c r="I800" s="2819">
        <f>'Part VI-Pro Forma'!I62</f>
        <v>0</v>
      </c>
      <c r="J800" s="2819">
        <f>'Part VI-Pro Forma'!J62</f>
        <v>0</v>
      </c>
      <c r="K800" s="2819">
        <f>'Part VI-Pro Forma'!K62</f>
        <v>0</v>
      </c>
      <c r="N800" s="2650"/>
      <c r="O800" s="2650"/>
      <c r="Q800" s="1640"/>
      <c r="R800" s="1785"/>
    </row>
    <row r="801" spans="1:15">
      <c r="A801" s="356" t="s">
        <v>1094</v>
      </c>
      <c r="B801" s="2819">
        <f>'Part VI-Pro Forma'!B63</f>
        <v>-6523.865919146223</v>
      </c>
      <c r="C801" s="2819">
        <f>'Part VI-Pro Forma'!C63</f>
        <v>-6719.5818967206096</v>
      </c>
      <c r="D801" s="2819">
        <f>'Part VI-Pro Forma'!D63</f>
        <v>-6921.1693536222283</v>
      </c>
      <c r="E801" s="2819">
        <f>'Part VI-Pro Forma'!E63</f>
        <v>-7128.8044342308949</v>
      </c>
      <c r="F801" s="2819">
        <f>'Part VI-Pro Forma'!F63</f>
        <v>-7342.6685672578224</v>
      </c>
      <c r="G801" s="2819">
        <f>'Part VI-Pro Forma'!G63</f>
        <v>-7562.9486242755574</v>
      </c>
      <c r="H801" s="2819">
        <f>'Part VI-Pro Forma'!H63</f>
        <v>-7789.8370830038248</v>
      </c>
      <c r="I801" s="2819">
        <f>'Part VI-Pro Forma'!I63</f>
        <v>0</v>
      </c>
      <c r="J801" s="2819">
        <f>'Part VI-Pro Forma'!J63</f>
        <v>0</v>
      </c>
      <c r="K801" s="2819">
        <f>'Part VI-Pro Forma'!K63</f>
        <v>0</v>
      </c>
      <c r="N801" s="2650"/>
      <c r="O801" s="2650"/>
    </row>
    <row r="802" spans="1:15">
      <c r="A802" s="356" t="s">
        <v>3274</v>
      </c>
      <c r="B802" s="2819">
        <f>'Part VI-Pro Forma'!B64</f>
        <v>0</v>
      </c>
      <c r="C802" s="2819">
        <f>'Part VI-Pro Forma'!C64</f>
        <v>0</v>
      </c>
      <c r="D802" s="2819">
        <f>'Part VI-Pro Forma'!D64</f>
        <v>0</v>
      </c>
      <c r="E802" s="2819">
        <f>'Part VI-Pro Forma'!E64</f>
        <v>0</v>
      </c>
      <c r="F802" s="2819">
        <f>'Part VI-Pro Forma'!F64</f>
        <v>0</v>
      </c>
      <c r="G802" s="2819">
        <f>'Part VI-Pro Forma'!G64</f>
        <v>0</v>
      </c>
      <c r="H802" s="2819">
        <f>'Part VI-Pro Forma'!H64</f>
        <v>0</v>
      </c>
      <c r="I802" s="2819">
        <f>'Part VI-Pro Forma'!I64</f>
        <v>0</v>
      </c>
      <c r="J802" s="2819">
        <f>'Part VI-Pro Forma'!J64</f>
        <v>0</v>
      </c>
      <c r="K802" s="2819">
        <f>'Part VI-Pro Forma'!K64</f>
        <v>0</v>
      </c>
      <c r="N802" s="2650"/>
      <c r="O802" s="2650"/>
    </row>
    <row r="803" spans="1:15">
      <c r="A803" s="356" t="s">
        <v>1095</v>
      </c>
      <c r="B803" s="2819">
        <f t="shared" ref="B803:K803" si="430">SUM(B795:B802)</f>
        <v>117345.47604869772</v>
      </c>
      <c r="C803" s="2819">
        <f t="shared" si="430"/>
        <v>117117.56724145911</v>
      </c>
      <c r="D803" s="2819">
        <f t="shared" si="430"/>
        <v>116808.07826822957</v>
      </c>
      <c r="E803" s="2819">
        <f t="shared" si="430"/>
        <v>116412.70046599349</v>
      </c>
      <c r="F803" s="2819">
        <f t="shared" si="430"/>
        <v>115927.58992668486</v>
      </c>
      <c r="G803" s="2819">
        <f t="shared" si="430"/>
        <v>9.0949470177292824E-12</v>
      </c>
      <c r="H803" s="2819">
        <f t="shared" si="430"/>
        <v>8.1854523159563541E-12</v>
      </c>
      <c r="I803" s="2819">
        <f t="shared" si="430"/>
        <v>0</v>
      </c>
      <c r="J803" s="2819">
        <f t="shared" si="430"/>
        <v>0</v>
      </c>
      <c r="K803" s="2819">
        <f t="shared" si="430"/>
        <v>0</v>
      </c>
      <c r="N803" s="2650"/>
      <c r="O803" s="2650"/>
    </row>
    <row r="804" spans="1:15">
      <c r="A804" s="356" t="str">
        <f>$A772</f>
        <v>DCR Mortgage A</v>
      </c>
      <c r="B804" s="2820">
        <f t="shared" ref="B804:K804" si="431">IF(B796=0,"",-B795/B796)</f>
        <v>1.2823843707110876</v>
      </c>
      <c r="C804" s="2820">
        <f t="shared" si="431"/>
        <v>1.2820510874227897</v>
      </c>
      <c r="D804" s="2820">
        <f t="shared" si="431"/>
        <v>1.2809340134485785</v>
      </c>
      <c r="E804" s="2820">
        <f t="shared" si="431"/>
        <v>1.2789903659882391</v>
      </c>
      <c r="F804" s="2820">
        <f t="shared" si="431"/>
        <v>1.276182228425697</v>
      </c>
      <c r="G804" s="2820">
        <f t="shared" si="431"/>
        <v>1.272466151039011</v>
      </c>
      <c r="H804" s="2820">
        <f t="shared" si="431"/>
        <v>1.2677972439943128</v>
      </c>
      <c r="I804" s="2820">
        <f t="shared" si="431"/>
        <v>1.2621311982266539</v>
      </c>
      <c r="J804" s="2820">
        <f t="shared" si="431"/>
        <v>1.2554221636146046</v>
      </c>
      <c r="K804" s="2820">
        <f t="shared" si="431"/>
        <v>1.2476206254845941</v>
      </c>
      <c r="N804" s="2650"/>
      <c r="O804" s="2650"/>
    </row>
    <row r="805" spans="1:15">
      <c r="A805" s="356" t="str">
        <f>$A773</f>
        <v>DCR Mortgage B</v>
      </c>
      <c r="B805" s="2820">
        <f t="shared" ref="B805:K805" si="432">IF(B797=0,"",-(B795+B796)/B797)</f>
        <v>10.899716611384051</v>
      </c>
      <c r="C805" s="2820">
        <f t="shared" si="432"/>
        <v>11.000059206346872</v>
      </c>
      <c r="D805" s="2820">
        <f t="shared" si="432"/>
        <v>11.352148578924822</v>
      </c>
      <c r="E805" s="2820">
        <f t="shared" si="432"/>
        <v>12.02944307866883</v>
      </c>
      <c r="F805" s="2820">
        <f t="shared" si="432"/>
        <v>13.185576869892939</v>
      </c>
      <c r="G805" s="2820">
        <f t="shared" si="432"/>
        <v>1.0609774305874478</v>
      </c>
      <c r="H805" s="2820">
        <f t="shared" si="432"/>
        <v>1.0640891745697485</v>
      </c>
      <c r="I805" s="2820">
        <f t="shared" si="432"/>
        <v>1</v>
      </c>
      <c r="J805" s="2820">
        <f t="shared" si="432"/>
        <v>1</v>
      </c>
      <c r="K805" s="2820">
        <f t="shared" si="432"/>
        <v>1</v>
      </c>
      <c r="N805" s="2650"/>
      <c r="O805" s="2650"/>
    </row>
    <row r="806" spans="1:15">
      <c r="A806" s="356" t="str">
        <f>$A774</f>
        <v>DCR Mortgage C</v>
      </c>
      <c r="B806" s="2820" t="str">
        <f t="shared" ref="B806:K806" si="433">IF(B798=0,"",-(B795+B796+B797)/B798)</f>
        <v/>
      </c>
      <c r="C806" s="2820" t="str">
        <f t="shared" si="433"/>
        <v/>
      </c>
      <c r="D806" s="2820" t="str">
        <f t="shared" si="433"/>
        <v/>
      </c>
      <c r="E806" s="2820" t="str">
        <f t="shared" si="433"/>
        <v/>
      </c>
      <c r="F806" s="2820" t="str">
        <f t="shared" si="433"/>
        <v/>
      </c>
      <c r="G806" s="2820" t="str">
        <f t="shared" si="433"/>
        <v/>
      </c>
      <c r="H806" s="2820" t="str">
        <f t="shared" si="433"/>
        <v/>
      </c>
      <c r="I806" s="2820" t="str">
        <f t="shared" si="433"/>
        <v/>
      </c>
      <c r="J806" s="2820" t="str">
        <f t="shared" si="433"/>
        <v/>
      </c>
      <c r="K806" s="2820" t="str">
        <f t="shared" si="433"/>
        <v/>
      </c>
      <c r="N806" s="2650"/>
      <c r="O806" s="2650"/>
    </row>
    <row r="807" spans="1:15">
      <c r="A807" s="356" t="str">
        <f>$A775</f>
        <v>DCR Other Source</v>
      </c>
      <c r="B807" s="2820" t="str">
        <f t="shared" ref="B807:K807" si="434">IF(B799=0,"",-(B795+B796+B797+B798)/B799)</f>
        <v/>
      </c>
      <c r="C807" s="2820" t="str">
        <f t="shared" si="434"/>
        <v/>
      </c>
      <c r="D807" s="2820" t="str">
        <f t="shared" si="434"/>
        <v/>
      </c>
      <c r="E807" s="2820" t="str">
        <f t="shared" si="434"/>
        <v/>
      </c>
      <c r="F807" s="2820" t="str">
        <f t="shared" si="434"/>
        <v/>
      </c>
      <c r="G807" s="2820" t="str">
        <f t="shared" si="434"/>
        <v/>
      </c>
      <c r="H807" s="2820" t="str">
        <f t="shared" si="434"/>
        <v/>
      </c>
      <c r="I807" s="2820" t="str">
        <f t="shared" si="434"/>
        <v/>
      </c>
      <c r="J807" s="2820" t="str">
        <f t="shared" si="434"/>
        <v/>
      </c>
      <c r="K807" s="2820" t="str">
        <f t="shared" si="434"/>
        <v/>
      </c>
      <c r="N807" s="2650"/>
      <c r="O807" s="2650"/>
    </row>
    <row r="808" spans="1:15">
      <c r="A808" s="356" t="s">
        <v>3130</v>
      </c>
      <c r="B808" s="2820">
        <f t="shared" ref="B808:K808" si="435">IF(AND(B796=0,B797=0,B798=0,B799=0),"",-B795/(B796+B797+B798+B799))</f>
        <v>1.25</v>
      </c>
      <c r="C808" s="2820">
        <f t="shared" si="435"/>
        <v>1.25</v>
      </c>
      <c r="D808" s="2820">
        <f t="shared" si="435"/>
        <v>1.25</v>
      </c>
      <c r="E808" s="2820">
        <f t="shared" si="435"/>
        <v>1.25</v>
      </c>
      <c r="F808" s="2820">
        <f t="shared" si="435"/>
        <v>1.25</v>
      </c>
      <c r="G808" s="2820">
        <f t="shared" si="435"/>
        <v>1.0124596841151277</v>
      </c>
      <c r="H808" s="2820">
        <f t="shared" si="435"/>
        <v>1.0128861621234586</v>
      </c>
      <c r="I808" s="2820">
        <f t="shared" si="435"/>
        <v>1</v>
      </c>
      <c r="J808" s="2820">
        <f t="shared" si="435"/>
        <v>1</v>
      </c>
      <c r="K808" s="2820">
        <f t="shared" si="435"/>
        <v>1</v>
      </c>
      <c r="N808" s="2650"/>
      <c r="O808" s="2650"/>
    </row>
    <row r="809" spans="1:15">
      <c r="A809" s="356" t="s">
        <v>717</v>
      </c>
      <c r="B809" s="2821">
        <f t="shared" ref="B809:K809" si="436">IF(OR(B792="Choose mgt fee",B792="Choose One!"),"",(B785+B786+B787+B788+B789) / -(B791+B792+B793))</f>
        <v>1.4936111880416025</v>
      </c>
      <c r="C809" s="2821">
        <f t="shared" si="436"/>
        <v>1.4791093760687035</v>
      </c>
      <c r="D809" s="2821">
        <f t="shared" si="436"/>
        <v>1.4647495970356834</v>
      </c>
      <c r="E809" s="2821">
        <f t="shared" si="436"/>
        <v>1.450528462673726</v>
      </c>
      <c r="F809" s="2821">
        <f t="shared" si="436"/>
        <v>1.436446018073009</v>
      </c>
      <c r="G809" s="2821">
        <f t="shared" si="436"/>
        <v>1.4225002238335913</v>
      </c>
      <c r="H809" s="2821">
        <f t="shared" si="436"/>
        <v>1.408689222364012</v>
      </c>
      <c r="I809" s="2821">
        <f t="shared" si="436"/>
        <v>1.3950122211720157</v>
      </c>
      <c r="J809" s="2821">
        <f t="shared" si="436"/>
        <v>1.3814684305824487</v>
      </c>
      <c r="K809" s="2821">
        <f t="shared" si="436"/>
        <v>1.3680562243557981</v>
      </c>
      <c r="N809" s="2650"/>
      <c r="O809" s="2650"/>
    </row>
    <row r="810" spans="1:15">
      <c r="A810" s="356" t="s">
        <v>2399</v>
      </c>
      <c r="B810" s="2819">
        <f>'Part VI-Pro Forma'!B72</f>
        <v>6513805.7244583536</v>
      </c>
      <c r="C810" s="2819">
        <f>'Part VI-Pro Forma'!C72</f>
        <v>6430410.4371587392</v>
      </c>
      <c r="D810" s="2819">
        <f>'Part VI-Pro Forma'!D72</f>
        <v>6341721.6275131963</v>
      </c>
      <c r="E810" s="2819">
        <f>'Part VI-Pro Forma'!E72</f>
        <v>6247403.2887792084</v>
      </c>
      <c r="F810" s="2819">
        <f>'Part VI-Pro Forma'!F72</f>
        <v>6147098.0861601494</v>
      </c>
      <c r="G810" s="2819">
        <f>'Part VI-Pro Forma'!G72</f>
        <v>6040426.0030053928</v>
      </c>
      <c r="H810" s="2819">
        <f>'Part VI-Pro Forma'!H72</f>
        <v>5926982.9010778638</v>
      </c>
      <c r="I810" s="2819">
        <f>'Part VI-Pro Forma'!I72</f>
        <v>5806338.9894344658</v>
      </c>
      <c r="J810" s="2819">
        <f>'Part VI-Pro Forma'!J72</f>
        <v>5678037.196118569</v>
      </c>
      <c r="K810" s="2819">
        <f>'Part VI-Pro Forma'!K72</f>
        <v>5541591.4364955556</v>
      </c>
      <c r="N810" s="2650"/>
      <c r="O810" s="2650"/>
    </row>
    <row r="811" spans="1:15">
      <c r="A811" s="356" t="s">
        <v>2400</v>
      </c>
      <c r="B811" s="2819">
        <f>'Part VI-Pro Forma'!B73</f>
        <v>18622728.196885657</v>
      </c>
      <c r="C811" s="2819">
        <f>'Part VI-Pro Forma'!C73</f>
        <v>19956177.946113899</v>
      </c>
      <c r="D811" s="2819">
        <f>'Part VI-Pro Forma'!D73</f>
        <v>21386468.611779574</v>
      </c>
      <c r="E811" s="2819">
        <f>'Part VI-Pro Forma'!E73</f>
        <v>22920930.644544229</v>
      </c>
      <c r="F811" s="2819">
        <f>'Part VI-Pro Forma'!F73</f>
        <v>24567439.543136384</v>
      </c>
      <c r="G811" s="2819">
        <f>'Part VI-Pro Forma'!G73</f>
        <v>26215335.428321216</v>
      </c>
      <c r="H811" s="2819">
        <f>'Part VI-Pro Forma'!H73</f>
        <v>27984920.840635996</v>
      </c>
      <c r="I811" s="2819">
        <f>'Part VI-Pro Forma'!I73</f>
        <v>29877211.06784514</v>
      </c>
      <c r="J811" s="2819">
        <f>'Part VI-Pro Forma'!J73</f>
        <v>31909641.342688844</v>
      </c>
      <c r="K811" s="2819">
        <f>'Part VI-Pro Forma'!K73</f>
        <v>34092887.30345919</v>
      </c>
      <c r="N811" s="2650"/>
      <c r="O811" s="2650"/>
    </row>
    <row r="812" spans="1:15">
      <c r="A812" s="356" t="s">
        <v>2401</v>
      </c>
      <c r="B812" s="2819" t="str">
        <f>'Part VI-Pro Forma'!B74</f>
        <v/>
      </c>
      <c r="C812" s="2819" t="str">
        <f>'Part VI-Pro Forma'!C74</f>
        <v/>
      </c>
      <c r="D812" s="2819" t="str">
        <f>'Part VI-Pro Forma'!D74</f>
        <v/>
      </c>
      <c r="E812" s="2819" t="str">
        <f>'Part VI-Pro Forma'!E74</f>
        <v/>
      </c>
      <c r="F812" s="2819" t="str">
        <f>'Part VI-Pro Forma'!F74</f>
        <v/>
      </c>
      <c r="G812" s="2819" t="str">
        <f>'Part VI-Pro Forma'!G74</f>
        <v/>
      </c>
      <c r="H812" s="2819" t="str">
        <f>'Part VI-Pro Forma'!H74</f>
        <v/>
      </c>
      <c r="I812" s="2819" t="str">
        <f>'Part VI-Pro Forma'!I74</f>
        <v/>
      </c>
      <c r="J812" s="2819" t="str">
        <f>'Part VI-Pro Forma'!J74</f>
        <v/>
      </c>
      <c r="K812" s="2819" t="str">
        <f>'Part VI-Pro Forma'!K74</f>
        <v/>
      </c>
      <c r="N812" s="2650"/>
      <c r="O812" s="2650"/>
    </row>
    <row r="813" spans="1:15">
      <c r="A813" s="356" t="s">
        <v>729</v>
      </c>
      <c r="B813" s="2819" t="str">
        <f>'Part VI-Pro Forma'!B75</f>
        <v/>
      </c>
      <c r="C813" s="2819" t="str">
        <f>'Part VI-Pro Forma'!C75</f>
        <v/>
      </c>
      <c r="D813" s="2819" t="str">
        <f>'Part VI-Pro Forma'!D75</f>
        <v/>
      </c>
      <c r="E813" s="2819" t="str">
        <f>'Part VI-Pro Forma'!E75</f>
        <v/>
      </c>
      <c r="F813" s="2819" t="str">
        <f>'Part VI-Pro Forma'!F75</f>
        <v/>
      </c>
      <c r="G813" s="2819" t="str">
        <f>'Part VI-Pro Forma'!G75</f>
        <v/>
      </c>
      <c r="H813" s="2819" t="str">
        <f>'Part VI-Pro Forma'!H75</f>
        <v/>
      </c>
      <c r="I813" s="2819" t="str">
        <f>'Part VI-Pro Forma'!I75</f>
        <v/>
      </c>
      <c r="J813" s="2819" t="str">
        <f>'Part VI-Pro Forma'!J75</f>
        <v/>
      </c>
      <c r="K813" s="2819" t="str">
        <f>'Part VI-Pro Forma'!K75</f>
        <v/>
      </c>
      <c r="N813" s="2650"/>
      <c r="O813" s="2650"/>
    </row>
    <row r="814" spans="1:15">
      <c r="A814" s="356" t="s">
        <v>3275</v>
      </c>
      <c r="B814" s="2819">
        <f>'Part VI-Pro Forma'!B76</f>
        <v>0.31010207984163207</v>
      </c>
      <c r="C814" s="2819">
        <f>'Part VI-Pro Forma'!C76</f>
        <v>0.33251938426707056</v>
      </c>
      <c r="D814" s="2819">
        <f>'Part VI-Pro Forma'!D76</f>
        <v>0.35655723744200285</v>
      </c>
      <c r="E814" s="2819">
        <f>'Part VI-Pro Forma'!E76</f>
        <v>0.38233278896656131</v>
      </c>
      <c r="F814" s="2819">
        <f>'Part VI-Pro Forma'!F76</f>
        <v>0.40997165719494422</v>
      </c>
      <c r="G814" s="2819">
        <f>'Part VI-Pro Forma'!G76</f>
        <v>0.43960854144233175</v>
      </c>
      <c r="H814" s="2819" t="str">
        <f>'Part VI-Pro Forma'!H76</f>
        <v/>
      </c>
      <c r="I814" s="2819" t="str">
        <f>'Part VI-Pro Forma'!I76</f>
        <v/>
      </c>
      <c r="J814" s="2819" t="str">
        <f>'Part VI-Pro Forma'!J76</f>
        <v/>
      </c>
      <c r="K814" s="2819" t="str">
        <f>'Part VI-Pro Forma'!K76</f>
        <v/>
      </c>
      <c r="N814" s="2650"/>
      <c r="O814" s="2650"/>
    </row>
    <row r="815" spans="1:15">
      <c r="B815" s="2819"/>
      <c r="C815" s="2819"/>
      <c r="D815" s="2819"/>
      <c r="E815" s="2819"/>
      <c r="F815" s="2819"/>
      <c r="G815" s="2819"/>
      <c r="H815" s="2819"/>
      <c r="I815" s="2819"/>
      <c r="J815" s="2819"/>
      <c r="K815" s="2819"/>
    </row>
    <row r="816" spans="1:15" ht="13">
      <c r="A816" s="360" t="s">
        <v>2278</v>
      </c>
      <c r="B816" s="2822">
        <f>K784+1</f>
        <v>21</v>
      </c>
      <c r="C816" s="2822">
        <f t="shared" ref="C816:K816" si="437">B816+1</f>
        <v>22</v>
      </c>
      <c r="D816" s="2822">
        <f t="shared" si="437"/>
        <v>23</v>
      </c>
      <c r="E816" s="2822">
        <f t="shared" si="437"/>
        <v>24</v>
      </c>
      <c r="F816" s="2822">
        <f t="shared" si="437"/>
        <v>25</v>
      </c>
      <c r="G816" s="2822">
        <f t="shared" si="437"/>
        <v>26</v>
      </c>
      <c r="H816" s="2822">
        <f t="shared" si="437"/>
        <v>27</v>
      </c>
      <c r="I816" s="2822">
        <f t="shared" si="437"/>
        <v>28</v>
      </c>
      <c r="J816" s="2822">
        <f t="shared" si="437"/>
        <v>29</v>
      </c>
      <c r="K816" s="2822">
        <f t="shared" si="437"/>
        <v>30</v>
      </c>
      <c r="N816" s="360" t="s">
        <v>2403</v>
      </c>
      <c r="O816" s="360"/>
    </row>
    <row r="817" spans="1:19">
      <c r="A817" s="356" t="s">
        <v>2209</v>
      </c>
      <c r="B817" s="2819">
        <f>'Part VI-Pro Forma'!B79</f>
        <v>2408269.0008725347</v>
      </c>
      <c r="C817" s="2819">
        <f>'Part VI-Pro Forma'!C79</f>
        <v>2456434.3808899852</v>
      </c>
      <c r="D817" s="2819">
        <f>'Part VI-Pro Forma'!D79</f>
        <v>2505563.068507785</v>
      </c>
      <c r="E817" s="2819">
        <f>'Part VI-Pro Forma'!E79</f>
        <v>2555674.3298779405</v>
      </c>
      <c r="F817" s="2819">
        <f>'Part VI-Pro Forma'!F79</f>
        <v>2606787.8164754994</v>
      </c>
      <c r="G817" s="2819">
        <f>'Part VI-Pro Forma'!G79</f>
        <v>2658923.5728050093</v>
      </c>
      <c r="H817" s="2819">
        <f>'Part VI-Pro Forma'!H79</f>
        <v>2712102.04426111</v>
      </c>
      <c r="I817" s="2819">
        <f>'Part VI-Pro Forma'!I79</f>
        <v>2766344.0851463317</v>
      </c>
      <c r="J817" s="2819">
        <f>'Part VI-Pro Forma'!J79</f>
        <v>2821670.9668492586</v>
      </c>
      <c r="K817" s="2819">
        <f>'Part VI-Pro Forma'!K79</f>
        <v>2878104.3861862435</v>
      </c>
      <c r="N817" s="2650"/>
      <c r="O817" s="2650"/>
    </row>
    <row r="818" spans="1:19">
      <c r="A818" s="356" t="s">
        <v>951</v>
      </c>
      <c r="B818" s="2819">
        <f>'Part VI-Pro Forma'!B80</f>
        <v>48165.380017450698</v>
      </c>
      <c r="C818" s="2819">
        <f>'Part VI-Pro Forma'!C80</f>
        <v>49128.687617799711</v>
      </c>
      <c r="D818" s="2819">
        <f>'Part VI-Pro Forma'!D80</f>
        <v>50111.261370155706</v>
      </c>
      <c r="E818" s="2819">
        <f>'Part VI-Pro Forma'!E80</f>
        <v>51113.486597558811</v>
      </c>
      <c r="F818" s="2819">
        <f>'Part VI-Pro Forma'!F80</f>
        <v>52135.75632950999</v>
      </c>
      <c r="G818" s="2819">
        <f>'Part VI-Pro Forma'!G80</f>
        <v>53178.471456100189</v>
      </c>
      <c r="H818" s="2819">
        <f>'Part VI-Pro Forma'!H80</f>
        <v>54242.040885222203</v>
      </c>
      <c r="I818" s="2819">
        <f>'Part VI-Pro Forma'!I80</f>
        <v>55326.881702926636</v>
      </c>
      <c r="J818" s="2819">
        <f>'Part VI-Pro Forma'!J80</f>
        <v>56433.419336985178</v>
      </c>
      <c r="K818" s="2819">
        <f>'Part VI-Pro Forma'!K80</f>
        <v>57562.087723724871</v>
      </c>
      <c r="N818" s="2650"/>
      <c r="O818" s="2650"/>
    </row>
    <row r="819" spans="1:19">
      <c r="A819" s="356" t="s">
        <v>2210</v>
      </c>
      <c r="B819" s="2819">
        <f>'Part VI-Pro Forma'!B81</f>
        <v>-171950.40666229898</v>
      </c>
      <c r="C819" s="2819">
        <f>'Part VI-Pro Forma'!C81</f>
        <v>-175389.41479554496</v>
      </c>
      <c r="D819" s="2819">
        <f>'Part VI-Pro Forma'!D81</f>
        <v>-178897.20309145586</v>
      </c>
      <c r="E819" s="2819">
        <f>'Part VI-Pro Forma'!E81</f>
        <v>-182475.14715328498</v>
      </c>
      <c r="F819" s="2819">
        <f>'Part VI-Pro Forma'!F81</f>
        <v>-186124.65009635067</v>
      </c>
      <c r="G819" s="2819">
        <f>'Part VI-Pro Forma'!G81</f>
        <v>-189847.14309827768</v>
      </c>
      <c r="H819" s="2819">
        <f>'Part VI-Pro Forma'!H81</f>
        <v>-193644.08596024328</v>
      </c>
      <c r="I819" s="2819">
        <f>'Part VI-Pro Forma'!I81</f>
        <v>-197516.96767944808</v>
      </c>
      <c r="J819" s="2819">
        <f>'Part VI-Pro Forma'!J81</f>
        <v>-201467.3070330371</v>
      </c>
      <c r="K819" s="2819">
        <f>'Part VI-Pro Forma'!K81</f>
        <v>-205496.65317369782</v>
      </c>
      <c r="N819" s="2650"/>
      <c r="O819" s="2650"/>
    </row>
    <row r="820" spans="1:19">
      <c r="A820" s="356" t="s">
        <v>47</v>
      </c>
      <c r="B820" s="2819">
        <f>'Part VI-Pro Forma'!B82</f>
        <v>0</v>
      </c>
      <c r="C820" s="2819">
        <f>'Part VI-Pro Forma'!C82</f>
        <v>0</v>
      </c>
      <c r="D820" s="2819">
        <f>'Part VI-Pro Forma'!D82</f>
        <v>0</v>
      </c>
      <c r="E820" s="2819">
        <f>'Part VI-Pro Forma'!E82</f>
        <v>0</v>
      </c>
      <c r="F820" s="2819">
        <f>'Part VI-Pro Forma'!F82</f>
        <v>0</v>
      </c>
      <c r="G820" s="2819">
        <f>'Part VI-Pro Forma'!G82</f>
        <v>0</v>
      </c>
      <c r="H820" s="2819">
        <f>'Part VI-Pro Forma'!H82</f>
        <v>0</v>
      </c>
      <c r="I820" s="2819">
        <f>'Part VI-Pro Forma'!I82</f>
        <v>0</v>
      </c>
      <c r="J820" s="2819">
        <f>'Part VI-Pro Forma'!J82</f>
        <v>0</v>
      </c>
      <c r="K820" s="2819">
        <f>'Part VI-Pro Forma'!K82</f>
        <v>0</v>
      </c>
      <c r="N820" s="2650"/>
      <c r="O820" s="2650"/>
    </row>
    <row r="821" spans="1:19">
      <c r="A821" s="356" t="s">
        <v>48</v>
      </c>
      <c r="B821" s="2819">
        <f>'Part VI-Pro Forma'!B83</f>
        <v>0</v>
      </c>
      <c r="C821" s="2819">
        <f>'Part VI-Pro Forma'!C83</f>
        <v>0</v>
      </c>
      <c r="D821" s="2819">
        <f>'Part VI-Pro Forma'!D83</f>
        <v>0</v>
      </c>
      <c r="E821" s="2819">
        <f>'Part VI-Pro Forma'!E83</f>
        <v>0</v>
      </c>
      <c r="F821" s="2819">
        <f>'Part VI-Pro Forma'!F83</f>
        <v>0</v>
      </c>
      <c r="G821" s="2819">
        <f>'Part VI-Pro Forma'!G83</f>
        <v>0</v>
      </c>
      <c r="H821" s="2819">
        <f>'Part VI-Pro Forma'!H83</f>
        <v>0</v>
      </c>
      <c r="I821" s="2819">
        <f>'Part VI-Pro Forma'!I83</f>
        <v>0</v>
      </c>
      <c r="J821" s="2819">
        <f>'Part VI-Pro Forma'!J83</f>
        <v>0</v>
      </c>
      <c r="K821" s="2819">
        <f>'Part VI-Pro Forma'!K83</f>
        <v>0</v>
      </c>
      <c r="N821" s="2650"/>
      <c r="O821" s="2650"/>
    </row>
    <row r="822" spans="1:19">
      <c r="A822" s="356" t="s">
        <v>3714</v>
      </c>
      <c r="B822" s="2819">
        <f>'Part VI-Pro Forma'!B84</f>
        <v>2284483.9742276864</v>
      </c>
      <c r="C822" s="2819">
        <f>'Part VI-Pro Forma'!C84</f>
        <v>2330173.65371224</v>
      </c>
      <c r="D822" s="2819">
        <f>'Part VI-Pro Forma'!D84</f>
        <v>2376777.1267864844</v>
      </c>
      <c r="E822" s="2819">
        <f>'Part VI-Pro Forma'!E84</f>
        <v>2424312.6693222146</v>
      </c>
      <c r="F822" s="2819">
        <f>'Part VI-Pro Forma'!F84</f>
        <v>2472798.9227086585</v>
      </c>
      <c r="G822" s="2819">
        <f>'Part VI-Pro Forma'!G84</f>
        <v>2522254.901162832</v>
      </c>
      <c r="H822" s="2819">
        <f>'Part VI-Pro Forma'!H84</f>
        <v>2572699.9991860888</v>
      </c>
      <c r="I822" s="2819">
        <f>'Part VI-Pro Forma'!I84</f>
        <v>2624153.9991698102</v>
      </c>
      <c r="J822" s="2819">
        <f>'Part VI-Pro Forma'!J84</f>
        <v>2676637.0791532067</v>
      </c>
      <c r="K822" s="2819">
        <f>'Part VI-Pro Forma'!K84</f>
        <v>2730169.8207362709</v>
      </c>
      <c r="N822" s="2650"/>
      <c r="O822" s="2650"/>
    </row>
    <row r="823" spans="1:19">
      <c r="A823" s="356" t="s">
        <v>571</v>
      </c>
      <c r="B823" s="2819">
        <f>'Part VI-Pro Forma'!B85</f>
        <v>-1491389.1275833293</v>
      </c>
      <c r="C823" s="2819">
        <f>'Part VI-Pro Forma'!C85</f>
        <v>-1536130.8014108289</v>
      </c>
      <c r="D823" s="2819">
        <f>'Part VI-Pro Forma'!D85</f>
        <v>-1582214.725453154</v>
      </c>
      <c r="E823" s="2819">
        <f>'Part VI-Pro Forma'!E85</f>
        <v>-1629681.1672167487</v>
      </c>
      <c r="F823" s="2819">
        <f>'Part VI-Pro Forma'!F85</f>
        <v>-1678571.6022332509</v>
      </c>
      <c r="G823" s="2819">
        <f>'Part VI-Pro Forma'!G85</f>
        <v>-1728928.7503002484</v>
      </c>
      <c r="H823" s="2819">
        <f>'Part VI-Pro Forma'!H85</f>
        <v>-1780796.6128092562</v>
      </c>
      <c r="I823" s="2819">
        <f>'Part VI-Pro Forma'!I85</f>
        <v>-1834220.5111935337</v>
      </c>
      <c r="J823" s="2819">
        <f>'Part VI-Pro Forma'!J85</f>
        <v>-1889247.1265293397</v>
      </c>
      <c r="K823" s="2819">
        <f>'Part VI-Pro Forma'!K85</f>
        <v>-1945924.5403252197</v>
      </c>
      <c r="N823" s="2650"/>
      <c r="O823" s="2650"/>
    </row>
    <row r="824" spans="1:19">
      <c r="A824" s="356" t="s">
        <v>1049</v>
      </c>
      <c r="B824" s="2819">
        <f>'Part VI-Pro Forma'!B86</f>
        <v>-110621</v>
      </c>
      <c r="C824" s="2819">
        <f>'Part VI-Pro Forma'!C86</f>
        <v>-113939</v>
      </c>
      <c r="D824" s="2819">
        <f>'Part VI-Pro Forma'!D86</f>
        <v>-117358</v>
      </c>
      <c r="E824" s="2819">
        <f>'Part VI-Pro Forma'!E86</f>
        <v>-120878</v>
      </c>
      <c r="F824" s="2819">
        <f>'Part VI-Pro Forma'!F86</f>
        <v>-124505</v>
      </c>
      <c r="G824" s="2819">
        <f>'Part VI-Pro Forma'!G86</f>
        <v>-128240</v>
      </c>
      <c r="H824" s="2819">
        <f>'Part VI-Pro Forma'!H86</f>
        <v>-132087</v>
      </c>
      <c r="I824" s="2819">
        <f>'Part VI-Pro Forma'!I86</f>
        <v>-136050</v>
      </c>
      <c r="J824" s="2819">
        <f>'Part VI-Pro Forma'!J86</f>
        <v>-140131</v>
      </c>
      <c r="K824" s="2819">
        <f>'Part VI-Pro Forma'!K86</f>
        <v>-144335</v>
      </c>
      <c r="N824" s="2650"/>
      <c r="O824" s="2650"/>
    </row>
    <row r="825" spans="1:19">
      <c r="A825" s="356" t="s">
        <v>1127</v>
      </c>
      <c r="B825" s="2819">
        <f>'Part VI-Pro Forma'!B87</f>
        <v>-84237.02798498144</v>
      </c>
      <c r="C825" s="2819">
        <f>'Part VI-Pro Forma'!C87</f>
        <v>-86764.138824530863</v>
      </c>
      <c r="D825" s="2819">
        <f>'Part VI-Pro Forma'!D87</f>
        <v>-89367.062989266808</v>
      </c>
      <c r="E825" s="2819">
        <f>'Part VI-Pro Forma'!E87</f>
        <v>-92048.074878944812</v>
      </c>
      <c r="F825" s="2819">
        <f>'Part VI-Pro Forma'!F87</f>
        <v>-94809.517125313141</v>
      </c>
      <c r="G825" s="2819">
        <f>'Part VI-Pro Forma'!G87</f>
        <v>-97653.802639072528</v>
      </c>
      <c r="H825" s="2819">
        <f>'Part VI-Pro Forma'!H87</f>
        <v>-100583.41671824473</v>
      </c>
      <c r="I825" s="2819">
        <f>'Part VI-Pro Forma'!I87</f>
        <v>-103600.91921979205</v>
      </c>
      <c r="J825" s="2819">
        <f>'Part VI-Pro Forma'!J87</f>
        <v>-106708.94679638582</v>
      </c>
      <c r="K825" s="2819">
        <f>'Part VI-Pro Forma'!K87</f>
        <v>-109910.21520027738</v>
      </c>
      <c r="N825" s="2650"/>
      <c r="O825" s="2650"/>
      <c r="Q825" s="1640"/>
      <c r="R825" s="1785"/>
      <c r="S825" s="1785"/>
    </row>
    <row r="826" spans="1:19">
      <c r="A826" s="356" t="s">
        <v>3713</v>
      </c>
      <c r="B826" s="2819">
        <f>'Part VI-Pro Forma'!B88</f>
        <v>0</v>
      </c>
      <c r="C826" s="2819">
        <f>'Part VI-Pro Forma'!C88</f>
        <v>0</v>
      </c>
      <c r="D826" s="2819">
        <f>'Part VI-Pro Forma'!D88</f>
        <v>0</v>
      </c>
      <c r="E826" s="2819">
        <f>'Part VI-Pro Forma'!E88</f>
        <v>0</v>
      </c>
      <c r="F826" s="2819">
        <f>'Part VI-Pro Forma'!F88</f>
        <v>0</v>
      </c>
      <c r="G826" s="2819">
        <f>'Part VI-Pro Forma'!G88</f>
        <v>0</v>
      </c>
      <c r="H826" s="2819">
        <f>'Part VI-Pro Forma'!H88</f>
        <v>0</v>
      </c>
      <c r="I826" s="2819">
        <f>'Part VI-Pro Forma'!I88</f>
        <v>0</v>
      </c>
      <c r="J826" s="2819">
        <f>'Part VI-Pro Forma'!J88</f>
        <v>0</v>
      </c>
      <c r="K826" s="2819">
        <f>'Part VI-Pro Forma'!K88</f>
        <v>0</v>
      </c>
      <c r="N826" s="2650"/>
      <c r="O826" s="2650"/>
    </row>
    <row r="827" spans="1:19">
      <c r="A827" s="356" t="s">
        <v>1128</v>
      </c>
      <c r="B827" s="2819">
        <f>SUM(B822:B826)</f>
        <v>598236.81865937565</v>
      </c>
      <c r="C827" s="2819">
        <f t="shared" ref="C827:J827" si="438">SUM(C822:C826)</f>
        <v>593339.71347688022</v>
      </c>
      <c r="D827" s="2819">
        <f t="shared" si="438"/>
        <v>587837.33834406361</v>
      </c>
      <c r="E827" s="2819">
        <f t="shared" si="438"/>
        <v>581705.42722652107</v>
      </c>
      <c r="F827" s="2819">
        <f t="shared" si="438"/>
        <v>574912.80335009447</v>
      </c>
      <c r="G827" s="2819">
        <f t="shared" si="438"/>
        <v>567432.34822351113</v>
      </c>
      <c r="H827" s="2819">
        <f t="shared" si="438"/>
        <v>559232.96965858783</v>
      </c>
      <c r="I827" s="2819">
        <f t="shared" si="438"/>
        <v>550282.56875648454</v>
      </c>
      <c r="J827" s="2819">
        <f t="shared" si="438"/>
        <v>540550.00582748116</v>
      </c>
      <c r="K827" s="2819">
        <f>SUM(K822:K826)</f>
        <v>530000.06521077373</v>
      </c>
      <c r="N827" s="2650"/>
      <c r="O827" s="2650"/>
    </row>
    <row r="828" spans="1:19">
      <c r="A828" s="356" t="str">
        <f>$A796</f>
        <v>Mortgage A</v>
      </c>
      <c r="B828" s="2819">
        <f>'Part VI-Pro Forma'!B90</f>
        <v>-482964.9549579189</v>
      </c>
      <c r="C828" s="2819">
        <f>'Part VI-Pro Forma'!C90</f>
        <v>-482964.9549579189</v>
      </c>
      <c r="D828" s="2819">
        <f>'Part VI-Pro Forma'!D90</f>
        <v>-482964.9549579189</v>
      </c>
      <c r="E828" s="2819">
        <f>'Part VI-Pro Forma'!E90</f>
        <v>-482964.9549579189</v>
      </c>
      <c r="F828" s="2819">
        <f>'Part VI-Pro Forma'!F90</f>
        <v>-482964.9549579189</v>
      </c>
      <c r="G828" s="2819">
        <f>'Part VI-Pro Forma'!G90</f>
        <v>-482964.9549579189</v>
      </c>
      <c r="H828" s="2819">
        <f>'Part VI-Pro Forma'!H90</f>
        <v>-482964.9549579189</v>
      </c>
      <c r="I828" s="2819">
        <f>'Part VI-Pro Forma'!I90</f>
        <v>-482964.9549579189</v>
      </c>
      <c r="J828" s="2819">
        <f>'Part VI-Pro Forma'!J90</f>
        <v>-482964.9549579189</v>
      </c>
      <c r="K828" s="2819">
        <f>'Part VI-Pro Forma'!K90</f>
        <v>-482964.9549579189</v>
      </c>
      <c r="N828" s="2650"/>
      <c r="O828" s="2650"/>
    </row>
    <row r="829" spans="1:19">
      <c r="A829" s="356" t="str">
        <f>$A797</f>
        <v>Mortgage B</v>
      </c>
      <c r="B829" s="2819">
        <f>'Part VI-Pro Forma'!B91</f>
        <v>-115271.86370145675</v>
      </c>
      <c r="C829" s="2819">
        <f>'Part VI-Pro Forma'!C91</f>
        <v>-110374.75851896132</v>
      </c>
      <c r="D829" s="2819">
        <f>'Part VI-Pro Forma'!D91</f>
        <v>-104872.38338614471</v>
      </c>
      <c r="E829" s="2819">
        <f>'Part VI-Pro Forma'!E91</f>
        <v>-98740.472268602171</v>
      </c>
      <c r="F829" s="2819">
        <f>'Part VI-Pro Forma'!F91</f>
        <v>-91947.848392175569</v>
      </c>
      <c r="G829" s="2819">
        <f>'Part VI-Pro Forma'!G91</f>
        <v>-84467.393265592225</v>
      </c>
      <c r="H829" s="2819">
        <f>'Part VI-Pro Forma'!H91</f>
        <v>-76268.014700668922</v>
      </c>
      <c r="I829" s="2819">
        <f>'Part VI-Pro Forma'!I91</f>
        <v>-67317.613798565639</v>
      </c>
      <c r="J829" s="2819">
        <f>'Part VI-Pro Forma'!J91</f>
        <v>-57585.050869562256</v>
      </c>
      <c r="K829" s="2819">
        <f>'Part VI-Pro Forma'!K91</f>
        <v>-47035.110252854822</v>
      </c>
      <c r="N829" s="2650"/>
      <c r="O829" s="2650"/>
    </row>
    <row r="830" spans="1:19">
      <c r="A830" s="356" t="str">
        <f>$A798</f>
        <v>Mortgage C</v>
      </c>
      <c r="B830" s="2819">
        <f>'Part VI-Pro Forma'!B92</f>
        <v>0</v>
      </c>
      <c r="C830" s="2819">
        <f>'Part VI-Pro Forma'!C92</f>
        <v>0</v>
      </c>
      <c r="D830" s="2819">
        <f>'Part VI-Pro Forma'!D92</f>
        <v>0</v>
      </c>
      <c r="E830" s="2819">
        <f>'Part VI-Pro Forma'!E92</f>
        <v>0</v>
      </c>
      <c r="F830" s="2819">
        <f>'Part VI-Pro Forma'!F92</f>
        <v>0</v>
      </c>
      <c r="G830" s="2819">
        <f>'Part VI-Pro Forma'!G92</f>
        <v>0</v>
      </c>
      <c r="H830" s="2819">
        <f>'Part VI-Pro Forma'!H92</f>
        <v>0</v>
      </c>
      <c r="I830" s="2819">
        <f>'Part VI-Pro Forma'!I92</f>
        <v>0</v>
      </c>
      <c r="J830" s="2819">
        <f>'Part VI-Pro Forma'!J92</f>
        <v>0</v>
      </c>
      <c r="K830" s="2819">
        <f>'Part VI-Pro Forma'!K92</f>
        <v>0</v>
      </c>
      <c r="N830" s="2650"/>
      <c r="O830" s="2650"/>
    </row>
    <row r="831" spans="1:19">
      <c r="A831" s="356" t="str">
        <f>$A799</f>
        <v>D/S Other Source,not DDF</v>
      </c>
      <c r="B831" s="2819">
        <f>'Part VI-Pro Forma'!B93</f>
        <v>0</v>
      </c>
      <c r="C831" s="2819">
        <f>'Part VI-Pro Forma'!C93</f>
        <v>0</v>
      </c>
      <c r="D831" s="2819">
        <f>'Part VI-Pro Forma'!D93</f>
        <v>0</v>
      </c>
      <c r="E831" s="2819">
        <f>'Part VI-Pro Forma'!E93</f>
        <v>0</v>
      </c>
      <c r="F831" s="2819">
        <f>'Part VI-Pro Forma'!F93</f>
        <v>0</v>
      </c>
      <c r="G831" s="2819">
        <f>'Part VI-Pro Forma'!G93</f>
        <v>0</v>
      </c>
      <c r="H831" s="2819">
        <f>'Part VI-Pro Forma'!H93</f>
        <v>0</v>
      </c>
      <c r="I831" s="2819">
        <f>'Part VI-Pro Forma'!I93</f>
        <v>0</v>
      </c>
      <c r="J831" s="2819">
        <f>'Part VI-Pro Forma'!J93</f>
        <v>0</v>
      </c>
      <c r="K831" s="2819">
        <f>'Part VI-Pro Forma'!K93</f>
        <v>0</v>
      </c>
      <c r="N831" s="2650"/>
      <c r="O831" s="2650"/>
    </row>
    <row r="832" spans="1:19">
      <c r="A832" s="356" t="s">
        <v>710</v>
      </c>
      <c r="B832" s="2819">
        <f>'Part VI-Pro Forma'!B94</f>
        <v>0</v>
      </c>
      <c r="C832" s="2819">
        <f>'Part VI-Pro Forma'!C94</f>
        <v>0</v>
      </c>
      <c r="D832" s="2819">
        <f>'Part VI-Pro Forma'!D94</f>
        <v>0</v>
      </c>
      <c r="E832" s="2819">
        <f>'Part VI-Pro Forma'!E94</f>
        <v>0</v>
      </c>
      <c r="F832" s="2819">
        <f>'Part VI-Pro Forma'!F94</f>
        <v>0</v>
      </c>
      <c r="G832" s="2819">
        <f>'Part VI-Pro Forma'!G94</f>
        <v>0</v>
      </c>
      <c r="H832" s="2819">
        <f>'Part VI-Pro Forma'!H94</f>
        <v>0</v>
      </c>
      <c r="I832" s="2819">
        <f>'Part VI-Pro Forma'!I94</f>
        <v>0</v>
      </c>
      <c r="J832" s="2819">
        <f>'Part VI-Pro Forma'!J94</f>
        <v>0</v>
      </c>
      <c r="K832" s="2819">
        <f>'Part VI-Pro Forma'!K94</f>
        <v>0</v>
      </c>
      <c r="N832" s="2650"/>
      <c r="O832" s="2650"/>
    </row>
    <row r="833" spans="1:15">
      <c r="A833" s="356" t="s">
        <v>1094</v>
      </c>
      <c r="B833" s="2819">
        <f>'Part VI-Pro Forma'!B95</f>
        <v>0</v>
      </c>
      <c r="C833" s="2819">
        <f>'Part VI-Pro Forma'!C95</f>
        <v>0</v>
      </c>
      <c r="D833" s="2819">
        <f>'Part VI-Pro Forma'!D95</f>
        <v>0</v>
      </c>
      <c r="E833" s="2819">
        <f>'Part VI-Pro Forma'!E95</f>
        <v>0</v>
      </c>
      <c r="F833" s="2819">
        <f>'Part VI-Pro Forma'!F95</f>
        <v>0</v>
      </c>
      <c r="G833" s="2819">
        <f>'Part VI-Pro Forma'!G95</f>
        <v>0</v>
      </c>
      <c r="H833" s="2819">
        <f>'Part VI-Pro Forma'!H95</f>
        <v>0</v>
      </c>
      <c r="I833" s="2819">
        <f>'Part VI-Pro Forma'!I95</f>
        <v>0</v>
      </c>
      <c r="J833" s="2819">
        <f>'Part VI-Pro Forma'!J95</f>
        <v>0</v>
      </c>
      <c r="K833" s="2819">
        <f>'Part VI-Pro Forma'!K95</f>
        <v>0</v>
      </c>
      <c r="N833" s="2650"/>
      <c r="O833" s="2650"/>
    </row>
    <row r="834" spans="1:15">
      <c r="A834" s="356" t="s">
        <v>1095</v>
      </c>
      <c r="B834" s="2819">
        <f>'Part VI-Pro Forma'!B96</f>
        <v>0</v>
      </c>
      <c r="C834" s="2819">
        <f>'Part VI-Pro Forma'!C96</f>
        <v>0</v>
      </c>
      <c r="D834" s="2819">
        <f>'Part VI-Pro Forma'!D96</f>
        <v>0</v>
      </c>
      <c r="E834" s="2819">
        <f>'Part VI-Pro Forma'!E96</f>
        <v>0</v>
      </c>
      <c r="F834" s="2819">
        <f>'Part VI-Pro Forma'!F96</f>
        <v>0</v>
      </c>
      <c r="G834" s="2819">
        <f>'Part VI-Pro Forma'!G96</f>
        <v>0</v>
      </c>
      <c r="H834" s="2819">
        <f>'Part VI-Pro Forma'!H96</f>
        <v>0</v>
      </c>
      <c r="I834" s="2819">
        <f>'Part VI-Pro Forma'!I96</f>
        <v>0</v>
      </c>
      <c r="J834" s="2819">
        <f>'Part VI-Pro Forma'!J96</f>
        <v>0</v>
      </c>
      <c r="K834" s="2819">
        <f>'Part VI-Pro Forma'!K96</f>
        <v>0</v>
      </c>
      <c r="N834" s="2650"/>
      <c r="O834" s="2650"/>
    </row>
    <row r="835" spans="1:15">
      <c r="A835" s="356" t="str">
        <f>$A804</f>
        <v>DCR Mortgage A</v>
      </c>
      <c r="B835" s="2820">
        <f t="shared" ref="B835:K835" si="439">IF(B828=0,"",-B827/B828)</f>
        <v>1.2386754204795263</v>
      </c>
      <c r="C835" s="2820">
        <f t="shared" si="439"/>
        <v>1.2285357506500205</v>
      </c>
      <c r="D835" s="2820">
        <f t="shared" si="439"/>
        <v>1.2171428429942341</v>
      </c>
      <c r="E835" s="2820">
        <f t="shared" si="439"/>
        <v>1.2044464536297577</v>
      </c>
      <c r="F835" s="2820">
        <f t="shared" si="439"/>
        <v>1.1903820296861645</v>
      </c>
      <c r="G835" s="2820">
        <f t="shared" si="439"/>
        <v>1.1748934211447122</v>
      </c>
      <c r="H835" s="2820">
        <f t="shared" si="439"/>
        <v>1.1579162502739235</v>
      </c>
      <c r="I835" s="2820">
        <f t="shared" si="439"/>
        <v>1.1393840549040066</v>
      </c>
      <c r="J835" s="2820">
        <f t="shared" si="439"/>
        <v>1.1192323589494804</v>
      </c>
      <c r="K835" s="2820">
        <f t="shared" si="439"/>
        <v>1.0973882468489935</v>
      </c>
      <c r="N835" s="2650"/>
      <c r="O835" s="2650"/>
    </row>
    <row r="836" spans="1:15">
      <c r="A836" s="356" t="str">
        <f>$A805</f>
        <v>DCR Mortgage B</v>
      </c>
      <c r="B836" s="2820">
        <f t="shared" ref="B836:K836" si="440">IF(B829=0,"",-(B827+B828)/B829)</f>
        <v>1</v>
      </c>
      <c r="C836" s="2820">
        <f t="shared" si="440"/>
        <v>1</v>
      </c>
      <c r="D836" s="2820">
        <f t="shared" si="440"/>
        <v>1</v>
      </c>
      <c r="E836" s="2820">
        <f t="shared" si="440"/>
        <v>1</v>
      </c>
      <c r="F836" s="2820">
        <f t="shared" si="440"/>
        <v>1</v>
      </c>
      <c r="G836" s="2820">
        <f t="shared" si="440"/>
        <v>1</v>
      </c>
      <c r="H836" s="2820">
        <f t="shared" si="440"/>
        <v>1</v>
      </c>
      <c r="I836" s="2820">
        <f t="shared" si="440"/>
        <v>1</v>
      </c>
      <c r="J836" s="2820">
        <f t="shared" si="440"/>
        <v>1</v>
      </c>
      <c r="K836" s="2820">
        <f t="shared" si="440"/>
        <v>1</v>
      </c>
      <c r="N836" s="2650"/>
      <c r="O836" s="2650"/>
    </row>
    <row r="837" spans="1:15">
      <c r="A837" s="356" t="str">
        <f>$A806</f>
        <v>DCR Mortgage C</v>
      </c>
      <c r="B837" s="2820" t="str">
        <f t="shared" ref="B837:K837" si="441">IF(B830=0,"",-(B827+B828+B829)/B830)</f>
        <v/>
      </c>
      <c r="C837" s="2820" t="str">
        <f t="shared" si="441"/>
        <v/>
      </c>
      <c r="D837" s="2820" t="str">
        <f t="shared" si="441"/>
        <v/>
      </c>
      <c r="E837" s="2820" t="str">
        <f t="shared" si="441"/>
        <v/>
      </c>
      <c r="F837" s="2820" t="str">
        <f t="shared" si="441"/>
        <v/>
      </c>
      <c r="G837" s="2820" t="str">
        <f t="shared" si="441"/>
        <v/>
      </c>
      <c r="H837" s="2820" t="str">
        <f t="shared" si="441"/>
        <v/>
      </c>
      <c r="I837" s="2820" t="str">
        <f t="shared" si="441"/>
        <v/>
      </c>
      <c r="J837" s="2820" t="str">
        <f t="shared" si="441"/>
        <v/>
      </c>
      <c r="K837" s="2820" t="str">
        <f t="shared" si="441"/>
        <v/>
      </c>
      <c r="N837" s="2650"/>
      <c r="O837" s="2650"/>
    </row>
    <row r="838" spans="1:15">
      <c r="A838" s="356" t="str">
        <f>$A807</f>
        <v>DCR Other Source</v>
      </c>
      <c r="B838" s="2820" t="str">
        <f t="shared" ref="B838:K838" si="442">IF(B831=0,"",-(B827+B828+B829+B830)/B831)</f>
        <v/>
      </c>
      <c r="C838" s="2820" t="str">
        <f t="shared" si="442"/>
        <v/>
      </c>
      <c r="D838" s="2820" t="str">
        <f t="shared" si="442"/>
        <v/>
      </c>
      <c r="E838" s="2820" t="str">
        <f t="shared" si="442"/>
        <v/>
      </c>
      <c r="F838" s="2820" t="str">
        <f t="shared" si="442"/>
        <v/>
      </c>
      <c r="G838" s="2820" t="str">
        <f t="shared" si="442"/>
        <v/>
      </c>
      <c r="H838" s="2820" t="str">
        <f t="shared" si="442"/>
        <v/>
      </c>
      <c r="I838" s="2820" t="str">
        <f t="shared" si="442"/>
        <v/>
      </c>
      <c r="J838" s="2820" t="str">
        <f t="shared" si="442"/>
        <v/>
      </c>
      <c r="K838" s="2820" t="str">
        <f t="shared" si="442"/>
        <v/>
      </c>
      <c r="N838" s="2650"/>
      <c r="O838" s="2650"/>
    </row>
    <row r="839" spans="1:15">
      <c r="A839" s="356" t="s">
        <v>3130</v>
      </c>
      <c r="B839" s="2820">
        <f t="shared" ref="B839:K839" si="443">IF(AND(B828=0,B829=0,B830=0,B831=0),"",-B827/(B828+B829+B830+B831))</f>
        <v>1</v>
      </c>
      <c r="C839" s="2820">
        <f t="shared" si="443"/>
        <v>1</v>
      </c>
      <c r="D839" s="2820">
        <f t="shared" si="443"/>
        <v>1</v>
      </c>
      <c r="E839" s="2820">
        <f t="shared" si="443"/>
        <v>1</v>
      </c>
      <c r="F839" s="2820">
        <f t="shared" si="443"/>
        <v>1</v>
      </c>
      <c r="G839" s="2820">
        <f t="shared" si="443"/>
        <v>1</v>
      </c>
      <c r="H839" s="2820">
        <f t="shared" si="443"/>
        <v>1</v>
      </c>
      <c r="I839" s="2820">
        <f t="shared" si="443"/>
        <v>1</v>
      </c>
      <c r="J839" s="2820">
        <f t="shared" si="443"/>
        <v>1</v>
      </c>
      <c r="K839" s="2820">
        <f t="shared" si="443"/>
        <v>1</v>
      </c>
      <c r="N839" s="2650"/>
      <c r="O839" s="2650"/>
    </row>
    <row r="840" spans="1:15">
      <c r="A840" s="356" t="s">
        <v>717</v>
      </c>
      <c r="B840" s="2821">
        <f>IF(OR(B824="Choose mgt fee",B824="Choose One!"),"",(B817+B818+B819+B820+B821) / -(B823+B824+B825))</f>
        <v>1.3547741009874401</v>
      </c>
      <c r="C840" s="2821">
        <f t="shared" ref="C840:K840" si="444">IF(OR(C824="Choose mgt fee",C824="Choose One!"),"",(C817+C818+C819+C820+C821) / -(C823+C824+C825))</f>
        <v>1.3416214410207095</v>
      </c>
      <c r="D840" s="2821">
        <f t="shared" si="444"/>
        <v>1.328595373719021</v>
      </c>
      <c r="E840" s="2821">
        <f t="shared" si="444"/>
        <v>1.3156969178982045</v>
      </c>
      <c r="F840" s="2821">
        <f t="shared" si="444"/>
        <v>1.3029227083152912</v>
      </c>
      <c r="G840" s="2821">
        <f t="shared" si="444"/>
        <v>1.2902730722900171</v>
      </c>
      <c r="H840" s="2821">
        <f t="shared" si="444"/>
        <v>1.2777462761780722</v>
      </c>
      <c r="I840" s="2821">
        <f t="shared" si="444"/>
        <v>1.2653407345733154</v>
      </c>
      <c r="J840" s="2821">
        <f t="shared" si="444"/>
        <v>1.2530561663789694</v>
      </c>
      <c r="K840" s="2821">
        <f t="shared" si="444"/>
        <v>1.2408905330507947</v>
      </c>
      <c r="N840" s="2650"/>
      <c r="O840" s="2650"/>
    </row>
    <row r="841" spans="1:15">
      <c r="A841" s="356" t="s">
        <v>2399</v>
      </c>
      <c r="B841" s="2819">
        <f>'Part VI-Pro Forma'!B103</f>
        <v>5396484.7716708295</v>
      </c>
      <c r="C841" s="2819">
        <f>'Part VI-Pro Forma'!C103</f>
        <v>5242167.4500132641</v>
      </c>
      <c r="D841" s="2819">
        <f>'Part VI-Pro Forma'!D103</f>
        <v>5078054.8243642002</v>
      </c>
      <c r="E841" s="2819">
        <f>'Part VI-Pro Forma'!E103</f>
        <v>4903525.1370411217</v>
      </c>
      <c r="F841" s="2819">
        <f>'Part VI-Pro Forma'!F103</f>
        <v>4717917.164244269</v>
      </c>
      <c r="G841" s="2819">
        <f>'Part VI-Pro Forma'!G103</f>
        <v>4520527.7109417766</v>
      </c>
      <c r="H841" s="2819">
        <f>'Part VI-Pro Forma'!H103</f>
        <v>4310608.9467424555</v>
      </c>
      <c r="I841" s="2819">
        <f>'Part VI-Pro Forma'!I103</f>
        <v>4087365.5726628848</v>
      </c>
      <c r="J841" s="2819">
        <f>'Part VI-Pro Forma'!J103</f>
        <v>3849951.8080548313</v>
      </c>
      <c r="K841" s="2819">
        <f>'Part VI-Pro Forma'!K103</f>
        <v>3597468.1862776489</v>
      </c>
      <c r="N841" s="2650"/>
      <c r="O841" s="2650"/>
    </row>
    <row r="842" spans="1:15">
      <c r="A842" s="356" t="s">
        <v>2400</v>
      </c>
      <c r="B842" s="2819">
        <f>'Part VI-Pro Forma'!B104</f>
        <v>36438421.849714115</v>
      </c>
      <c r="C842" s="2819">
        <f>'Part VI-Pro Forma'!C104</f>
        <v>38958572.594106108</v>
      </c>
      <c r="D842" s="2819">
        <f>'Part VI-Pro Forma'!D104</f>
        <v>41666587.627340853</v>
      </c>
      <c r="E842" s="2819">
        <f>'Part VI-Pro Forma'!E104</f>
        <v>44576697.805580758</v>
      </c>
      <c r="F842" s="2819">
        <f>'Part VI-Pro Forma'!F104</f>
        <v>47704194.931466937</v>
      </c>
      <c r="G842" s="2819">
        <f>'Part VI-Pro Forma'!G104</f>
        <v>51065504.25897453</v>
      </c>
      <c r="H842" s="2819">
        <f>'Part VI-Pro Forma'!H104</f>
        <v>54678270.534399457</v>
      </c>
      <c r="I842" s="2819">
        <f>'Part VI-Pro Forma'!I104</f>
        <v>58561447.193202518</v>
      </c>
      <c r="J842" s="2819">
        <f>'Part VI-Pro Forma'!J104</f>
        <v>62735389.974664874</v>
      </c>
      <c r="K842" s="2819">
        <f>'Part VI-Pro Forma'!K104</f>
        <v>67221962.503862873</v>
      </c>
      <c r="N842" s="2650"/>
      <c r="O842" s="2650"/>
    </row>
    <row r="843" spans="1:15">
      <c r="A843" s="356" t="s">
        <v>2401</v>
      </c>
      <c r="B843" s="2819" t="str">
        <f>'Part VI-Pro Forma'!B105</f>
        <v/>
      </c>
      <c r="C843" s="2819" t="str">
        <f>'Part VI-Pro Forma'!C105</f>
        <v/>
      </c>
      <c r="D843" s="2819" t="str">
        <f>'Part VI-Pro Forma'!D105</f>
        <v/>
      </c>
      <c r="E843" s="2819" t="str">
        <f>'Part VI-Pro Forma'!E105</f>
        <v/>
      </c>
      <c r="F843" s="2819" t="str">
        <f>'Part VI-Pro Forma'!F105</f>
        <v/>
      </c>
      <c r="G843" s="2819" t="str">
        <f>'Part VI-Pro Forma'!G105</f>
        <v/>
      </c>
      <c r="H843" s="2819" t="str">
        <f>'Part VI-Pro Forma'!H105</f>
        <v/>
      </c>
      <c r="I843" s="2819" t="str">
        <f>'Part VI-Pro Forma'!I105</f>
        <v/>
      </c>
      <c r="J843" s="2819" t="str">
        <f>'Part VI-Pro Forma'!J105</f>
        <v/>
      </c>
      <c r="K843" s="2819" t="str">
        <f>'Part VI-Pro Forma'!K105</f>
        <v/>
      </c>
      <c r="N843" s="2650"/>
      <c r="O843" s="2650"/>
    </row>
    <row r="844" spans="1:15">
      <c r="A844" s="356" t="s">
        <v>729</v>
      </c>
      <c r="B844" s="2819" t="str">
        <f>'Part VI-Pro Forma'!B106</f>
        <v/>
      </c>
      <c r="C844" s="2819" t="str">
        <f>'Part VI-Pro Forma'!C106</f>
        <v/>
      </c>
      <c r="D844" s="2819" t="str">
        <f>'Part VI-Pro Forma'!D106</f>
        <v/>
      </c>
      <c r="E844" s="2819" t="str">
        <f>'Part VI-Pro Forma'!E106</f>
        <v/>
      </c>
      <c r="F844" s="2819" t="str">
        <f>'Part VI-Pro Forma'!F106</f>
        <v/>
      </c>
      <c r="G844" s="2819" t="str">
        <f>'Part VI-Pro Forma'!G106</f>
        <v/>
      </c>
      <c r="H844" s="2819" t="str">
        <f>'Part VI-Pro Forma'!H106</f>
        <v/>
      </c>
      <c r="I844" s="2819" t="str">
        <f>'Part VI-Pro Forma'!I106</f>
        <v/>
      </c>
      <c r="J844" s="2819" t="str">
        <f>'Part VI-Pro Forma'!J106</f>
        <v/>
      </c>
      <c r="K844" s="2819" t="str">
        <f>'Part VI-Pro Forma'!K106</f>
        <v/>
      </c>
      <c r="N844" s="2650"/>
      <c r="O844" s="2650"/>
    </row>
    <row r="845" spans="1:15">
      <c r="B845" s="2819"/>
      <c r="C845" s="2819"/>
      <c r="D845" s="2819"/>
      <c r="E845" s="2819"/>
      <c r="F845" s="2819"/>
      <c r="G845" s="2819"/>
      <c r="H845" s="2819"/>
      <c r="I845" s="2819"/>
      <c r="J845" s="2819"/>
      <c r="K845" s="2819"/>
    </row>
    <row r="846" spans="1:15" ht="13">
      <c r="A846" s="360" t="s">
        <v>2278</v>
      </c>
      <c r="B846" s="2822">
        <f>K816+1</f>
        <v>31</v>
      </c>
      <c r="C846" s="2822">
        <f>B846+1</f>
        <v>32</v>
      </c>
      <c r="D846" s="2822">
        <f>C846+1</f>
        <v>33</v>
      </c>
      <c r="E846" s="2822">
        <f>D846+1</f>
        <v>34</v>
      </c>
      <c r="F846" s="2822">
        <f>E846+1</f>
        <v>35</v>
      </c>
      <c r="G846" s="2819"/>
      <c r="H846" s="2819"/>
      <c r="I846" s="2819"/>
      <c r="J846" s="2819"/>
      <c r="K846" s="2819"/>
      <c r="N846" s="360" t="s">
        <v>3122</v>
      </c>
      <c r="O846" s="360"/>
    </row>
    <row r="847" spans="1:15">
      <c r="A847" s="356" t="s">
        <v>2209</v>
      </c>
      <c r="B847" s="2819">
        <f>'Part VI-Pro Forma'!B109</f>
        <v>2935666.4739099685</v>
      </c>
      <c r="C847" s="2819">
        <f>'Part VI-Pro Forma'!C109</f>
        <v>2994379.8033881672</v>
      </c>
      <c r="D847" s="2819">
        <f>'Part VI-Pro Forma'!D109</f>
        <v>3054267.399455931</v>
      </c>
      <c r="E847" s="2819">
        <f>'Part VI-Pro Forma'!E109</f>
        <v>3115352.7474450502</v>
      </c>
      <c r="F847" s="2819">
        <f>'Part VI-Pro Forma'!F109</f>
        <v>3177659.8023939505</v>
      </c>
      <c r="G847" s="2819"/>
      <c r="H847" s="2819"/>
      <c r="I847" s="2819"/>
      <c r="J847" s="2819"/>
      <c r="K847" s="2819"/>
      <c r="N847" s="2650"/>
      <c r="O847" s="2650"/>
    </row>
    <row r="848" spans="1:15">
      <c r="A848" s="356" t="s">
        <v>951</v>
      </c>
      <c r="B848" s="2819">
        <f>'Part VI-Pro Forma'!B110</f>
        <v>58713.329478199375</v>
      </c>
      <c r="C848" s="2819">
        <f>'Part VI-Pro Forma'!C110</f>
        <v>59887.596067763348</v>
      </c>
      <c r="D848" s="2819">
        <f>'Part VI-Pro Forma'!D110</f>
        <v>61085.347989118629</v>
      </c>
      <c r="E848" s="2819">
        <f>'Part VI-Pro Forma'!E110</f>
        <v>62307.054948901008</v>
      </c>
      <c r="F848" s="2819">
        <f>'Part VI-Pro Forma'!F110</f>
        <v>63553.196047879021</v>
      </c>
      <c r="G848" s="2819"/>
      <c r="H848" s="2819"/>
      <c r="I848" s="2819"/>
      <c r="J848" s="2819"/>
      <c r="K848" s="2819"/>
      <c r="N848" s="2650"/>
      <c r="O848" s="2650"/>
    </row>
    <row r="849" spans="1:19">
      <c r="A849" s="356" t="s">
        <v>2210</v>
      </c>
      <c r="B849" s="2819">
        <f>'Part VI-Pro Forma'!B111</f>
        <v>-209606.58623717178</v>
      </c>
      <c r="C849" s="2819">
        <f>'Part VI-Pro Forma'!C111</f>
        <v>-213798.71796191516</v>
      </c>
      <c r="D849" s="2819">
        <f>'Part VI-Pro Forma'!D111</f>
        <v>-218074.6923211535</v>
      </c>
      <c r="E849" s="2819">
        <f>'Part VI-Pro Forma'!E111</f>
        <v>-222436.18616757658</v>
      </c>
      <c r="F849" s="2819">
        <f>'Part VI-Pro Forma'!F111</f>
        <v>-226884.90989092807</v>
      </c>
      <c r="G849" s="2819"/>
      <c r="H849" s="2819"/>
      <c r="I849" s="2819"/>
      <c r="J849" s="2819"/>
      <c r="K849" s="2819"/>
      <c r="N849" s="2650"/>
      <c r="O849" s="2650"/>
    </row>
    <row r="850" spans="1:19">
      <c r="A850" s="356" t="s">
        <v>47</v>
      </c>
      <c r="B850" s="2819">
        <f>'Part VI-Pro Forma'!B112</f>
        <v>0</v>
      </c>
      <c r="C850" s="2819">
        <f>'Part VI-Pro Forma'!C112</f>
        <v>0</v>
      </c>
      <c r="D850" s="2819">
        <f>'Part VI-Pro Forma'!D112</f>
        <v>0</v>
      </c>
      <c r="E850" s="2819">
        <f>'Part VI-Pro Forma'!E112</f>
        <v>0</v>
      </c>
      <c r="F850" s="2819">
        <f>'Part VI-Pro Forma'!F112</f>
        <v>0</v>
      </c>
      <c r="G850" s="2819"/>
      <c r="H850" s="2819"/>
      <c r="I850" s="2819"/>
      <c r="J850" s="2819"/>
      <c r="K850" s="2819"/>
      <c r="N850" s="2650"/>
      <c r="O850" s="2650"/>
    </row>
    <row r="851" spans="1:19">
      <c r="A851" s="356" t="s">
        <v>48</v>
      </c>
      <c r="B851" s="2819">
        <f>'Part VI-Pro Forma'!B113</f>
        <v>0</v>
      </c>
      <c r="C851" s="2819">
        <f>'Part VI-Pro Forma'!C113</f>
        <v>0</v>
      </c>
      <c r="D851" s="2819">
        <f>'Part VI-Pro Forma'!D113</f>
        <v>0</v>
      </c>
      <c r="E851" s="2819">
        <f>'Part VI-Pro Forma'!E113</f>
        <v>0</v>
      </c>
      <c r="F851" s="2819">
        <f>'Part VI-Pro Forma'!F113</f>
        <v>0</v>
      </c>
      <c r="G851" s="2819"/>
      <c r="H851" s="2819"/>
      <c r="I851" s="2819"/>
      <c r="J851" s="2819"/>
      <c r="K851" s="2819"/>
      <c r="N851" s="2650"/>
      <c r="O851" s="2650"/>
    </row>
    <row r="852" spans="1:19">
      <c r="A852" s="356" t="s">
        <v>3714</v>
      </c>
      <c r="B852" s="2819">
        <f>'Part VI-Pro Forma'!B114</f>
        <v>2784773.2171509964</v>
      </c>
      <c r="C852" s="2819">
        <f>'Part VI-Pro Forma'!C114</f>
        <v>2840468.6814940153</v>
      </c>
      <c r="D852" s="2819">
        <f>'Part VI-Pro Forma'!D114</f>
        <v>2897278.0551238963</v>
      </c>
      <c r="E852" s="2819">
        <f>'Part VI-Pro Forma'!E114</f>
        <v>2955223.6162263742</v>
      </c>
      <c r="F852" s="2819">
        <f>'Part VI-Pro Forma'!F114</f>
        <v>3014328.088550901</v>
      </c>
      <c r="G852" s="2819"/>
      <c r="H852" s="2819"/>
      <c r="I852" s="2819"/>
      <c r="J852" s="2819"/>
      <c r="K852" s="2819"/>
      <c r="N852" s="2650"/>
      <c r="O852" s="2650"/>
    </row>
    <row r="853" spans="1:19">
      <c r="A853" s="356" t="s">
        <v>571</v>
      </c>
      <c r="B853" s="2819">
        <f>'Part VI-Pro Forma'!B115</f>
        <v>-2004302.2765349762</v>
      </c>
      <c r="C853" s="2819">
        <f>'Part VI-Pro Forma'!C115</f>
        <v>-2064431.3448310259</v>
      </c>
      <c r="D853" s="2819">
        <f>'Part VI-Pro Forma'!D115</f>
        <v>-2126364.2851759563</v>
      </c>
      <c r="E853" s="2819">
        <f>'Part VI-Pro Forma'!E115</f>
        <v>-2190155.2137312349</v>
      </c>
      <c r="F853" s="2819">
        <f>'Part VI-Pro Forma'!F115</f>
        <v>-2255859.8701431719</v>
      </c>
      <c r="G853" s="2819"/>
      <c r="H853" s="2819"/>
      <c r="I853" s="2819"/>
      <c r="J853" s="2819"/>
      <c r="K853" s="2819"/>
      <c r="N853" s="2650"/>
      <c r="O853" s="2650"/>
    </row>
    <row r="854" spans="1:19">
      <c r="A854" s="356" t="s">
        <v>1049</v>
      </c>
      <c r="B854" s="2819">
        <f>'Part VI-Pro Forma'!B116</f>
        <v>-148665</v>
      </c>
      <c r="C854" s="2819">
        <f>'Part VI-Pro Forma'!C116</f>
        <v>-153125</v>
      </c>
      <c r="D854" s="2819">
        <f>'Part VI-Pro Forma'!D116</f>
        <v>-157719</v>
      </c>
      <c r="E854" s="2819">
        <f>'Part VI-Pro Forma'!E116</f>
        <v>-162450</v>
      </c>
      <c r="F854" s="2819">
        <f>'Part VI-Pro Forma'!F116</f>
        <v>-167324</v>
      </c>
      <c r="G854" s="2819"/>
      <c r="H854" s="2819"/>
      <c r="I854" s="2819"/>
      <c r="J854" s="2819"/>
      <c r="K854" s="2819"/>
      <c r="N854" s="2650"/>
      <c r="O854" s="2650"/>
    </row>
    <row r="855" spans="1:19">
      <c r="A855" s="356" t="s">
        <v>1127</v>
      </c>
      <c r="B855" s="2819">
        <f>'Part VI-Pro Forma'!B117</f>
        <v>-113207.52165628569</v>
      </c>
      <c r="C855" s="2819">
        <f>'Part VI-Pro Forma'!C117</f>
        <v>-116603.74730597429</v>
      </c>
      <c r="D855" s="2819">
        <f>'Part VI-Pro Forma'!D117</f>
        <v>-120101.8597251535</v>
      </c>
      <c r="E855" s="2819">
        <f>'Part VI-Pro Forma'!E117</f>
        <v>-123704.91551690811</v>
      </c>
      <c r="F855" s="2819">
        <f>'Part VI-Pro Forma'!F117</f>
        <v>-127416.06298241533</v>
      </c>
      <c r="G855" s="2819"/>
      <c r="H855" s="2819"/>
      <c r="I855" s="2819"/>
      <c r="J855" s="2819"/>
      <c r="K855" s="2819"/>
      <c r="N855" s="2650"/>
      <c r="O855" s="2650"/>
      <c r="Q855" s="1640">
        <v>10</v>
      </c>
      <c r="R855" s="1785">
        <f>-SUM(B861:K861)</f>
        <v>0</v>
      </c>
      <c r="S855" s="1785">
        <f>SUM(B862:K862)+R855</f>
        <v>0</v>
      </c>
    </row>
    <row r="856" spans="1:19">
      <c r="A856" s="356" t="s">
        <v>3713</v>
      </c>
      <c r="B856" s="2819">
        <f>'Part VI-Pro Forma'!B118</f>
        <v>0</v>
      </c>
      <c r="C856" s="2819">
        <f>'Part VI-Pro Forma'!C118</f>
        <v>0</v>
      </c>
      <c r="D856" s="2819">
        <f>'Part VI-Pro Forma'!D118</f>
        <v>0</v>
      </c>
      <c r="E856" s="2819">
        <f>'Part VI-Pro Forma'!E118</f>
        <v>0</v>
      </c>
      <c r="F856" s="2819">
        <f>'Part VI-Pro Forma'!F118</f>
        <v>0</v>
      </c>
      <c r="G856" s="2819"/>
      <c r="H856" s="2819"/>
      <c r="I856" s="2819"/>
      <c r="J856" s="2819"/>
      <c r="K856" s="2819"/>
      <c r="N856" s="2650"/>
      <c r="O856" s="2650"/>
    </row>
    <row r="857" spans="1:19">
      <c r="A857" s="356" t="s">
        <v>1128</v>
      </c>
      <c r="B857" s="2819">
        <f>SUM(B852:B856)</f>
        <v>518598.41895973455</v>
      </c>
      <c r="C857" s="2819">
        <f t="shared" ref="C857:F857" si="445">SUM(C852:C856)</f>
        <v>506308.58935701504</v>
      </c>
      <c r="D857" s="2819">
        <f t="shared" si="445"/>
        <v>493092.91022278654</v>
      </c>
      <c r="E857" s="2819">
        <f t="shared" si="445"/>
        <v>478913.48697823117</v>
      </c>
      <c r="F857" s="2819">
        <f t="shared" si="445"/>
        <v>463728.15542531386</v>
      </c>
      <c r="G857" s="2819"/>
      <c r="H857" s="2819"/>
      <c r="I857" s="2819"/>
      <c r="J857" s="2819"/>
      <c r="K857" s="2819"/>
      <c r="N857" s="2650"/>
      <c r="O857" s="2650"/>
    </row>
    <row r="858" spans="1:19">
      <c r="A858" s="356" t="str">
        <f>$A828</f>
        <v>Mortgage A</v>
      </c>
      <c r="B858" s="2819">
        <f>'Part VI-Pro Forma'!B120</f>
        <v>-482964.9549579189</v>
      </c>
      <c r="C858" s="2819">
        <f>'Part VI-Pro Forma'!C120</f>
        <v>-482964.9549579189</v>
      </c>
      <c r="D858" s="2819">
        <f>'Part VI-Pro Forma'!D120</f>
        <v>-482964.9549579189</v>
      </c>
      <c r="E858" s="2819">
        <f>'Part VI-Pro Forma'!E120</f>
        <v>-482964.9549579189</v>
      </c>
      <c r="F858" s="2819">
        <f>'Part VI-Pro Forma'!F120</f>
        <v>-482964.9549579189</v>
      </c>
      <c r="G858" s="2819"/>
      <c r="H858" s="2819"/>
      <c r="I858" s="2819"/>
      <c r="J858" s="2819"/>
      <c r="K858" s="2819"/>
      <c r="N858" s="2650"/>
      <c r="O858" s="2650"/>
    </row>
    <row r="859" spans="1:19">
      <c r="A859" s="356" t="str">
        <f>$A829</f>
        <v>Mortgage B</v>
      </c>
      <c r="B859" s="2819">
        <f>'Part VI-Pro Forma'!B121</f>
        <v>-35633.46400181565</v>
      </c>
      <c r="C859" s="2819">
        <f>'Part VI-Pro Forma'!C121</f>
        <v>-23343.634399096132</v>
      </c>
      <c r="D859" s="2819">
        <f>'Part VI-Pro Forma'!D121</f>
        <v>-10127.955264867633</v>
      </c>
      <c r="E859" s="2819">
        <f>'Part VI-Pro Forma'!E121</f>
        <v>0</v>
      </c>
      <c r="F859" s="2819">
        <f>'Part VI-Pro Forma'!F121</f>
        <v>0</v>
      </c>
      <c r="G859" s="2819"/>
      <c r="H859" s="2819"/>
      <c r="I859" s="2819"/>
      <c r="J859" s="2819"/>
      <c r="K859" s="2819"/>
      <c r="N859" s="2650"/>
      <c r="O859" s="2650"/>
    </row>
    <row r="860" spans="1:19">
      <c r="A860" s="356" t="str">
        <f>$A830</f>
        <v>Mortgage C</v>
      </c>
      <c r="B860" s="2819">
        <f>'Part VI-Pro Forma'!B122</f>
        <v>0</v>
      </c>
      <c r="C860" s="2819">
        <f>'Part VI-Pro Forma'!C122</f>
        <v>0</v>
      </c>
      <c r="D860" s="2819">
        <f>'Part VI-Pro Forma'!D122</f>
        <v>0</v>
      </c>
      <c r="E860" s="2819">
        <f>'Part VI-Pro Forma'!E122</f>
        <v>0</v>
      </c>
      <c r="F860" s="2819">
        <f>'Part VI-Pro Forma'!F122</f>
        <v>0</v>
      </c>
      <c r="G860" s="2819"/>
      <c r="H860" s="2819"/>
      <c r="I860" s="2819"/>
      <c r="J860" s="2819"/>
      <c r="K860" s="2819"/>
      <c r="N860" s="2650"/>
      <c r="O860" s="2650"/>
    </row>
    <row r="861" spans="1:19">
      <c r="A861" s="356" t="str">
        <f>$A831</f>
        <v>D/S Other Source,not DDF</v>
      </c>
      <c r="B861" s="2819">
        <f>'Part VI-Pro Forma'!B123</f>
        <v>0</v>
      </c>
      <c r="C861" s="2819">
        <f>'Part VI-Pro Forma'!C123</f>
        <v>0</v>
      </c>
      <c r="D861" s="2819">
        <f>'Part VI-Pro Forma'!D123</f>
        <v>0</v>
      </c>
      <c r="E861" s="2819">
        <f>'Part VI-Pro Forma'!E123</f>
        <v>0</v>
      </c>
      <c r="F861" s="2819">
        <f>'Part VI-Pro Forma'!F123</f>
        <v>0</v>
      </c>
      <c r="G861" s="2819"/>
      <c r="H861" s="2819"/>
      <c r="I861" s="2819"/>
      <c r="J861" s="2819"/>
      <c r="K861" s="2819"/>
      <c r="N861" s="2650"/>
      <c r="O861" s="2650"/>
    </row>
    <row r="862" spans="1:19">
      <c r="A862" s="356" t="s">
        <v>710</v>
      </c>
      <c r="B862" s="2819">
        <f>'Part VI-Pro Forma'!B124</f>
        <v>0</v>
      </c>
      <c r="C862" s="2819">
        <f>'Part VI-Pro Forma'!C124</f>
        <v>0</v>
      </c>
      <c r="D862" s="2819">
        <f>'Part VI-Pro Forma'!D124</f>
        <v>0</v>
      </c>
      <c r="E862" s="2819">
        <f>'Part VI-Pro Forma'!E124</f>
        <v>0</v>
      </c>
      <c r="F862" s="2819">
        <f>'Part VI-Pro Forma'!F124</f>
        <v>0</v>
      </c>
      <c r="G862" s="2819"/>
      <c r="H862" s="2819"/>
      <c r="I862" s="2819"/>
      <c r="J862" s="2819"/>
      <c r="K862" s="2819"/>
      <c r="N862" s="2650"/>
      <c r="O862" s="2650"/>
    </row>
    <row r="863" spans="1:19">
      <c r="A863" s="356" t="s">
        <v>1094</v>
      </c>
      <c r="B863" s="2819">
        <f>'Part VI-Pro Forma'!B125</f>
        <v>0</v>
      </c>
      <c r="C863" s="2819">
        <f>'Part VI-Pro Forma'!C125</f>
        <v>0</v>
      </c>
      <c r="D863" s="2819">
        <f>'Part VI-Pro Forma'!D125</f>
        <v>0</v>
      </c>
      <c r="E863" s="2819">
        <f>'Part VI-Pro Forma'!E125</f>
        <v>0</v>
      </c>
      <c r="F863" s="2819">
        <f>'Part VI-Pro Forma'!F125</f>
        <v>0</v>
      </c>
      <c r="G863" s="2819"/>
      <c r="H863" s="2819"/>
      <c r="I863" s="2819"/>
      <c r="J863" s="2819"/>
      <c r="K863" s="2819"/>
      <c r="N863" s="2650"/>
      <c r="O863" s="2650"/>
    </row>
    <row r="864" spans="1:19">
      <c r="A864" s="356" t="s">
        <v>1095</v>
      </c>
      <c r="B864" s="2819">
        <f>'Part VI-Pro Forma'!B126</f>
        <v>0</v>
      </c>
      <c r="C864" s="2819">
        <f>'Part VI-Pro Forma'!C126</f>
        <v>0</v>
      </c>
      <c r="D864" s="2819">
        <f>'Part VI-Pro Forma'!D126</f>
        <v>0</v>
      </c>
      <c r="E864" s="2819">
        <f>'Part VI-Pro Forma'!E126</f>
        <v>-4051.4679796877317</v>
      </c>
      <c r="F864" s="2819">
        <f>'Part VI-Pro Forma'!F126</f>
        <v>-19236.799532605044</v>
      </c>
      <c r="G864" s="2819"/>
      <c r="H864" s="2819"/>
      <c r="I864" s="2819"/>
      <c r="J864" s="2819"/>
      <c r="K864" s="2819"/>
      <c r="N864" s="2650"/>
      <c r="O864" s="2650"/>
    </row>
    <row r="865" spans="1:15">
      <c r="A865" s="356" t="str">
        <f>$A835</f>
        <v>DCR Mortgage A</v>
      </c>
      <c r="B865" s="2820">
        <f>IF(B858=0,"",-B857/B858)</f>
        <v>1.0737806410921067</v>
      </c>
      <c r="C865" s="2820">
        <f>IF(C858=0,"",-C857/C858)</f>
        <v>1.0483340129743577</v>
      </c>
      <c r="D865" s="2820">
        <f>IF(D858=0,"",-D857/D858)</f>
        <v>1.0209703730278941</v>
      </c>
      <c r="E865" s="2820">
        <f>IF(E858=0,"",-E857/E858)</f>
        <v>0.99161125887479618</v>
      </c>
      <c r="F865" s="2820">
        <f>IF(F858=0,"",-F857/F858)</f>
        <v>0.96016936770436856</v>
      </c>
      <c r="G865" s="2819"/>
      <c r="H865" s="2819"/>
      <c r="I865" s="2819"/>
      <c r="J865" s="2819"/>
      <c r="K865" s="2819"/>
      <c r="N865" s="2650"/>
      <c r="O865" s="2650"/>
    </row>
    <row r="866" spans="1:15">
      <c r="A866" s="356" t="str">
        <f>$A836</f>
        <v>DCR Mortgage B</v>
      </c>
      <c r="B866" s="2820">
        <f>IF(B859=0,"",-(B857+B858)/B859)</f>
        <v>1</v>
      </c>
      <c r="C866" s="2820">
        <f>IF(C859=0,"",-(C857+C858)/C859)</f>
        <v>1</v>
      </c>
      <c r="D866" s="2820">
        <f>IF(D859=0,"",-(D857+D858)/D859)</f>
        <v>1</v>
      </c>
      <c r="E866" s="2820" t="str">
        <f>IF(E859=0,"",-(E857+E858)/E859)</f>
        <v/>
      </c>
      <c r="F866" s="2820" t="str">
        <f>IF(F859=0,"",-(F857+F858)/F859)</f>
        <v/>
      </c>
      <c r="G866" s="2819"/>
      <c r="H866" s="2819"/>
      <c r="I866" s="2819"/>
      <c r="J866" s="2819"/>
      <c r="K866" s="2819"/>
      <c r="N866" s="2650"/>
      <c r="O866" s="2650"/>
    </row>
    <row r="867" spans="1:15">
      <c r="A867" s="356" t="str">
        <f>$A837</f>
        <v>DCR Mortgage C</v>
      </c>
      <c r="B867" s="2820" t="str">
        <f>IF(B860=0,"",-(B857+B858+B859)/B860)</f>
        <v/>
      </c>
      <c r="C867" s="2820" t="str">
        <f>IF(C860=0,"",-(C857+C858+C859)/C860)</f>
        <v/>
      </c>
      <c r="D867" s="2820" t="str">
        <f>IF(D860=0,"",-(D857+D858+D859)/D860)</f>
        <v/>
      </c>
      <c r="E867" s="2820" t="str">
        <f>IF(E860=0,"",-(E857+E858+E859)/E860)</f>
        <v/>
      </c>
      <c r="F867" s="2820" t="str">
        <f>IF(F860=0,"",-(F857+F858+F859)/F860)</f>
        <v/>
      </c>
      <c r="G867" s="2819"/>
      <c r="H867" s="2819"/>
      <c r="I867" s="2819"/>
      <c r="J867" s="2819"/>
      <c r="K867" s="2819"/>
      <c r="N867" s="2650"/>
      <c r="O867" s="2650"/>
    </row>
    <row r="868" spans="1:15">
      <c r="A868" s="356" t="str">
        <f>$A838</f>
        <v>DCR Other Source</v>
      </c>
      <c r="B868" s="2820" t="str">
        <f>IF(B861=0,"",-(B857+B858+B859+B860)/B861)</f>
        <v/>
      </c>
      <c r="C868" s="2820" t="str">
        <f>IF(C861=0,"",-(C857+C858+C859+C860)/C861)</f>
        <v/>
      </c>
      <c r="D868" s="2820" t="str">
        <f>IF(D861=0,"",-(D857+D858+D859+D860)/D861)</f>
        <v/>
      </c>
      <c r="E868" s="2820" t="str">
        <f>IF(E861=0,"",-(E857+E858+E859+E860)/E861)</f>
        <v/>
      </c>
      <c r="F868" s="2820" t="str">
        <f>IF(F861=0,"",-(F857+F858+F859+F860)/F861)</f>
        <v/>
      </c>
      <c r="G868" s="2819"/>
      <c r="H868" s="2819"/>
      <c r="I868" s="2819"/>
      <c r="J868" s="2819"/>
      <c r="K868" s="2819"/>
      <c r="N868" s="2650"/>
      <c r="O868" s="2650"/>
    </row>
    <row r="869" spans="1:15">
      <c r="A869" s="356" t="s">
        <v>3130</v>
      </c>
      <c r="B869" s="2820">
        <f>IF(AND(B858=0,B859=0,B860=0,B861=0),"",-B857/(B858+B859+B860+B861))</f>
        <v>1</v>
      </c>
      <c r="C869" s="2820">
        <f>IF(AND(C858=0,C859=0,C860=0,C861=0),"",-C857/(C858+C859+C860+C861))</f>
        <v>1</v>
      </c>
      <c r="D869" s="2820">
        <f>IF(AND(D858=0,D859=0,D860=0,D861=0),"",-D857/(D858+D859+D860+D861))</f>
        <v>1</v>
      </c>
      <c r="E869" s="2820">
        <f>IF(AND(E858=0,E859=0,E860=0,E861=0),"",-E857/(E858+E859+E860+E861))</f>
        <v>0.99161125887479618</v>
      </c>
      <c r="F869" s="2820">
        <f>IF(AND(F858=0,F859=0,F860=0,F861=0),"",-F857/(F858+F859+F860+F861))</f>
        <v>0.96016936770436856</v>
      </c>
      <c r="G869" s="2819"/>
      <c r="H869" s="2819"/>
      <c r="I869" s="2819"/>
      <c r="J869" s="2819"/>
      <c r="K869" s="2819"/>
      <c r="N869" s="2650"/>
      <c r="O869" s="2650"/>
    </row>
    <row r="870" spans="1:15">
      <c r="A870" s="356" t="s">
        <v>717</v>
      </c>
      <c r="B870" s="2821">
        <f>IF(OR(B854="Choose mgt fee",B854="Choose One!"),"",(B847+B848+B849+B850+B851) / -(B853+B854+B855))</f>
        <v>1.2288430792601046</v>
      </c>
      <c r="C870" s="2821">
        <f>IF(OR(C854="Choose mgt fee",C854="Choose One!"),"",(C847+C848+C849+C850+C851) / -(C853+C854+C855))</f>
        <v>1.2169125378600198</v>
      </c>
      <c r="D870" s="2821">
        <f>IF(OR(D854="Choose mgt fee",D854="Choose One!"),"",(D847+D848+D849+D850+D851) / -(D853+D854+D855))</f>
        <v>1.205097727713923</v>
      </c>
      <c r="E870" s="2821">
        <f>IF(OR(E854="Choose mgt fee",E854="Choose One!"),"",(E847+E848+E849+E850+E851) / -(E853+E854+E855))</f>
        <v>1.1933980244726612</v>
      </c>
      <c r="F870" s="2821">
        <f>IF(OR(F854="Choose mgt fee",F854="Choose One!"),"",(F847+F848+F849+F850+F851) / -(F853+F854+F855))</f>
        <v>1.1818114042122814</v>
      </c>
      <c r="G870" s="2819"/>
      <c r="H870" s="2819"/>
      <c r="I870" s="2819"/>
      <c r="J870" s="2819"/>
      <c r="K870" s="2819"/>
      <c r="N870" s="2650"/>
      <c r="O870" s="2650"/>
    </row>
    <row r="871" spans="1:15">
      <c r="A871" s="356" t="s">
        <v>2399</v>
      </c>
      <c r="B871" s="2819">
        <f>'Part VI-Pro Forma'!B133</f>
        <v>3328958.1469757371</v>
      </c>
      <c r="C871" s="2819">
        <f>'Part VI-Pro Forma'!C133</f>
        <v>3043404.4120505443</v>
      </c>
      <c r="D871" s="2819">
        <f>'Part VI-Pro Forma'!D133</f>
        <v>2739725.1315971124</v>
      </c>
      <c r="E871" s="2819">
        <f>'Part VI-Pro Forma'!E133</f>
        <v>2416769.7852036445</v>
      </c>
      <c r="F871" s="2819">
        <f>'Part VI-Pro Forma'!F133</f>
        <v>2073314.8230857439</v>
      </c>
      <c r="G871" s="2819"/>
      <c r="H871" s="2819"/>
      <c r="I871" s="2819"/>
      <c r="J871" s="2819"/>
      <c r="K871" s="2819"/>
      <c r="N871" s="2650"/>
      <c r="O871" s="2650"/>
    </row>
    <row r="872" spans="1:15">
      <c r="A872" s="356" t="s">
        <v>2400</v>
      </c>
      <c r="B872" s="2819">
        <f>'Part VI-Pro Forma'!B134</f>
        <v>72044644.380097985</v>
      </c>
      <c r="C872" s="2819">
        <f>'Part VI-Pro Forma'!C134</f>
        <v>77228650.215905607</v>
      </c>
      <c r="D872" s="2819">
        <f>'Part VI-Pro Forma'!D134</f>
        <v>82801056.28864558</v>
      </c>
      <c r="E872" s="2819">
        <f>'Part VI-Pro Forma'!E134</f>
        <v>88786751.342733502</v>
      </c>
      <c r="F872" s="2819">
        <f>'Part VI-Pro Forma'!F134</f>
        <v>95205152.776262224</v>
      </c>
      <c r="G872" s="2819"/>
      <c r="H872" s="2819"/>
      <c r="I872" s="2819"/>
      <c r="J872" s="2819"/>
      <c r="K872" s="2819"/>
      <c r="N872" s="2650"/>
      <c r="O872" s="2650"/>
    </row>
    <row r="873" spans="1:15">
      <c r="A873" s="356" t="s">
        <v>2401</v>
      </c>
      <c r="B873" s="2819" t="str">
        <f>'Part VI-Pro Forma'!B135</f>
        <v/>
      </c>
      <c r="C873" s="2819" t="str">
        <f>'Part VI-Pro Forma'!C135</f>
        <v/>
      </c>
      <c r="D873" s="2819" t="str">
        <f>'Part VI-Pro Forma'!D135</f>
        <v/>
      </c>
      <c r="E873" s="2819" t="str">
        <f>'Part VI-Pro Forma'!E135</f>
        <v/>
      </c>
      <c r="F873" s="2819" t="str">
        <f>'Part VI-Pro Forma'!F135</f>
        <v/>
      </c>
      <c r="G873" s="2819"/>
      <c r="H873" s="2819"/>
      <c r="I873" s="2819"/>
      <c r="J873" s="2819"/>
      <c r="K873" s="2819"/>
      <c r="N873" s="2650"/>
      <c r="O873" s="2650"/>
    </row>
    <row r="874" spans="1:15">
      <c r="A874" s="356" t="s">
        <v>729</v>
      </c>
      <c r="B874" s="2819" t="str">
        <f>'Part VI-Pro Forma'!B136</f>
        <v/>
      </c>
      <c r="C874" s="2819" t="str">
        <f>'Part VI-Pro Forma'!C136</f>
        <v/>
      </c>
      <c r="D874" s="2819" t="str">
        <f>'Part VI-Pro Forma'!D136</f>
        <v/>
      </c>
      <c r="E874" s="2819" t="str">
        <f>'Part VI-Pro Forma'!E136</f>
        <v/>
      </c>
      <c r="F874" s="2819" t="str">
        <f>'Part VI-Pro Forma'!F136</f>
        <v/>
      </c>
      <c r="G874" s="2819"/>
      <c r="H874" s="2819"/>
      <c r="I874" s="2819"/>
      <c r="J874" s="2819"/>
      <c r="K874" s="2819"/>
      <c r="N874" s="2650"/>
      <c r="O874" s="2650"/>
    </row>
    <row r="876" spans="1:15" ht="13">
      <c r="A876" s="360" t="s">
        <v>528</v>
      </c>
      <c r="B876" s="360"/>
      <c r="G876" s="360" t="s">
        <v>966</v>
      </c>
    </row>
    <row r="877" spans="1:15" ht="13">
      <c r="B877" s="360"/>
    </row>
    <row r="878" spans="1:15" ht="15.75" customHeight="1">
      <c r="A878" s="2571" t="str">
        <f>'Part VI-Pro Forma'!A140</f>
        <v>APPLICANTS: Explain any any debt service payment amounts that deviate from the amount shown in Permanent Sources (Part III)</v>
      </c>
      <c r="B878" s="2571"/>
      <c r="C878" s="2571"/>
      <c r="D878" s="2571"/>
      <c r="E878" s="2571"/>
      <c r="F878" s="2571"/>
      <c r="G878" s="2571"/>
      <c r="H878" s="2571"/>
      <c r="I878" s="2571"/>
      <c r="J878" s="2571"/>
      <c r="K878" s="2571"/>
      <c r="N878" s="2687" t="s">
        <v>2445</v>
      </c>
      <c r="O878" s="2687"/>
    </row>
    <row r="883" spans="1:17" ht="13">
      <c r="A883" s="2823" t="str">
        <f>CONCATENATE("PART SEVEN - THRESHOLD CRITERIA","  -  ",'Part I-Project Identification'!$O$7," ",'Part I-Project Identification'!$F$26,", ",'Part I-Project Identification'!F905,", ",'Part I-Project Identification'!J905," County")</f>
        <v>PART SEVEN - THRESHOLD CRITERIA  -  2025-5 Princeton Court, ,  County</v>
      </c>
      <c r="B883" s="2823"/>
      <c r="C883" s="2823"/>
      <c r="D883" s="2823"/>
      <c r="E883" s="2823"/>
      <c r="F883" s="2823"/>
      <c r="G883" s="2823"/>
      <c r="H883" s="2823"/>
      <c r="I883" s="2823"/>
      <c r="J883" s="2823"/>
      <c r="K883" s="2823"/>
      <c r="L883" s="2823"/>
      <c r="M883" s="2823"/>
      <c r="N883" s="2823"/>
      <c r="O883" s="2823"/>
      <c r="P883" s="2823"/>
      <c r="Q883" s="2823"/>
    </row>
    <row r="884" spans="1:17">
      <c r="A884" s="2824"/>
      <c r="B884" s="2824"/>
      <c r="C884" s="2824"/>
      <c r="D884" s="2824"/>
      <c r="E884" s="2824"/>
      <c r="F884" s="2824"/>
      <c r="G884" s="2824"/>
      <c r="H884" s="2824"/>
      <c r="I884" s="2824"/>
      <c r="J884" s="2824"/>
      <c r="K884" s="2824"/>
      <c r="L884" s="2824"/>
      <c r="M884" s="2824"/>
      <c r="N884" s="2824"/>
      <c r="O884" s="2824"/>
      <c r="P884" s="2824"/>
      <c r="Q884" s="2824"/>
    </row>
    <row r="885" spans="1:17" ht="12.75" customHeight="1">
      <c r="A885" s="2825"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825"/>
      <c r="C885" s="2825"/>
      <c r="D885" s="2825"/>
      <c r="E885" s="2825"/>
      <c r="F885" s="2825"/>
      <c r="G885" s="2825"/>
      <c r="H885" s="2825"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825"/>
      <c r="J885" s="2825"/>
      <c r="K885" s="2825"/>
      <c r="L885" s="2825"/>
      <c r="M885" s="2825"/>
      <c r="N885" s="2825"/>
      <c r="O885" s="2824"/>
      <c r="P885" s="2823" t="s">
        <v>4641</v>
      </c>
      <c r="Q885" s="2823" t="s">
        <v>4421</v>
      </c>
    </row>
    <row r="886" spans="1:17" ht="13">
      <c r="A886" s="2823"/>
      <c r="B886" s="2825"/>
      <c r="C886" s="2825"/>
      <c r="D886" s="2825"/>
      <c r="E886" s="2823"/>
      <c r="F886" s="2823"/>
      <c r="G886" s="2823"/>
      <c r="H886" s="2823"/>
      <c r="I886" s="2824"/>
      <c r="J886" s="2823"/>
      <c r="K886" s="2823"/>
      <c r="L886" s="2823"/>
      <c r="M886" s="2823"/>
      <c r="N886" s="2823"/>
      <c r="O886" s="2824"/>
      <c r="P886" s="2823"/>
      <c r="Q886" s="2823"/>
    </row>
    <row r="887" spans="1:17" ht="13">
      <c r="A887" s="2824"/>
      <c r="B887" s="2824"/>
      <c r="C887" s="2824"/>
      <c r="D887" s="2824"/>
      <c r="E887" s="2826" t="str">
        <f>'Part I-Project Identification'!$A$6</f>
        <v>August 11, 2025</v>
      </c>
      <c r="F887" s="2826"/>
      <c r="G887" s="2826"/>
      <c r="H887" s="2826"/>
      <c r="I887" s="2826"/>
      <c r="J887" s="2823"/>
      <c r="K887" s="2827"/>
      <c r="L887" s="2827"/>
      <c r="M887" s="2827"/>
      <c r="N887" s="2827"/>
      <c r="O887" s="2824"/>
      <c r="P887" s="2823"/>
      <c r="Q887" s="2823"/>
    </row>
    <row r="888" spans="1:17" ht="13">
      <c r="A888" s="2824"/>
      <c r="B888" s="2824"/>
      <c r="C888" s="2824"/>
      <c r="D888" s="2824"/>
      <c r="E888" s="2826"/>
      <c r="F888" s="2826"/>
      <c r="G888" s="2826"/>
      <c r="H888" s="2826"/>
      <c r="I888" s="2826"/>
      <c r="J888" s="2823"/>
      <c r="K888" s="2824"/>
      <c r="L888" s="2828"/>
      <c r="M888" s="2823"/>
      <c r="N888" s="2827"/>
      <c r="O888" s="2824"/>
      <c r="P888" s="2823"/>
      <c r="Q888" s="2823"/>
    </row>
    <row r="889" spans="1:17" ht="15.75" customHeight="1">
      <c r="A889" s="2829" t="s">
        <v>5074</v>
      </c>
      <c r="B889" s="2829"/>
      <c r="C889" s="2829"/>
      <c r="D889" s="2829"/>
      <c r="E889" s="2829"/>
      <c r="F889" s="2829"/>
      <c r="G889" s="2829"/>
      <c r="H889" s="2829"/>
      <c r="I889" s="2829"/>
      <c r="J889" s="2829"/>
      <c r="K889" s="2829"/>
      <c r="L889" s="2829"/>
      <c r="M889" s="2829"/>
      <c r="N889" s="2829"/>
      <c r="O889" s="2829"/>
      <c r="P889" s="2829"/>
      <c r="Q889" s="2829"/>
    </row>
    <row r="890" spans="1:17" ht="13">
      <c r="A890" s="2824"/>
      <c r="B890" s="2824"/>
      <c r="C890" s="2824"/>
      <c r="D890" s="2824"/>
      <c r="E890" s="2826"/>
      <c r="F890" s="2826"/>
      <c r="G890" s="2826"/>
      <c r="H890" s="2826"/>
      <c r="I890" s="2826"/>
      <c r="J890" s="2823"/>
      <c r="K890" s="2824"/>
      <c r="L890" s="2823"/>
      <c r="M890" s="2823"/>
      <c r="N890" s="2823"/>
      <c r="O890" s="2824"/>
      <c r="P890" s="2823"/>
      <c r="Q890" s="2823"/>
    </row>
    <row r="891" spans="1:17" ht="14">
      <c r="A891" s="2830" t="s">
        <v>5164</v>
      </c>
      <c r="B891" s="2831"/>
      <c r="C891" s="2831"/>
      <c r="D891" s="2831"/>
      <c r="E891" s="2831"/>
      <c r="F891" s="2831"/>
      <c r="G891" s="2831"/>
      <c r="H891" s="2831"/>
      <c r="I891" s="2419"/>
      <c r="J891" s="2419"/>
      <c r="K891" s="2414"/>
      <c r="L891" s="2414"/>
      <c r="M891" s="2414"/>
      <c r="N891" s="2414"/>
      <c r="O891" s="2414"/>
      <c r="P891" s="2419"/>
      <c r="Q891" s="2419"/>
    </row>
    <row r="892" spans="1:17" ht="14.5">
      <c r="A892" s="2832" t="s">
        <v>2983</v>
      </c>
      <c r="B892" s="2831"/>
      <c r="C892" s="2831"/>
      <c r="D892" s="2831"/>
      <c r="E892" s="2831"/>
      <c r="F892" s="2831"/>
      <c r="G892" s="2831"/>
      <c r="H892" s="2414"/>
      <c r="I892" s="2419"/>
      <c r="J892" s="2419"/>
      <c r="K892" s="2414"/>
      <c r="L892" s="2414"/>
      <c r="M892" s="2417"/>
      <c r="N892" s="2417"/>
      <c r="O892" s="2831"/>
      <c r="P892" s="2831"/>
      <c r="Q892" s="2831"/>
    </row>
    <row r="893" spans="1:17">
      <c r="A893" s="2833" t="s">
        <v>1327</v>
      </c>
      <c r="B893" s="2833"/>
      <c r="C893" s="2833"/>
      <c r="D893" s="2833"/>
      <c r="E893" s="2833"/>
      <c r="F893" s="2833"/>
      <c r="G893" s="2833"/>
      <c r="H893" s="2833"/>
      <c r="I893" s="2833"/>
      <c r="J893" s="2833"/>
      <c r="K893" s="2833"/>
      <c r="L893" s="2833"/>
      <c r="M893" s="2833"/>
      <c r="N893" s="2833"/>
      <c r="O893" s="2833"/>
      <c r="P893" s="2833"/>
      <c r="Q893" s="2833"/>
    </row>
    <row r="894" spans="1:17">
      <c r="A894" s="2833" t="s">
        <v>218</v>
      </c>
      <c r="B894" s="2833"/>
      <c r="C894" s="2833"/>
      <c r="D894" s="2833"/>
      <c r="E894" s="2833"/>
      <c r="F894" s="2833"/>
      <c r="G894" s="2833"/>
      <c r="H894" s="2833"/>
      <c r="I894" s="2833"/>
      <c r="J894" s="2833"/>
      <c r="K894" s="2833"/>
      <c r="L894" s="2833"/>
      <c r="M894" s="2833"/>
      <c r="N894" s="2833"/>
      <c r="O894" s="2833"/>
      <c r="P894" s="2833"/>
      <c r="Q894" s="2833"/>
    </row>
    <row r="895" spans="1:17">
      <c r="A895" s="2833" t="s">
        <v>1323</v>
      </c>
      <c r="B895" s="2833"/>
      <c r="C895" s="2833"/>
      <c r="D895" s="2833"/>
      <c r="E895" s="2833"/>
      <c r="F895" s="2833"/>
      <c r="G895" s="2833"/>
      <c r="H895" s="2833"/>
      <c r="I895" s="2833"/>
      <c r="J895" s="2833"/>
      <c r="K895" s="2833"/>
      <c r="L895" s="2833"/>
      <c r="M895" s="2833"/>
      <c r="N895" s="2833"/>
      <c r="O895" s="2833"/>
      <c r="P895" s="2833"/>
      <c r="Q895" s="2833"/>
    </row>
    <row r="896" spans="1:17">
      <c r="A896" s="2833" t="s">
        <v>1324</v>
      </c>
      <c r="B896" s="2833"/>
      <c r="C896" s="2833"/>
      <c r="D896" s="2833"/>
      <c r="E896" s="2833"/>
      <c r="F896" s="2833"/>
      <c r="G896" s="2833"/>
      <c r="H896" s="2833"/>
      <c r="I896" s="2833"/>
      <c r="J896" s="2833"/>
      <c r="K896" s="2833"/>
      <c r="L896" s="2833"/>
      <c r="M896" s="2833"/>
      <c r="N896" s="2833"/>
      <c r="O896" s="2833"/>
      <c r="P896" s="2833"/>
      <c r="Q896" s="2833"/>
    </row>
    <row r="897" spans="1:17">
      <c r="A897" s="2833" t="s">
        <v>1325</v>
      </c>
      <c r="B897" s="2833"/>
      <c r="C897" s="2833"/>
      <c r="D897" s="2833"/>
      <c r="E897" s="2833"/>
      <c r="F897" s="2833"/>
      <c r="G897" s="2833"/>
      <c r="H897" s="2833"/>
      <c r="I897" s="2833"/>
      <c r="J897" s="2833"/>
      <c r="K897" s="2833"/>
      <c r="L897" s="2833"/>
      <c r="M897" s="2833"/>
      <c r="N897" s="2833"/>
      <c r="O897" s="2833"/>
      <c r="P897" s="2833"/>
      <c r="Q897" s="2833"/>
    </row>
    <row r="898" spans="1:17">
      <c r="A898" s="2833" t="s">
        <v>1326</v>
      </c>
      <c r="B898" s="2833"/>
      <c r="C898" s="2833"/>
      <c r="D898" s="2833"/>
      <c r="E898" s="2833"/>
      <c r="F898" s="2833"/>
      <c r="G898" s="2833"/>
      <c r="H898" s="2833"/>
      <c r="I898" s="2833"/>
      <c r="J898" s="2833"/>
      <c r="K898" s="2833"/>
      <c r="L898" s="2833"/>
      <c r="M898" s="2833"/>
      <c r="N898" s="2833"/>
      <c r="O898" s="2833"/>
      <c r="P898" s="2833"/>
      <c r="Q898" s="2833"/>
    </row>
    <row r="899" spans="1:17">
      <c r="A899" s="2833" t="s">
        <v>1328</v>
      </c>
      <c r="B899" s="2833"/>
      <c r="C899" s="2833"/>
      <c r="D899" s="2833"/>
      <c r="E899" s="2833"/>
      <c r="F899" s="2833"/>
      <c r="G899" s="2833"/>
      <c r="H899" s="2833"/>
      <c r="I899" s="2833"/>
      <c r="J899" s="2833"/>
      <c r="K899" s="2833"/>
      <c r="L899" s="2833"/>
      <c r="M899" s="2833"/>
      <c r="N899" s="2833"/>
      <c r="O899" s="2833"/>
      <c r="P899" s="2833"/>
      <c r="Q899" s="2833"/>
    </row>
    <row r="900" spans="1:17">
      <c r="A900" s="2833" t="s">
        <v>1867</v>
      </c>
      <c r="B900" s="2833"/>
      <c r="C900" s="2833"/>
      <c r="D900" s="2833"/>
      <c r="E900" s="2833"/>
      <c r="F900" s="2833"/>
      <c r="G900" s="2833"/>
      <c r="H900" s="2833"/>
      <c r="I900" s="2833"/>
      <c r="J900" s="2833"/>
      <c r="K900" s="2833"/>
      <c r="L900" s="2833"/>
      <c r="M900" s="2833"/>
      <c r="N900" s="2833"/>
      <c r="O900" s="2833"/>
      <c r="P900" s="2833"/>
      <c r="Q900" s="2833"/>
    </row>
    <row r="901" spans="1:17">
      <c r="A901" s="2833" t="s">
        <v>1868</v>
      </c>
      <c r="B901" s="2833"/>
      <c r="C901" s="2833"/>
      <c r="D901" s="2833"/>
      <c r="E901" s="2833"/>
      <c r="F901" s="2833"/>
      <c r="G901" s="2833"/>
      <c r="H901" s="2833"/>
      <c r="I901" s="2833"/>
      <c r="J901" s="2833"/>
      <c r="K901" s="2833"/>
      <c r="L901" s="2833"/>
      <c r="M901" s="2833"/>
      <c r="N901" s="2833"/>
      <c r="O901" s="2833"/>
      <c r="P901" s="2833"/>
      <c r="Q901" s="2833"/>
    </row>
    <row r="902" spans="1:17">
      <c r="A902" s="2833" t="s">
        <v>1869</v>
      </c>
      <c r="B902" s="2833"/>
      <c r="C902" s="2833"/>
      <c r="D902" s="2833"/>
      <c r="E902" s="2833"/>
      <c r="F902" s="2833"/>
      <c r="G902" s="2833"/>
      <c r="H902" s="2833"/>
      <c r="I902" s="2833"/>
      <c r="J902" s="2833"/>
      <c r="K902" s="2833"/>
      <c r="L902" s="2833"/>
      <c r="M902" s="2833"/>
      <c r="N902" s="2833"/>
      <c r="O902" s="2833"/>
      <c r="P902" s="2833"/>
      <c r="Q902" s="2833"/>
    </row>
    <row r="903" spans="1:17">
      <c r="A903" s="2833" t="s">
        <v>1870</v>
      </c>
      <c r="B903" s="2833"/>
      <c r="C903" s="2833"/>
      <c r="D903" s="2833"/>
      <c r="E903" s="2833"/>
      <c r="F903" s="2833"/>
      <c r="G903" s="2833"/>
      <c r="H903" s="2833"/>
      <c r="I903" s="2833"/>
      <c r="J903" s="2833"/>
      <c r="K903" s="2833"/>
      <c r="L903" s="2833"/>
      <c r="M903" s="2833"/>
      <c r="N903" s="2833"/>
      <c r="O903" s="2833"/>
      <c r="P903" s="2833"/>
      <c r="Q903" s="2833"/>
    </row>
    <row r="904" spans="1:17">
      <c r="A904" s="2833" t="s">
        <v>1871</v>
      </c>
      <c r="B904" s="2833"/>
      <c r="C904" s="2833"/>
      <c r="D904" s="2833"/>
      <c r="E904" s="2833"/>
      <c r="F904" s="2833"/>
      <c r="G904" s="2833"/>
      <c r="H904" s="2833"/>
      <c r="I904" s="2833"/>
      <c r="J904" s="2833"/>
      <c r="K904" s="2833"/>
      <c r="L904" s="2833"/>
      <c r="M904" s="2833"/>
      <c r="N904" s="2833"/>
      <c r="O904" s="2833"/>
      <c r="P904" s="2833"/>
      <c r="Q904" s="2833"/>
    </row>
    <row r="905" spans="1:17">
      <c r="A905" s="2833" t="s">
        <v>1872</v>
      </c>
      <c r="B905" s="2833"/>
      <c r="C905" s="2833"/>
      <c r="D905" s="2833"/>
      <c r="E905" s="2833"/>
      <c r="F905" s="2833"/>
      <c r="G905" s="2833"/>
      <c r="H905" s="2833"/>
      <c r="I905" s="2833"/>
      <c r="J905" s="2833"/>
      <c r="K905" s="2833"/>
      <c r="L905" s="2833"/>
      <c r="M905" s="2833"/>
      <c r="N905" s="2833"/>
      <c r="O905" s="2833"/>
      <c r="P905" s="2833"/>
      <c r="Q905" s="2833"/>
    </row>
    <row r="906" spans="1:17">
      <c r="A906" s="2833" t="s">
        <v>1873</v>
      </c>
      <c r="B906" s="2833"/>
      <c r="C906" s="2833"/>
      <c r="D906" s="2833"/>
      <c r="E906" s="2833"/>
      <c r="F906" s="2833"/>
      <c r="G906" s="2833"/>
      <c r="H906" s="2833"/>
      <c r="I906" s="2833"/>
      <c r="J906" s="2833"/>
      <c r="K906" s="2833"/>
      <c r="L906" s="2833"/>
      <c r="M906" s="2833"/>
      <c r="N906" s="2833"/>
      <c r="O906" s="2833"/>
      <c r="P906" s="2833"/>
      <c r="Q906" s="2833"/>
    </row>
    <row r="907" spans="1:17">
      <c r="A907" s="2833" t="s">
        <v>5073</v>
      </c>
      <c r="B907" s="2833"/>
      <c r="C907" s="2833"/>
      <c r="D907" s="2833"/>
      <c r="E907" s="2833"/>
      <c r="F907" s="2833"/>
      <c r="G907" s="2833"/>
      <c r="H907" s="2833"/>
      <c r="I907" s="2833"/>
      <c r="J907" s="2833"/>
      <c r="K907" s="2833"/>
      <c r="L907" s="2833"/>
      <c r="M907" s="2833"/>
      <c r="N907" s="2833"/>
      <c r="O907" s="2833"/>
      <c r="P907" s="2833"/>
      <c r="Q907" s="2833"/>
    </row>
    <row r="908" spans="1:17" ht="14">
      <c r="A908" s="2831"/>
      <c r="B908" s="2831"/>
      <c r="C908" s="2831"/>
      <c r="D908" s="2831"/>
      <c r="E908" s="2831"/>
      <c r="F908" s="2831"/>
      <c r="G908" s="2831"/>
      <c r="H908" s="2831"/>
      <c r="I908" s="2831"/>
      <c r="J908" s="2831"/>
      <c r="K908" s="2831"/>
      <c r="L908" s="2831"/>
      <c r="M908" s="2831"/>
      <c r="N908" s="2831"/>
      <c r="O908" s="2831"/>
      <c r="P908" s="2831"/>
      <c r="Q908" s="2831"/>
    </row>
    <row r="909" spans="1:17" ht="14">
      <c r="A909" s="2834" t="s">
        <v>572</v>
      </c>
      <c r="B909" s="2419" t="s">
        <v>4523</v>
      </c>
      <c r="C909" s="2419"/>
      <c r="D909" s="2419"/>
      <c r="E909" s="2419"/>
      <c r="F909" s="2419"/>
      <c r="G909" s="2419"/>
      <c r="H909" s="2414"/>
      <c r="I909" s="2416"/>
      <c r="J909" s="2416"/>
      <c r="K909" s="2416"/>
      <c r="L909" s="2417"/>
      <c r="M909" s="2417"/>
      <c r="N909" s="2414"/>
      <c r="O909" s="2835" t="s">
        <v>1726</v>
      </c>
      <c r="P909" s="2419"/>
      <c r="Q909" s="2419"/>
    </row>
    <row r="910" spans="1:17" ht="14.5">
      <c r="A910" s="2414"/>
      <c r="B910" s="2836" t="s">
        <v>4643</v>
      </c>
      <c r="C910" s="2836"/>
      <c r="D910" s="2836"/>
      <c r="E910" s="2836"/>
      <c r="F910" s="2836"/>
      <c r="G910" s="2416"/>
      <c r="H910" s="2416"/>
      <c r="I910" s="2416"/>
      <c r="J910" s="2416"/>
      <c r="K910" s="2417"/>
      <c r="L910" s="2417"/>
      <c r="M910" s="2417"/>
      <c r="N910" s="2417"/>
      <c r="O910" s="2417"/>
      <c r="P910" s="2419"/>
      <c r="Q910" s="2414"/>
    </row>
    <row r="911" spans="1:17" ht="14">
      <c r="A911" s="2837" t="str">
        <f>'Part VII-Threshold Criteria'!A29</f>
        <v>N/A for Competitive Review Application</v>
      </c>
      <c r="B911" s="2837"/>
      <c r="C911" s="2837"/>
      <c r="D911" s="2837"/>
      <c r="E911" s="2837"/>
      <c r="F911" s="2837"/>
      <c r="G911" s="2837"/>
      <c r="H911" s="2837"/>
      <c r="I911" s="2837"/>
      <c r="J911" s="2837"/>
      <c r="K911" s="2837"/>
      <c r="L911" s="2837"/>
      <c r="M911" s="2837"/>
      <c r="N911" s="2837"/>
      <c r="O911" s="2837"/>
      <c r="P911" s="2837"/>
      <c r="Q911" s="2837"/>
    </row>
    <row r="912" spans="1:17" ht="14.5">
      <c r="A912" s="2414"/>
      <c r="B912" s="2836" t="s">
        <v>1725</v>
      </c>
      <c r="C912" s="2836"/>
      <c r="D912" s="2414"/>
      <c r="E912" s="2414"/>
      <c r="F912" s="2414"/>
      <c r="G912" s="2414"/>
      <c r="H912" s="2414"/>
      <c r="I912" s="2414"/>
      <c r="J912" s="2414"/>
      <c r="K912" s="2414"/>
      <c r="L912" s="2414"/>
      <c r="M912" s="2414"/>
      <c r="N912" s="2414"/>
      <c r="O912" s="2414"/>
      <c r="P912" s="2414"/>
      <c r="Q912" s="2414"/>
    </row>
    <row r="913" spans="1:17" ht="14">
      <c r="A913" s="2414"/>
      <c r="B913" s="2414"/>
      <c r="C913" s="2414"/>
      <c r="D913" s="2414"/>
      <c r="E913" s="2414"/>
      <c r="F913" s="2414"/>
      <c r="G913" s="2414"/>
      <c r="H913" s="2414"/>
      <c r="I913" s="2414"/>
      <c r="J913" s="2414"/>
      <c r="K913" s="2414"/>
      <c r="L913" s="2414"/>
      <c r="M913" s="2414"/>
      <c r="N913" s="2414"/>
      <c r="O913" s="2414"/>
      <c r="P913" s="2414"/>
      <c r="Q913" s="2414"/>
    </row>
    <row r="914" spans="1:17" ht="14">
      <c r="A914" s="2414"/>
      <c r="B914" s="2414"/>
      <c r="C914" s="2414"/>
      <c r="D914" s="2414"/>
      <c r="E914" s="2414"/>
      <c r="F914" s="2414"/>
      <c r="G914" s="2414"/>
      <c r="H914" s="2414"/>
      <c r="I914" s="2414"/>
      <c r="J914" s="2414"/>
      <c r="K914" s="2414"/>
      <c r="L914" s="2414"/>
      <c r="M914" s="2414"/>
      <c r="N914" s="2414"/>
      <c r="O914" s="2414"/>
      <c r="P914" s="2414"/>
      <c r="Q914" s="2419"/>
    </row>
    <row r="915" spans="1:17" ht="14">
      <c r="A915" s="2834" t="s">
        <v>688</v>
      </c>
      <c r="B915" s="2419" t="s">
        <v>1117</v>
      </c>
      <c r="C915" s="2419"/>
      <c r="D915" s="2419"/>
      <c r="E915" s="2415"/>
      <c r="F915" s="2415"/>
      <c r="G915" s="2415"/>
      <c r="H915" s="2414"/>
      <c r="I915" s="2414"/>
      <c r="J915" s="2414"/>
      <c r="K915" s="2414"/>
      <c r="L915" s="2414"/>
      <c r="M915" s="2414"/>
      <c r="N915" s="2414"/>
      <c r="O915" s="2835" t="s">
        <v>1726</v>
      </c>
      <c r="P915" s="2419"/>
      <c r="Q915" s="2419"/>
    </row>
    <row r="916" spans="1:17" ht="14">
      <c r="A916" s="2834"/>
      <c r="B916" s="2414" t="s">
        <v>5165</v>
      </c>
      <c r="C916" s="2414"/>
      <c r="D916" s="2414"/>
      <c r="E916" s="2414"/>
      <c r="F916" s="2414"/>
      <c r="G916" s="2414"/>
      <c r="H916" s="2414"/>
      <c r="I916" s="2414"/>
      <c r="J916" s="2414"/>
      <c r="K916" s="2414"/>
      <c r="L916" s="2414"/>
      <c r="M916" s="2414"/>
      <c r="N916" s="2414"/>
      <c r="O916" s="2414"/>
      <c r="P916" s="2419">
        <f>'Part VII-Threshold Criteria'!P34</f>
        <v>0</v>
      </c>
      <c r="Q916" s="2419"/>
    </row>
    <row r="917" spans="1:17" ht="14.5">
      <c r="A917" s="2414"/>
      <c r="B917" s="2836" t="s">
        <v>3157</v>
      </c>
      <c r="C917" s="2414"/>
      <c r="D917" s="2836"/>
      <c r="E917" s="2836"/>
      <c r="F917" s="2836"/>
      <c r="G917" s="2836"/>
      <c r="H917" s="2414"/>
      <c r="I917" s="2414"/>
      <c r="J917" s="2414"/>
      <c r="K917" s="2414"/>
      <c r="L917" s="2414"/>
      <c r="M917" s="2414"/>
      <c r="N917" s="2414"/>
      <c r="O917" s="2414"/>
      <c r="P917" s="2414"/>
      <c r="Q917" s="2414"/>
    </row>
    <row r="918" spans="1:17" ht="14">
      <c r="A918" s="2837" t="str">
        <f>'Part VII-Threshold Criteria'!A36</f>
        <v>N/A for Competitive Review Application</v>
      </c>
      <c r="B918" s="2837"/>
      <c r="C918" s="2837"/>
      <c r="D918" s="2837"/>
      <c r="E918" s="2837"/>
      <c r="F918" s="2837"/>
      <c r="G918" s="2837"/>
      <c r="H918" s="2837"/>
      <c r="I918" s="2837"/>
      <c r="J918" s="2837"/>
      <c r="K918" s="2837"/>
      <c r="L918" s="2837"/>
      <c r="M918" s="2837"/>
      <c r="N918" s="2837"/>
      <c r="O918" s="2837"/>
      <c r="P918" s="2837"/>
      <c r="Q918" s="2837"/>
    </row>
    <row r="919" spans="1:17" ht="14.5">
      <c r="A919" s="2419"/>
      <c r="B919" s="2836" t="s">
        <v>1725</v>
      </c>
      <c r="C919" s="2419"/>
      <c r="D919" s="2419"/>
      <c r="E919" s="2419"/>
      <c r="F919" s="2419"/>
      <c r="G919" s="2419"/>
      <c r="H919" s="2419"/>
      <c r="I919" s="2414"/>
      <c r="J919" s="2414"/>
      <c r="K919" s="2414"/>
      <c r="L919" s="2414"/>
      <c r="M919" s="2414"/>
      <c r="N919" s="2414"/>
      <c r="O919" s="2414"/>
      <c r="P919" s="2414"/>
      <c r="Q919" s="2419"/>
    </row>
    <row r="920" spans="1:17" ht="14">
      <c r="A920" s="2414"/>
      <c r="B920" s="2414"/>
      <c r="C920" s="2414"/>
      <c r="D920" s="2414"/>
      <c r="E920" s="2414"/>
      <c r="F920" s="2414"/>
      <c r="G920" s="2414"/>
      <c r="H920" s="2414"/>
      <c r="I920" s="2414"/>
      <c r="J920" s="2414"/>
      <c r="K920" s="2414"/>
      <c r="L920" s="2414"/>
      <c r="M920" s="2414"/>
      <c r="N920" s="2414"/>
      <c r="O920" s="2414"/>
      <c r="P920" s="2414"/>
      <c r="Q920" s="2414"/>
    </row>
    <row r="921" spans="1:17" ht="14">
      <c r="A921" s="2419"/>
      <c r="B921" s="2414"/>
      <c r="C921" s="2414"/>
      <c r="D921" s="2414"/>
      <c r="E921" s="2414"/>
      <c r="F921" s="2414"/>
      <c r="G921" s="2414"/>
      <c r="H921" s="2414"/>
      <c r="I921" s="2414"/>
      <c r="J921" s="2414"/>
      <c r="K921" s="2414"/>
      <c r="L921" s="2414"/>
      <c r="M921" s="2414"/>
      <c r="N921" s="2414"/>
      <c r="O921" s="2414"/>
      <c r="P921" s="2414"/>
      <c r="Q921" s="2419"/>
    </row>
    <row r="922" spans="1:17" ht="14">
      <c r="A922" s="2414"/>
      <c r="B922" s="2416"/>
      <c r="C922" s="2415"/>
      <c r="D922" s="2415"/>
      <c r="E922" s="2415"/>
      <c r="F922" s="2415"/>
      <c r="G922" s="2415"/>
      <c r="H922" s="2415"/>
      <c r="I922" s="2415"/>
      <c r="J922" s="2415"/>
      <c r="K922" s="2415"/>
      <c r="L922" s="2415"/>
      <c r="M922" s="2415"/>
      <c r="N922" s="2415"/>
      <c r="O922" s="2415"/>
      <c r="P922" s="2415"/>
      <c r="Q922" s="2417"/>
    </row>
    <row r="923" spans="1:17" ht="14">
      <c r="A923" s="2834" t="s">
        <v>690</v>
      </c>
      <c r="B923" s="2834" t="s">
        <v>4774</v>
      </c>
      <c r="C923" s="2834"/>
      <c r="D923" s="2415"/>
      <c r="E923" s="2415"/>
      <c r="F923" s="2415"/>
      <c r="G923" s="2415"/>
      <c r="H923" s="2415"/>
      <c r="I923" s="2415"/>
      <c r="J923" s="2415"/>
      <c r="K923" s="2414"/>
      <c r="L923" s="2838"/>
      <c r="M923" s="2839"/>
      <c r="N923" s="2414"/>
      <c r="O923" s="2835" t="s">
        <v>1726</v>
      </c>
      <c r="P923" s="2419"/>
      <c r="Q923" s="2419"/>
    </row>
    <row r="924" spans="1:17" ht="14">
      <c r="A924" s="2835"/>
      <c r="B924" s="2415" t="s">
        <v>4970</v>
      </c>
      <c r="C924" s="2834"/>
      <c r="D924" s="2415"/>
      <c r="E924" s="2415"/>
      <c r="F924" s="2415"/>
      <c r="G924" s="2415"/>
      <c r="H924" s="2415"/>
      <c r="I924" s="2415"/>
      <c r="J924" s="2415"/>
      <c r="K924" s="2414"/>
      <c r="L924" s="2838"/>
      <c r="M924" s="2839"/>
      <c r="N924" s="2414"/>
      <c r="O924" s="2835"/>
      <c r="P924" s="2419">
        <f>'Part VII-Threshold Criteria'!P42</f>
        <v>0</v>
      </c>
      <c r="Q924" s="2419"/>
    </row>
    <row r="925" spans="1:17" ht="14.5">
      <c r="A925" s="2414"/>
      <c r="B925" s="2840" t="s">
        <v>3157</v>
      </c>
      <c r="C925" s="2414"/>
      <c r="D925" s="2840"/>
      <c r="E925" s="2840"/>
      <c r="F925" s="2840"/>
      <c r="G925" s="2840"/>
      <c r="H925" s="2415"/>
      <c r="I925" s="2416"/>
      <c r="J925" s="2416"/>
      <c r="K925" s="2414"/>
      <c r="L925" s="2414"/>
      <c r="M925" s="2414"/>
      <c r="N925" s="2414"/>
      <c r="O925" s="2414"/>
      <c r="P925" s="2414"/>
      <c r="Q925" s="2414"/>
    </row>
    <row r="926" spans="1:17" ht="14">
      <c r="A926" s="2837" t="str">
        <f>'Part VII-Threshold Criteria'!A44</f>
        <v>N/A for Competitive Review Application</v>
      </c>
      <c r="B926" s="2837"/>
      <c r="C926" s="2837"/>
      <c r="D926" s="2837"/>
      <c r="E926" s="2837"/>
      <c r="F926" s="2837"/>
      <c r="G926" s="2837"/>
      <c r="H926" s="2837"/>
      <c r="I926" s="2837"/>
      <c r="J926" s="2837"/>
      <c r="K926" s="2837"/>
      <c r="L926" s="2837"/>
      <c r="M926" s="2837"/>
      <c r="N926" s="2837"/>
      <c r="O926" s="2837"/>
      <c r="P926" s="2837"/>
      <c r="Q926" s="2837"/>
    </row>
    <row r="927" spans="1:17" ht="14.5">
      <c r="A927" s="2419"/>
      <c r="B927" s="2836" t="s">
        <v>1725</v>
      </c>
      <c r="C927" s="2419"/>
      <c r="D927" s="2419"/>
      <c r="E927" s="2419"/>
      <c r="F927" s="2419"/>
      <c r="G927" s="2419"/>
      <c r="H927" s="2419"/>
      <c r="I927" s="2414"/>
      <c r="J927" s="2414"/>
      <c r="K927" s="2414"/>
      <c r="L927" s="2414"/>
      <c r="M927" s="2414"/>
      <c r="N927" s="2414"/>
      <c r="O927" s="2414"/>
      <c r="P927" s="2414"/>
      <c r="Q927" s="2419"/>
    </row>
    <row r="928" spans="1:17" ht="14">
      <c r="A928" s="2414"/>
      <c r="B928" s="2414"/>
      <c r="C928" s="2414"/>
      <c r="D928" s="2414"/>
      <c r="E928" s="2414"/>
      <c r="F928" s="2414"/>
      <c r="G928" s="2414"/>
      <c r="H928" s="2414"/>
      <c r="I928" s="2414"/>
      <c r="J928" s="2414"/>
      <c r="K928" s="2414"/>
      <c r="L928" s="2414"/>
      <c r="M928" s="2414"/>
      <c r="N928" s="2414"/>
      <c r="O928" s="2414"/>
      <c r="P928" s="2414"/>
      <c r="Q928" s="2414"/>
    </row>
    <row r="929" spans="1:17" ht="14">
      <c r="A929" s="2419"/>
      <c r="B929" s="2414"/>
      <c r="C929" s="2414"/>
      <c r="D929" s="2414"/>
      <c r="E929" s="2414"/>
      <c r="F929" s="2414"/>
      <c r="G929" s="2414"/>
      <c r="H929" s="2414"/>
      <c r="I929" s="2414"/>
      <c r="J929" s="2414"/>
      <c r="K929" s="2414"/>
      <c r="L929" s="2414"/>
      <c r="M929" s="2414"/>
      <c r="N929" s="2414"/>
      <c r="O929" s="2414"/>
      <c r="P929" s="2414"/>
      <c r="Q929" s="2419"/>
    </row>
    <row r="930" spans="1:17" ht="14">
      <c r="A930" s="2834"/>
      <c r="B930" s="2416"/>
      <c r="C930" s="2415"/>
      <c r="D930" s="2415"/>
      <c r="E930" s="2415"/>
      <c r="F930" s="2415"/>
      <c r="G930" s="2415"/>
      <c r="H930" s="2415"/>
      <c r="I930" s="2415"/>
      <c r="J930" s="2415"/>
      <c r="K930" s="2415"/>
      <c r="L930" s="2415"/>
      <c r="M930" s="2415"/>
      <c r="N930" s="2415"/>
      <c r="O930" s="2415"/>
      <c r="P930" s="2415"/>
      <c r="Q930" s="2417"/>
    </row>
    <row r="931" spans="1:17" ht="14">
      <c r="A931" s="2834" t="s">
        <v>1661</v>
      </c>
      <c r="B931" s="2834" t="s">
        <v>3888</v>
      </c>
      <c r="C931" s="2834"/>
      <c r="D931" s="2415"/>
      <c r="E931" s="2415"/>
      <c r="F931" s="2415"/>
      <c r="G931" s="2415"/>
      <c r="H931" s="2417"/>
      <c r="I931" s="2414"/>
      <c r="J931" s="2835"/>
      <c r="K931" s="2419"/>
      <c r="L931" s="2835"/>
      <c r="M931" s="2834"/>
      <c r="N931" s="2414"/>
      <c r="O931" s="2835" t="s">
        <v>1726</v>
      </c>
      <c r="P931" s="2419"/>
      <c r="Q931" s="2419"/>
    </row>
    <row r="932" spans="1:17" ht="14">
      <c r="A932" s="2835"/>
      <c r="B932" s="2414" t="s">
        <v>2258</v>
      </c>
      <c r="C932" s="2414"/>
      <c r="D932" s="2414"/>
      <c r="E932" s="2414"/>
      <c r="F932" s="2414"/>
      <c r="G932" s="2414"/>
      <c r="H932" s="2414"/>
      <c r="I932" s="2414"/>
      <c r="J932" s="2414"/>
      <c r="K932" s="2414"/>
      <c r="L932" s="2837" t="str">
        <f>'Part VII-Threshold Criteria'!L50</f>
        <v>Real Property Research Group</v>
      </c>
      <c r="M932" s="2837"/>
      <c r="N932" s="2837"/>
      <c r="O932" s="2837"/>
      <c r="P932" s="2837"/>
      <c r="Q932" s="2837"/>
    </row>
    <row r="933" spans="1:17" ht="14">
      <c r="A933" s="2835"/>
      <c r="B933" s="2414" t="s">
        <v>4645</v>
      </c>
      <c r="C933" s="2414"/>
      <c r="D933" s="2414"/>
      <c r="E933" s="2414"/>
      <c r="F933" s="2414"/>
      <c r="G933" s="2414"/>
      <c r="H933" s="2414"/>
      <c r="I933" s="2414"/>
      <c r="J933" s="2414"/>
      <c r="K933" s="2414"/>
      <c r="L933" s="2414"/>
      <c r="M933" s="2414"/>
      <c r="N933" s="2841"/>
      <c r="O933" s="2841"/>
      <c r="P933" s="2842">
        <f>'Part VII-Threshold Criteria'!P51</f>
        <v>0.97</v>
      </c>
      <c r="Q933" s="2842"/>
    </row>
    <row r="934" spans="1:17" ht="14">
      <c r="A934" s="2835"/>
      <c r="B934" s="2414" t="s">
        <v>5085</v>
      </c>
      <c r="C934" s="2414"/>
      <c r="D934" s="2414"/>
      <c r="E934" s="2414"/>
      <c r="F934" s="2414"/>
      <c r="G934" s="2414"/>
      <c r="H934" s="2414"/>
      <c r="I934" s="2414"/>
      <c r="J934" s="2414"/>
      <c r="K934" s="2414"/>
      <c r="L934" s="2415" t="s">
        <v>4646</v>
      </c>
      <c r="M934" s="2414"/>
      <c r="N934" s="2414"/>
      <c r="O934" s="2414"/>
      <c r="P934" s="2842">
        <f>'Part VII-Threshold Criteria'!P52</f>
        <v>7.6999999999999999E-2</v>
      </c>
      <c r="Q934" s="2842"/>
    </row>
    <row r="935" spans="1:17" ht="14">
      <c r="A935" s="2835"/>
      <c r="B935" s="2414"/>
      <c r="C935" s="2414"/>
      <c r="D935" s="2414"/>
      <c r="E935" s="2414"/>
      <c r="F935" s="2414"/>
      <c r="G935" s="2414"/>
      <c r="H935" s="2414"/>
      <c r="I935" s="2414"/>
      <c r="J935" s="2841"/>
      <c r="K935" s="2414"/>
      <c r="L935" s="2843" t="s">
        <v>5086</v>
      </c>
      <c r="M935" s="2414"/>
      <c r="N935" s="2414"/>
      <c r="O935" s="2414"/>
      <c r="P935" s="2842">
        <f>'Part VII-Threshold Criteria'!P53</f>
        <v>4.0000000000000001E-3</v>
      </c>
      <c r="Q935" s="2842"/>
    </row>
    <row r="936" spans="1:17" ht="14.5">
      <c r="A936" s="2414"/>
      <c r="B936" s="2840" t="s">
        <v>3157</v>
      </c>
      <c r="C936" s="2414"/>
      <c r="D936" s="2840"/>
      <c r="E936" s="2840"/>
      <c r="F936" s="2840"/>
      <c r="G936" s="2840"/>
      <c r="H936" s="2415"/>
      <c r="I936" s="2416"/>
      <c r="J936" s="2416"/>
      <c r="K936" s="2416"/>
      <c r="L936" s="2417"/>
      <c r="M936" s="2417"/>
      <c r="N936" s="2417"/>
      <c r="O936" s="2417"/>
      <c r="P936" s="2419"/>
      <c r="Q936" s="2419"/>
    </row>
    <row r="937" spans="1:17" ht="14">
      <c r="A937" s="2837" t="str">
        <f>'Part VII-Threshold Criteria'!A55</f>
        <v>As evidenced on page 7 of the report the capture rate for LIHTC units is 7.7% and 0.6% for market rate units, with an overall capture rate of 4.6%. Additionally, in this round we have lowered our rents to a weighted average of what residents currently pay on-site to ensure residents can stay stably housed at our property, therefore our overall market advantage is 53.5% as shown on page 6 of the market study.</v>
      </c>
      <c r="B937" s="2837"/>
      <c r="C937" s="2837"/>
      <c r="D937" s="2837"/>
      <c r="E937" s="2837"/>
      <c r="F937" s="2837"/>
      <c r="G937" s="2837"/>
      <c r="H937" s="2837"/>
      <c r="I937" s="2837"/>
      <c r="J937" s="2837"/>
      <c r="K937" s="2837"/>
      <c r="L937" s="2837"/>
      <c r="M937" s="2837"/>
      <c r="N937" s="2837"/>
      <c r="O937" s="2837"/>
      <c r="P937" s="2837"/>
      <c r="Q937" s="2837"/>
    </row>
    <row r="938" spans="1:17" ht="14.5">
      <c r="A938" s="2414"/>
      <c r="B938" s="2836" t="s">
        <v>1725</v>
      </c>
      <c r="C938" s="2836"/>
      <c r="D938" s="2414"/>
      <c r="E938" s="2414"/>
      <c r="F938" s="2414"/>
      <c r="G938" s="2414"/>
      <c r="H938" s="2414"/>
      <c r="I938" s="2414"/>
      <c r="J938" s="2414"/>
      <c r="K938" s="2414"/>
      <c r="L938" s="2414"/>
      <c r="M938" s="2414"/>
      <c r="N938" s="2414"/>
      <c r="O938" s="2414"/>
      <c r="P938" s="2414"/>
      <c r="Q938" s="2414"/>
    </row>
    <row r="939" spans="1:17" ht="14">
      <c r="A939" s="2414"/>
      <c r="B939" s="2414"/>
      <c r="C939" s="2414"/>
      <c r="D939" s="2414"/>
      <c r="E939" s="2414"/>
      <c r="F939" s="2414"/>
      <c r="G939" s="2414"/>
      <c r="H939" s="2414"/>
      <c r="I939" s="2414"/>
      <c r="J939" s="2414"/>
      <c r="K939" s="2414"/>
      <c r="L939" s="2414"/>
      <c r="M939" s="2414"/>
      <c r="N939" s="2414"/>
      <c r="O939" s="2414"/>
      <c r="P939" s="2414"/>
      <c r="Q939" s="2414"/>
    </row>
    <row r="940" spans="1:17" ht="14">
      <c r="A940" s="2414"/>
      <c r="B940" s="2414"/>
      <c r="C940" s="2414"/>
      <c r="D940" s="2414"/>
      <c r="E940" s="2414"/>
      <c r="F940" s="2414"/>
      <c r="G940" s="2414"/>
      <c r="H940" s="2414"/>
      <c r="I940" s="2414"/>
      <c r="J940" s="2414"/>
      <c r="K940" s="2414"/>
      <c r="L940" s="2414"/>
      <c r="M940" s="2414"/>
      <c r="N940" s="2414"/>
      <c r="O940" s="2414"/>
      <c r="P940" s="2414"/>
      <c r="Q940" s="2414"/>
    </row>
    <row r="941" spans="1:17" ht="14">
      <c r="A941" s="2834"/>
      <c r="B941" s="2415"/>
      <c r="C941" s="2415"/>
      <c r="D941" s="2415"/>
      <c r="E941" s="2415"/>
      <c r="F941" s="2415"/>
      <c r="G941" s="2415"/>
      <c r="H941" s="2415"/>
      <c r="I941" s="2415"/>
      <c r="J941" s="2415"/>
      <c r="K941" s="2415"/>
      <c r="L941" s="2415"/>
      <c r="M941" s="2415"/>
      <c r="N941" s="2415"/>
      <c r="O941" s="2415"/>
      <c r="P941" s="2415"/>
      <c r="Q941" s="2415"/>
    </row>
    <row r="942" spans="1:17" ht="14">
      <c r="A942" s="2834" t="s">
        <v>1663</v>
      </c>
      <c r="B942" s="2834" t="s">
        <v>2416</v>
      </c>
      <c r="C942" s="2834"/>
      <c r="D942" s="2415"/>
      <c r="E942" s="2415"/>
      <c r="F942" s="2415"/>
      <c r="G942" s="2415"/>
      <c r="H942" s="2415"/>
      <c r="I942" s="2415"/>
      <c r="J942" s="2415"/>
      <c r="K942" s="2415"/>
      <c r="L942" s="2415"/>
      <c r="M942" s="2415"/>
      <c r="N942" s="2414"/>
      <c r="O942" s="2835" t="s">
        <v>1726</v>
      </c>
      <c r="P942" s="2419"/>
      <c r="Q942" s="2419"/>
    </row>
    <row r="943" spans="1:17" ht="14">
      <c r="A943" s="2835"/>
      <c r="B943" s="2414" t="s">
        <v>4647</v>
      </c>
      <c r="C943" s="2414"/>
      <c r="D943" s="2414"/>
      <c r="E943" s="2414"/>
      <c r="F943" s="2414"/>
      <c r="G943" s="2414"/>
      <c r="H943" s="2414"/>
      <c r="I943" s="2414"/>
      <c r="J943" s="2414"/>
      <c r="K943" s="2414"/>
      <c r="L943" s="2837">
        <f>'Part VII-Threshold Criteria'!L61</f>
        <v>0</v>
      </c>
      <c r="M943" s="2414"/>
      <c r="N943" s="2414"/>
      <c r="O943" s="2414"/>
      <c r="P943" s="2414"/>
      <c r="Q943" s="2414"/>
    </row>
    <row r="944" spans="1:17" ht="14">
      <c r="A944" s="2835"/>
      <c r="B944" s="2414" t="s">
        <v>3821</v>
      </c>
      <c r="C944" s="2414"/>
      <c r="D944" s="2414"/>
      <c r="E944" s="2414"/>
      <c r="F944" s="2414"/>
      <c r="G944" s="2414"/>
      <c r="H944" s="2414"/>
      <c r="I944" s="2414"/>
      <c r="J944" s="2414"/>
      <c r="K944" s="2414"/>
      <c r="L944" s="2414"/>
      <c r="M944" s="2414"/>
      <c r="N944" s="2414"/>
      <c r="O944" s="2414"/>
      <c r="P944" s="2419">
        <f>'Part VII-Threshold Criteria'!P62</f>
        <v>0</v>
      </c>
      <c r="Q944" s="2419"/>
    </row>
    <row r="945" spans="1:17" ht="15" customHeight="1">
      <c r="A945" s="2414"/>
      <c r="B945" s="2834"/>
      <c r="C945" s="2414" t="s">
        <v>4775</v>
      </c>
      <c r="D945" s="2414"/>
      <c r="E945" s="2414"/>
      <c r="F945" s="2414"/>
      <c r="G945" s="2414"/>
      <c r="H945" s="2414"/>
      <c r="I945" s="2414"/>
      <c r="J945" s="2414"/>
      <c r="K945" s="2414"/>
      <c r="L945" s="2414"/>
      <c r="M945" s="2414"/>
      <c r="N945" s="2414"/>
      <c r="O945" s="2414"/>
      <c r="P945" s="2419">
        <f>'Part VII-Threshold Criteria'!P63</f>
        <v>0</v>
      </c>
      <c r="Q945" s="2417"/>
    </row>
    <row r="946" spans="1:17" ht="14.5">
      <c r="A946" s="2414"/>
      <c r="B946" s="2840" t="s">
        <v>4643</v>
      </c>
      <c r="C946" s="2414"/>
      <c r="D946" s="2836"/>
      <c r="E946" s="2836"/>
      <c r="F946" s="2836"/>
      <c r="G946" s="2836"/>
      <c r="H946" s="2414"/>
      <c r="I946" s="2414"/>
      <c r="J946" s="2414"/>
      <c r="K946" s="2414"/>
      <c r="L946" s="2419"/>
      <c r="M946" s="2419"/>
      <c r="N946" s="2419"/>
      <c r="O946" s="2419"/>
      <c r="P946" s="2417"/>
      <c r="Q946" s="2417"/>
    </row>
    <row r="947" spans="1:17" ht="14">
      <c r="A947" s="2837" t="str">
        <f>'Part VII-Threshold Criteria'!A65</f>
        <v xml:space="preserve">N/A for Competitive Review Applications </v>
      </c>
      <c r="B947" s="2837"/>
      <c r="C947" s="2837"/>
      <c r="D947" s="2837"/>
      <c r="E947" s="2837"/>
      <c r="F947" s="2837"/>
      <c r="G947" s="2837"/>
      <c r="H947" s="2837"/>
      <c r="I947" s="2837"/>
      <c r="J947" s="2837"/>
      <c r="K947" s="2837"/>
      <c r="L947" s="2837"/>
      <c r="M947" s="2837"/>
      <c r="N947" s="2837"/>
      <c r="O947" s="2837"/>
      <c r="P947" s="2837"/>
      <c r="Q947" s="2837"/>
    </row>
    <row r="948" spans="1:17" ht="14.5">
      <c r="A948" s="2414"/>
      <c r="B948" s="2836" t="s">
        <v>1725</v>
      </c>
      <c r="C948" s="2836"/>
      <c r="D948" s="2414"/>
      <c r="E948" s="2414"/>
      <c r="F948" s="2414"/>
      <c r="G948" s="2414"/>
      <c r="H948" s="2414"/>
      <c r="I948" s="2414"/>
      <c r="J948" s="2414"/>
      <c r="K948" s="2414"/>
      <c r="L948" s="2414"/>
      <c r="M948" s="2414"/>
      <c r="N948" s="2414"/>
      <c r="O948" s="2414"/>
      <c r="P948" s="2414"/>
      <c r="Q948" s="2414"/>
    </row>
    <row r="949" spans="1:17" ht="14">
      <c r="A949" s="2414"/>
      <c r="B949" s="2414"/>
      <c r="C949" s="2414"/>
      <c r="D949" s="2414"/>
      <c r="E949" s="2414"/>
      <c r="F949" s="2414"/>
      <c r="G949" s="2414"/>
      <c r="H949" s="2414"/>
      <c r="I949" s="2414"/>
      <c r="J949" s="2414"/>
      <c r="K949" s="2414"/>
      <c r="L949" s="2414"/>
      <c r="M949" s="2414"/>
      <c r="N949" s="2414"/>
      <c r="O949" s="2414"/>
      <c r="P949" s="2414"/>
      <c r="Q949" s="2414"/>
    </row>
    <row r="950" spans="1:17" ht="14">
      <c r="A950" s="2414"/>
      <c r="B950" s="2414"/>
      <c r="C950" s="2414"/>
      <c r="D950" s="2414"/>
      <c r="E950" s="2414"/>
      <c r="F950" s="2414"/>
      <c r="G950" s="2414"/>
      <c r="H950" s="2414"/>
      <c r="I950" s="2414"/>
      <c r="J950" s="2414"/>
      <c r="K950" s="2414"/>
      <c r="L950" s="2414"/>
      <c r="M950" s="2414"/>
      <c r="N950" s="2414"/>
      <c r="O950" s="2414"/>
      <c r="P950" s="2414"/>
      <c r="Q950" s="2414"/>
    </row>
    <row r="951" spans="1:17" ht="14">
      <c r="A951" s="2414"/>
      <c r="B951" s="2414"/>
      <c r="C951" s="2414"/>
      <c r="D951" s="2414"/>
      <c r="E951" s="2414"/>
      <c r="F951" s="2414"/>
      <c r="G951" s="2414"/>
      <c r="H951" s="2414"/>
      <c r="I951" s="2414"/>
      <c r="J951" s="2414"/>
      <c r="K951" s="2414"/>
      <c r="L951" s="2414"/>
      <c r="M951" s="2414"/>
      <c r="N951" s="2414"/>
      <c r="O951" s="2414"/>
      <c r="P951" s="2414"/>
      <c r="Q951" s="2414"/>
    </row>
    <row r="952" spans="1:17" ht="14">
      <c r="A952" s="2834" t="s">
        <v>495</v>
      </c>
      <c r="B952" s="2834" t="s">
        <v>2417</v>
      </c>
      <c r="C952" s="2415"/>
      <c r="D952" s="2415"/>
      <c r="E952" s="2415"/>
      <c r="F952" s="2415"/>
      <c r="G952" s="2415"/>
      <c r="H952" s="2415"/>
      <c r="I952" s="2415"/>
      <c r="J952" s="2415"/>
      <c r="K952" s="2415"/>
      <c r="L952" s="2415"/>
      <c r="M952" s="2415"/>
      <c r="N952" s="2414"/>
      <c r="O952" s="2835" t="s">
        <v>1726</v>
      </c>
      <c r="P952" s="2419"/>
      <c r="Q952" s="2419"/>
    </row>
    <row r="953" spans="1:17" ht="15" customHeight="1">
      <c r="A953" s="2835"/>
      <c r="B953" s="2414" t="s">
        <v>4959</v>
      </c>
      <c r="C953" s="2414"/>
      <c r="D953" s="2414"/>
      <c r="E953" s="2414"/>
      <c r="F953" s="2414"/>
      <c r="G953" s="2414"/>
      <c r="H953" s="2414"/>
      <c r="I953" s="2414"/>
      <c r="J953" s="2414"/>
      <c r="K953" s="2414"/>
      <c r="L953" s="2837" t="str">
        <f>'Part VII-Threshold Criteria'!L71</f>
        <v>Terracon</v>
      </c>
      <c r="M953" s="2844"/>
      <c r="N953" s="2844"/>
      <c r="O953" s="2844"/>
      <c r="P953" s="2844"/>
      <c r="Q953" s="2844"/>
    </row>
    <row r="954" spans="1:17" ht="14">
      <c r="A954" s="2414"/>
      <c r="B954" s="2414" t="s">
        <v>4648</v>
      </c>
      <c r="C954" s="2414"/>
      <c r="D954" s="2414"/>
      <c r="E954" s="2414"/>
      <c r="F954" s="2414"/>
      <c r="G954" s="2414"/>
      <c r="H954" s="2414"/>
      <c r="I954" s="2414"/>
      <c r="J954" s="2414"/>
      <c r="K954" s="2414"/>
      <c r="L954" s="2414"/>
      <c r="M954" s="2414"/>
      <c r="N954" s="2414"/>
      <c r="O954" s="2414"/>
      <c r="P954" s="2419" t="str">
        <f>'Part VII-Threshold Criteria'!P72</f>
        <v>No</v>
      </c>
      <c r="Q954" s="2419"/>
    </row>
    <row r="955" spans="1:17" ht="14">
      <c r="A955" s="2835"/>
      <c r="B955" s="2414" t="s">
        <v>4521</v>
      </c>
      <c r="C955" s="2414"/>
      <c r="D955" s="2414"/>
      <c r="E955" s="2414"/>
      <c r="F955" s="2414"/>
      <c r="G955" s="2414"/>
      <c r="H955" s="2414"/>
      <c r="I955" s="2414"/>
      <c r="J955" s="2414"/>
      <c r="K955" s="2414"/>
      <c r="L955" s="2415"/>
      <c r="M955" s="2414"/>
      <c r="N955" s="2414"/>
      <c r="O955" s="2845"/>
      <c r="P955" s="2419" t="str">
        <f>'Part VII-Threshold Criteria'!P73</f>
        <v>No</v>
      </c>
      <c r="Q955" s="2417"/>
    </row>
    <row r="956" spans="1:17" ht="14">
      <c r="A956" s="2835"/>
      <c r="B956" s="2414" t="s">
        <v>4649</v>
      </c>
      <c r="C956" s="2414"/>
      <c r="D956" s="2414"/>
      <c r="E956" s="2414"/>
      <c r="F956" s="2414"/>
      <c r="G956" s="2414"/>
      <c r="H956" s="2414"/>
      <c r="I956" s="2414" t="s">
        <v>4650</v>
      </c>
      <c r="J956" s="2414"/>
      <c r="K956" s="2414"/>
      <c r="L956" s="2415"/>
      <c r="M956" s="2415"/>
      <c r="N956" s="2415"/>
      <c r="O956" s="2845"/>
      <c r="P956" s="2419" t="str">
        <f>'Part VII-Threshold Criteria'!P74</f>
        <v>No</v>
      </c>
      <c r="Q956" s="2417"/>
    </row>
    <row r="957" spans="1:17" ht="14">
      <c r="A957" s="2835"/>
      <c r="B957" s="2834"/>
      <c r="C957" s="2414"/>
      <c r="D957" s="2414"/>
      <c r="E957" s="2414"/>
      <c r="F957" s="2414"/>
      <c r="G957" s="2414"/>
      <c r="H957" s="2414"/>
      <c r="I957" s="2414" t="s">
        <v>4651</v>
      </c>
      <c r="J957" s="2414"/>
      <c r="K957" s="2414"/>
      <c r="L957" s="2415"/>
      <c r="M957" s="2415"/>
      <c r="N957" s="2414"/>
      <c r="O957" s="2845"/>
      <c r="P957" s="2419" t="str">
        <f>'Part VII-Threshold Criteria'!P75</f>
        <v>No</v>
      </c>
      <c r="Q957" s="2417"/>
    </row>
    <row r="958" spans="1:17" ht="14.5">
      <c r="A958" s="2835"/>
      <c r="B958" s="2834"/>
      <c r="C958" s="2414"/>
      <c r="D958" s="2414"/>
      <c r="E958" s="2414"/>
      <c r="F958" s="2414"/>
      <c r="G958" s="2414"/>
      <c r="H958" s="2414"/>
      <c r="I958" s="2846"/>
      <c r="J958" s="2832" t="s">
        <v>4652</v>
      </c>
      <c r="K958" s="2414"/>
      <c r="L958" s="2415"/>
      <c r="M958" s="2415"/>
      <c r="N958" s="2414"/>
      <c r="O958" s="2845"/>
      <c r="P958" s="2419">
        <f>'Part VII-Threshold Criteria'!P76</f>
        <v>0</v>
      </c>
      <c r="Q958" s="2847"/>
    </row>
    <row r="959" spans="1:17" ht="14.5">
      <c r="A959" s="2557"/>
      <c r="B959" s="2846"/>
      <c r="C959" s="2837"/>
      <c r="D959" s="2837"/>
      <c r="E959" s="2848"/>
      <c r="F959" s="2848"/>
      <c r="G959" s="2832"/>
      <c r="H959" s="2832"/>
      <c r="I959" s="2414" t="s">
        <v>4653</v>
      </c>
      <c r="J959" s="2414"/>
      <c r="K959" s="2837"/>
      <c r="L959" s="2558"/>
      <c r="M959" s="2558"/>
      <c r="N959" s="2837"/>
      <c r="O959" s="2849"/>
      <c r="P959" s="2419" t="str">
        <f>'Part VII-Threshold Criteria'!P77</f>
        <v>No</v>
      </c>
      <c r="Q959" s="2417"/>
    </row>
    <row r="960" spans="1:17" ht="15" customHeight="1">
      <c r="A960" s="2835"/>
      <c r="B960" s="2414" t="s">
        <v>4795</v>
      </c>
      <c r="C960" s="2414"/>
      <c r="D960" s="2414"/>
      <c r="E960" s="2414"/>
      <c r="F960" s="2414"/>
      <c r="G960" s="2414"/>
      <c r="H960" s="2414"/>
      <c r="I960" s="2414"/>
      <c r="J960" s="2414"/>
      <c r="K960" s="2414"/>
      <c r="L960" s="2414"/>
      <c r="M960" s="2414"/>
      <c r="N960" s="2414"/>
      <c r="O960" s="2414"/>
      <c r="P960" s="2414"/>
      <c r="Q960" s="2414"/>
    </row>
    <row r="961" spans="1:17" ht="14">
      <c r="A961" s="2414"/>
      <c r="B961" s="2837" t="str">
        <f>'Part VII-Threshold Criteria'!B79</f>
        <v>Based on prior reports, elevated level of Lead-based paint and Asbestos Containing Materials were detected on-site (p. 10). Additionally, an underground propane tank that is no longer in use was located outside of the former school building (p.17). Finally, the noise levels were assessed and found to be in excess of the 65dB limit (p.430)--the site plan mitigates impact.</v>
      </c>
      <c r="C961" s="2837"/>
      <c r="D961" s="2837"/>
      <c r="E961" s="2837"/>
      <c r="F961" s="2837"/>
      <c r="G961" s="2837"/>
      <c r="H961" s="2837"/>
      <c r="I961" s="2837"/>
      <c r="J961" s="2837"/>
      <c r="K961" s="2837"/>
      <c r="L961" s="2837"/>
      <c r="M961" s="2837"/>
      <c r="N961" s="2837"/>
      <c r="O961" s="2837"/>
      <c r="P961" s="2837"/>
      <c r="Q961" s="2837"/>
    </row>
    <row r="962" spans="1:17" ht="14.5">
      <c r="A962" s="2414"/>
      <c r="B962" s="2836" t="s">
        <v>3157</v>
      </c>
      <c r="C962" s="2414"/>
      <c r="D962" s="2836"/>
      <c r="E962" s="2836"/>
      <c r="F962" s="2836"/>
      <c r="G962" s="2836"/>
      <c r="H962" s="2414"/>
      <c r="I962" s="2414"/>
      <c r="J962" s="2414"/>
      <c r="K962" s="2414"/>
      <c r="L962" s="2419"/>
      <c r="M962" s="2419"/>
      <c r="N962" s="2419"/>
      <c r="O962" s="2419"/>
      <c r="P962" s="2419"/>
      <c r="Q962" s="2419"/>
    </row>
    <row r="963" spans="1:17" ht="14">
      <c r="A963" s="2837" t="str">
        <f>'Part VII-Threshold Criteria'!A81</f>
        <v xml:space="preserve">As this property is going through the LIHTC application process again, the owner is aware of the issues raised in the Phase I report, and will to the greatest extent feasible mitigate or remove these items. </v>
      </c>
      <c r="B963" s="2837"/>
      <c r="C963" s="2837"/>
      <c r="D963" s="2837"/>
      <c r="E963" s="2837"/>
      <c r="F963" s="2837"/>
      <c r="G963" s="2837"/>
      <c r="H963" s="2837"/>
      <c r="I963" s="2837"/>
      <c r="J963" s="2837"/>
      <c r="K963" s="2837"/>
      <c r="L963" s="2837"/>
      <c r="M963" s="2837"/>
      <c r="N963" s="2837"/>
      <c r="O963" s="2837"/>
      <c r="P963" s="2837"/>
      <c r="Q963" s="2837"/>
    </row>
    <row r="964" spans="1:17" ht="14.5">
      <c r="A964" s="2414"/>
      <c r="B964" s="2836" t="s">
        <v>1725</v>
      </c>
      <c r="C964" s="2836"/>
      <c r="D964" s="2414"/>
      <c r="E964" s="2414"/>
      <c r="F964" s="2414"/>
      <c r="G964" s="2414"/>
      <c r="H964" s="2414"/>
      <c r="I964" s="2414"/>
      <c r="J964" s="2414"/>
      <c r="K964" s="2414"/>
      <c r="L964" s="2414"/>
      <c r="M964" s="2414"/>
      <c r="N964" s="2414"/>
      <c r="O964" s="2414"/>
      <c r="P964" s="2414"/>
      <c r="Q964" s="2414"/>
    </row>
    <row r="965" spans="1:17" ht="14">
      <c r="A965" s="2414"/>
      <c r="B965" s="2414"/>
      <c r="C965" s="2414"/>
      <c r="D965" s="2414"/>
      <c r="E965" s="2414"/>
      <c r="F965" s="2414"/>
      <c r="G965" s="2414"/>
      <c r="H965" s="2414"/>
      <c r="I965" s="2414"/>
      <c r="J965" s="2414"/>
      <c r="K965" s="2414"/>
      <c r="L965" s="2414"/>
      <c r="M965" s="2414"/>
      <c r="N965" s="2414"/>
      <c r="O965" s="2414"/>
      <c r="P965" s="2414"/>
      <c r="Q965" s="2414"/>
    </row>
    <row r="966" spans="1:17" ht="14">
      <c r="A966" s="2419"/>
      <c r="B966" s="2414"/>
      <c r="C966" s="2414"/>
      <c r="D966" s="2414"/>
      <c r="E966" s="2414"/>
      <c r="F966" s="2414"/>
      <c r="G966" s="2414"/>
      <c r="H966" s="2414"/>
      <c r="I966" s="2414"/>
      <c r="J966" s="2414"/>
      <c r="K966" s="2414"/>
      <c r="L966" s="2414"/>
      <c r="M966" s="2414"/>
      <c r="N966" s="2414"/>
      <c r="O966" s="2414"/>
      <c r="P966" s="2414"/>
      <c r="Q966" s="2419"/>
    </row>
    <row r="967" spans="1:17" ht="14">
      <c r="A967" s="2414"/>
      <c r="B967" s="2416"/>
      <c r="C967" s="2415"/>
      <c r="D967" s="2415"/>
      <c r="E967" s="2415"/>
      <c r="F967" s="2415"/>
      <c r="G967" s="2415"/>
      <c r="H967" s="2415"/>
      <c r="I967" s="2415"/>
      <c r="J967" s="2415"/>
      <c r="K967" s="2415"/>
      <c r="L967" s="2415"/>
      <c r="M967" s="2415"/>
      <c r="N967" s="2415"/>
      <c r="O967" s="2415"/>
      <c r="P967" s="2415"/>
      <c r="Q967" s="2417"/>
    </row>
    <row r="968" spans="1:17" ht="14">
      <c r="A968" s="2834" t="s">
        <v>719</v>
      </c>
      <c r="B968" s="2834" t="s">
        <v>2418</v>
      </c>
      <c r="C968" s="2834"/>
      <c r="D968" s="2415"/>
      <c r="E968" s="2415"/>
      <c r="F968" s="2415"/>
      <c r="G968" s="2415"/>
      <c r="H968" s="2415"/>
      <c r="I968" s="2415"/>
      <c r="J968" s="2415"/>
      <c r="K968" s="2415"/>
      <c r="L968" s="2414"/>
      <c r="M968" s="2414"/>
      <c r="N968" s="2414"/>
      <c r="O968" s="2835" t="s">
        <v>1726</v>
      </c>
      <c r="P968" s="2419"/>
      <c r="Q968" s="2419"/>
    </row>
    <row r="969" spans="1:17" ht="15" customHeight="1">
      <c r="A969" s="2835"/>
      <c r="B969" s="2414" t="s">
        <v>143</v>
      </c>
      <c r="C969" s="2414"/>
      <c r="D969" s="2414"/>
      <c r="E969" s="2414"/>
      <c r="F969" s="2850" t="str">
        <f>IF(L969="Ground lease/Option","Ground lease/Option:","")</f>
        <v/>
      </c>
      <c r="G969" s="2414"/>
      <c r="H969" s="2851" t="str">
        <f>IF(L969="Ground lease/Option","Annual Pymt:","")</f>
        <v/>
      </c>
      <c r="I969" s="2852" t="str">
        <f>IF(M1009="Ground lease/Option",'Part V-Revenues &amp; Expenses'!$F$275,"")</f>
        <v/>
      </c>
      <c r="J969" s="2853" t="str">
        <f>IF(L969="Ground lease/Option","Term (yrs):","")</f>
        <v/>
      </c>
      <c r="K969" s="2854" t="str">
        <f>IF(M1009="Ground lease/Option",'Part V-Revenues &amp; Expenses'!$L$275,"")</f>
        <v/>
      </c>
      <c r="L969" s="2837" t="str">
        <f>'Part VII-Threshold Criteria'!L87</f>
        <v>Purchase Contract</v>
      </c>
      <c r="M969" s="2419"/>
      <c r="N969" s="2419"/>
      <c r="O969" s="2419" t="s">
        <v>1641</v>
      </c>
      <c r="P969" s="2419"/>
      <c r="Q969" s="2419"/>
    </row>
    <row r="970" spans="1:17" ht="14">
      <c r="A970" s="2835"/>
      <c r="B970" s="2414" t="s">
        <v>635</v>
      </c>
      <c r="C970" s="2414"/>
      <c r="D970" s="2414"/>
      <c r="E970" s="2414"/>
      <c r="F970" s="2414"/>
      <c r="G970" s="2414"/>
      <c r="H970" s="2414"/>
      <c r="I970" s="2414"/>
      <c r="J970" s="2414"/>
      <c r="K970" s="2414"/>
      <c r="L970" s="2837" t="str">
        <f>'Part VII-Threshold Criteria'!L88</f>
        <v>Princeton Court Senior Housing Limited Partnership, LP</v>
      </c>
      <c r="M970" s="2414"/>
      <c r="N970" s="2414"/>
      <c r="O970" s="2414"/>
      <c r="P970" s="2414"/>
      <c r="Q970" s="2414"/>
    </row>
    <row r="971" spans="1:17" ht="14.5">
      <c r="A971" s="2414"/>
      <c r="B971" s="2840" t="s">
        <v>3157</v>
      </c>
      <c r="C971" s="2414"/>
      <c r="D971" s="2840"/>
      <c r="E971" s="2840"/>
      <c r="F971" s="2840"/>
      <c r="G971" s="2840"/>
      <c r="H971" s="2415"/>
      <c r="I971" s="2416"/>
      <c r="J971" s="2416"/>
      <c r="K971" s="2416"/>
      <c r="L971" s="2419"/>
      <c r="M971" s="2419"/>
      <c r="N971" s="2419"/>
      <c r="O971" s="2419"/>
      <c r="P971" s="2419"/>
      <c r="Q971" s="2419"/>
    </row>
    <row r="972" spans="1:17" ht="14">
      <c r="A972" s="2837" t="str">
        <f>'Part VII-Threshold Criteria'!A90</f>
        <v>Princeton Court Senior Housing Limited Partnership, LP has entered into a PSA with National Church Residences of College Park, GA, Inc. for the purchase of the proposed renovation of Princeton Court.</v>
      </c>
      <c r="B972" s="2837"/>
      <c r="C972" s="2837"/>
      <c r="D972" s="2837"/>
      <c r="E972" s="2837"/>
      <c r="F972" s="2837"/>
      <c r="G972" s="2837"/>
      <c r="H972" s="2837"/>
      <c r="I972" s="2837"/>
      <c r="J972" s="2837"/>
      <c r="K972" s="2837"/>
      <c r="L972" s="2837"/>
      <c r="M972" s="2837"/>
      <c r="N972" s="2837"/>
      <c r="O972" s="2837"/>
      <c r="P972" s="2837"/>
      <c r="Q972" s="2837"/>
    </row>
    <row r="973" spans="1:17" ht="14.5">
      <c r="A973" s="2414"/>
      <c r="B973" s="2836" t="s">
        <v>1725</v>
      </c>
      <c r="C973" s="2836"/>
      <c r="D973" s="2414"/>
      <c r="E973" s="2414"/>
      <c r="F973" s="2414"/>
      <c r="G973" s="2414"/>
      <c r="H973" s="2414"/>
      <c r="I973" s="2414"/>
      <c r="J973" s="2414"/>
      <c r="K973" s="2414"/>
      <c r="L973" s="2414"/>
      <c r="M973" s="2414"/>
      <c r="N973" s="2414"/>
      <c r="O973" s="2414"/>
      <c r="P973" s="2414"/>
      <c r="Q973" s="2414"/>
    </row>
    <row r="974" spans="1:17" ht="14">
      <c r="A974" s="2414"/>
      <c r="B974" s="2414"/>
      <c r="C974" s="2414"/>
      <c r="D974" s="2414"/>
      <c r="E974" s="2414"/>
      <c r="F974" s="2414"/>
      <c r="G974" s="2414"/>
      <c r="H974" s="2414"/>
      <c r="I974" s="2414"/>
      <c r="J974" s="2414"/>
      <c r="K974" s="2414"/>
      <c r="L974" s="2414"/>
      <c r="M974" s="2414"/>
      <c r="N974" s="2414"/>
      <c r="O974" s="2414"/>
      <c r="P974" s="2414"/>
      <c r="Q974" s="2414"/>
    </row>
    <row r="975" spans="1:17" ht="14">
      <c r="A975" s="2419"/>
      <c r="B975" s="2414"/>
      <c r="C975" s="2414"/>
      <c r="D975" s="2414"/>
      <c r="E975" s="2414"/>
      <c r="F975" s="2414"/>
      <c r="G975" s="2414"/>
      <c r="H975" s="2414"/>
      <c r="I975" s="2414"/>
      <c r="J975" s="2414"/>
      <c r="K975" s="2414"/>
      <c r="L975" s="2414"/>
      <c r="M975" s="2414"/>
      <c r="N975" s="2414"/>
      <c r="O975" s="2414"/>
      <c r="P975" s="2414"/>
      <c r="Q975" s="2419"/>
    </row>
    <row r="976" spans="1:17" ht="14">
      <c r="A976" s="2414"/>
      <c r="B976" s="2416"/>
      <c r="C976" s="2415"/>
      <c r="D976" s="2415"/>
      <c r="E976" s="2415"/>
      <c r="F976" s="2415"/>
      <c r="G976" s="2415"/>
      <c r="H976" s="2415"/>
      <c r="I976" s="2415"/>
      <c r="J976" s="2415"/>
      <c r="K976" s="2415"/>
      <c r="L976" s="2415"/>
      <c r="M976" s="2415"/>
      <c r="N976" s="2414"/>
      <c r="O976" s="2414"/>
      <c r="P976" s="2414"/>
      <c r="Q976" s="2417"/>
    </row>
    <row r="977" spans="1:17" ht="14">
      <c r="A977" s="2834" t="s">
        <v>280</v>
      </c>
      <c r="B977" s="2834" t="s">
        <v>2419</v>
      </c>
      <c r="C977" s="2834"/>
      <c r="D977" s="2415"/>
      <c r="E977" s="2415"/>
      <c r="F977" s="2415"/>
      <c r="G977" s="2415"/>
      <c r="H977" s="2415"/>
      <c r="I977" s="2415"/>
      <c r="J977" s="2415"/>
      <c r="K977" s="2415"/>
      <c r="L977" s="2415"/>
      <c r="M977" s="2415"/>
      <c r="N977" s="2414"/>
      <c r="O977" s="2835" t="s">
        <v>1726</v>
      </c>
      <c r="P977" s="2419"/>
      <c r="Q977" s="2419"/>
    </row>
    <row r="978" spans="1:17" ht="14.5">
      <c r="A978" s="2414"/>
      <c r="B978" s="2840" t="s">
        <v>3157</v>
      </c>
      <c r="C978" s="2414"/>
      <c r="D978" s="2840"/>
      <c r="E978" s="2840"/>
      <c r="F978" s="2840"/>
      <c r="G978" s="2840"/>
      <c r="H978" s="2415"/>
      <c r="I978" s="2416"/>
      <c r="J978" s="2416"/>
      <c r="K978" s="2416"/>
      <c r="L978" s="2417"/>
      <c r="M978" s="2417"/>
      <c r="N978" s="2417"/>
      <c r="O978" s="2417"/>
      <c r="P978" s="2419"/>
      <c r="Q978" s="2419"/>
    </row>
    <row r="979" spans="1:17" ht="14">
      <c r="A979" s="2837" t="str">
        <f>'Part VII-Threshold Criteria'!A97</f>
        <v>Existing conditions site plan is included in the CSDP under Scoring Criteria - Folder 08 Readiness.</v>
      </c>
      <c r="B979" s="2837"/>
      <c r="C979" s="2837"/>
      <c r="D979" s="2837"/>
      <c r="E979" s="2837"/>
      <c r="F979" s="2837"/>
      <c r="G979" s="2837"/>
      <c r="H979" s="2837"/>
      <c r="I979" s="2837"/>
      <c r="J979" s="2837"/>
      <c r="K979" s="2837"/>
      <c r="L979" s="2837"/>
      <c r="M979" s="2837"/>
      <c r="N979" s="2837"/>
      <c r="O979" s="2837"/>
      <c r="P979" s="2837"/>
      <c r="Q979" s="2837"/>
    </row>
    <row r="980" spans="1:17" ht="14.5">
      <c r="A980" s="2414"/>
      <c r="B980" s="2836" t="s">
        <v>1725</v>
      </c>
      <c r="C980" s="2836"/>
      <c r="D980" s="2414"/>
      <c r="E980" s="2414"/>
      <c r="F980" s="2414"/>
      <c r="G980" s="2414"/>
      <c r="H980" s="2414"/>
      <c r="I980" s="2414"/>
      <c r="J980" s="2414"/>
      <c r="K980" s="2414"/>
      <c r="L980" s="2414"/>
      <c r="M980" s="2414"/>
      <c r="N980" s="2414"/>
      <c r="O980" s="2414"/>
      <c r="P980" s="2414"/>
      <c r="Q980" s="2414"/>
    </row>
    <row r="981" spans="1:17" ht="14">
      <c r="A981" s="2414"/>
      <c r="B981" s="2414"/>
      <c r="C981" s="2414"/>
      <c r="D981" s="2414"/>
      <c r="E981" s="2414"/>
      <c r="F981" s="2414"/>
      <c r="G981" s="2414"/>
      <c r="H981" s="2414"/>
      <c r="I981" s="2414"/>
      <c r="J981" s="2414"/>
      <c r="K981" s="2414"/>
      <c r="L981" s="2414"/>
      <c r="M981" s="2414"/>
      <c r="N981" s="2414"/>
      <c r="O981" s="2414"/>
      <c r="P981" s="2414"/>
      <c r="Q981" s="2414"/>
    </row>
    <row r="982" spans="1:17" ht="14">
      <c r="A982" s="2414"/>
      <c r="B982" s="2414"/>
      <c r="C982" s="2414"/>
      <c r="D982" s="2414"/>
      <c r="E982" s="2414"/>
      <c r="F982" s="2414"/>
      <c r="G982" s="2414"/>
      <c r="H982" s="2414"/>
      <c r="I982" s="2414"/>
      <c r="J982" s="2414"/>
      <c r="K982" s="2414"/>
      <c r="L982" s="2414"/>
      <c r="M982" s="2414"/>
      <c r="N982" s="2414"/>
      <c r="O982" s="2414"/>
      <c r="P982" s="2414"/>
      <c r="Q982" s="2419"/>
    </row>
    <row r="983" spans="1:17" ht="14">
      <c r="A983" s="2414"/>
      <c r="B983" s="2416"/>
      <c r="C983" s="2415"/>
      <c r="D983" s="2415"/>
      <c r="E983" s="2415"/>
      <c r="F983" s="2415"/>
      <c r="G983" s="2415"/>
      <c r="H983" s="2415"/>
      <c r="I983" s="2415"/>
      <c r="J983" s="2415"/>
      <c r="K983" s="2415"/>
      <c r="L983" s="2415"/>
      <c r="M983" s="2415"/>
      <c r="N983" s="2415"/>
      <c r="O983" s="2415"/>
      <c r="P983" s="2415"/>
      <c r="Q983" s="2417"/>
    </row>
    <row r="984" spans="1:17" ht="14">
      <c r="A984" s="2834" t="s">
        <v>400</v>
      </c>
      <c r="B984" s="2419" t="s">
        <v>2420</v>
      </c>
      <c r="C984" s="2419"/>
      <c r="D984" s="2419"/>
      <c r="E984" s="2414"/>
      <c r="F984" s="2414"/>
      <c r="G984" s="2414"/>
      <c r="H984" s="2414"/>
      <c r="I984" s="2414"/>
      <c r="J984" s="2414"/>
      <c r="K984" s="2414"/>
      <c r="L984" s="2414"/>
      <c r="M984" s="2414"/>
      <c r="N984" s="2414"/>
      <c r="O984" s="2835" t="s">
        <v>1726</v>
      </c>
      <c r="P984" s="2419"/>
      <c r="Q984" s="2419"/>
    </row>
    <row r="985" spans="1:17" ht="14.5">
      <c r="A985" s="2414"/>
      <c r="B985" s="2836" t="s">
        <v>3157</v>
      </c>
      <c r="C985" s="2414"/>
      <c r="D985" s="2836"/>
      <c r="E985" s="2840"/>
      <c r="F985" s="2840"/>
      <c r="G985" s="2840"/>
      <c r="H985" s="2415"/>
      <c r="I985" s="2416"/>
      <c r="J985" s="2416"/>
      <c r="K985" s="2416"/>
      <c r="L985" s="2417"/>
      <c r="M985" s="2417"/>
      <c r="N985" s="2417"/>
      <c r="O985" s="2417"/>
      <c r="P985" s="2419"/>
      <c r="Q985" s="2419"/>
    </row>
    <row r="986" spans="1:17" ht="14">
      <c r="A986" s="2837" t="str">
        <f>'Part VII-Threshold Criteria'!A104</f>
        <v>N/A for Rehab Projects</v>
      </c>
      <c r="B986" s="2837"/>
      <c r="C986" s="2837"/>
      <c r="D986" s="2837"/>
      <c r="E986" s="2837"/>
      <c r="F986" s="2837"/>
      <c r="G986" s="2837"/>
      <c r="H986" s="2837"/>
      <c r="I986" s="2837"/>
      <c r="J986" s="2837"/>
      <c r="K986" s="2837"/>
      <c r="L986" s="2837"/>
      <c r="M986" s="2837"/>
      <c r="N986" s="2837"/>
      <c r="O986" s="2837"/>
      <c r="P986" s="2837"/>
      <c r="Q986" s="2837"/>
    </row>
    <row r="987" spans="1:17" ht="14.5">
      <c r="A987" s="2414"/>
      <c r="B987" s="2836" t="s">
        <v>1725</v>
      </c>
      <c r="C987" s="2836"/>
      <c r="D987" s="2414"/>
      <c r="E987" s="2414"/>
      <c r="F987" s="2414"/>
      <c r="G987" s="2414"/>
      <c r="H987" s="2414"/>
      <c r="I987" s="2414"/>
      <c r="J987" s="2414"/>
      <c r="K987" s="2414"/>
      <c r="L987" s="2414"/>
      <c r="M987" s="2414"/>
      <c r="N987" s="2414"/>
      <c r="O987" s="2414"/>
      <c r="P987" s="2414"/>
      <c r="Q987" s="2414"/>
    </row>
    <row r="988" spans="1:17" ht="14">
      <c r="A988" s="2414"/>
      <c r="B988" s="2414"/>
      <c r="C988" s="2414"/>
      <c r="D988" s="2414"/>
      <c r="E988" s="2414"/>
      <c r="F988" s="2414"/>
      <c r="G988" s="2414"/>
      <c r="H988" s="2414"/>
      <c r="I988" s="2414"/>
      <c r="J988" s="2414"/>
      <c r="K988" s="2414"/>
      <c r="L988" s="2414"/>
      <c r="M988" s="2414"/>
      <c r="N988" s="2414"/>
      <c r="O988" s="2414"/>
      <c r="P988" s="2414"/>
      <c r="Q988" s="2414"/>
    </row>
    <row r="989" spans="1:17" ht="14">
      <c r="A989" s="2419"/>
      <c r="B989" s="2414"/>
      <c r="C989" s="2414"/>
      <c r="D989" s="2414"/>
      <c r="E989" s="2414"/>
      <c r="F989" s="2414"/>
      <c r="G989" s="2414"/>
      <c r="H989" s="2414"/>
      <c r="I989" s="2414"/>
      <c r="J989" s="2414"/>
      <c r="K989" s="2414"/>
      <c r="L989" s="2414"/>
      <c r="M989" s="2414"/>
      <c r="N989" s="2414"/>
      <c r="O989" s="2414"/>
      <c r="P989" s="2414"/>
      <c r="Q989" s="2419"/>
    </row>
    <row r="990" spans="1:17" ht="14">
      <c r="A990" s="2414"/>
      <c r="B990" s="2416"/>
      <c r="C990" s="2415"/>
      <c r="D990" s="2415"/>
      <c r="E990" s="2415"/>
      <c r="F990" s="2415"/>
      <c r="G990" s="2415"/>
      <c r="H990" s="2415"/>
      <c r="I990" s="2415"/>
      <c r="J990" s="2415"/>
      <c r="K990" s="2415"/>
      <c r="L990" s="2415"/>
      <c r="M990" s="2415"/>
      <c r="N990" s="2415"/>
      <c r="O990" s="2415"/>
      <c r="P990" s="2415"/>
      <c r="Q990" s="2417"/>
    </row>
    <row r="991" spans="1:17" ht="14">
      <c r="A991" s="2834" t="s">
        <v>342</v>
      </c>
      <c r="B991" s="2834" t="s">
        <v>2421</v>
      </c>
      <c r="C991" s="2834"/>
      <c r="D991" s="2415"/>
      <c r="E991" s="2415"/>
      <c r="F991" s="2414"/>
      <c r="G991" s="2415"/>
      <c r="H991" s="2414"/>
      <c r="I991" s="2414"/>
      <c r="J991" s="2414"/>
      <c r="K991" s="2414"/>
      <c r="L991" s="2414"/>
      <c r="M991" s="2414"/>
      <c r="N991" s="2414"/>
      <c r="O991" s="2835" t="s">
        <v>1726</v>
      </c>
      <c r="P991" s="2419"/>
      <c r="Q991" s="2419"/>
    </row>
    <row r="992" spans="1:17" ht="14">
      <c r="A992" s="2835"/>
      <c r="B992" s="2414" t="s">
        <v>4654</v>
      </c>
      <c r="C992" s="2414"/>
      <c r="D992" s="2414"/>
      <c r="E992" s="2414"/>
      <c r="F992" s="2414"/>
      <c r="G992" s="2414"/>
      <c r="H992" s="2414"/>
      <c r="I992" s="2414"/>
      <c r="J992" s="2414" t="s">
        <v>4655</v>
      </c>
      <c r="K992" s="2414"/>
      <c r="L992" s="2414"/>
      <c r="M992" s="2837" t="str">
        <f>'Part VII-Threshold Criteria'!M110</f>
        <v>&lt;&lt;Enter Provider Name Here&gt;&gt;</v>
      </c>
      <c r="N992" s="2419"/>
      <c r="O992" s="2419"/>
      <c r="P992" s="2419"/>
      <c r="Q992" s="2419"/>
    </row>
    <row r="993" spans="1:17" ht="14">
      <c r="A993" s="2835"/>
      <c r="B993" s="2835"/>
      <c r="C993" s="2414"/>
      <c r="D993" s="2414"/>
      <c r="E993" s="2414"/>
      <c r="F993" s="2414"/>
      <c r="G993" s="2414"/>
      <c r="H993" s="2414"/>
      <c r="I993" s="2414"/>
      <c r="J993" s="2414" t="s">
        <v>4656</v>
      </c>
      <c r="K993" s="2414"/>
      <c r="L993" s="2414"/>
      <c r="M993" s="2837" t="str">
        <f>'Part VII-Threshold Criteria'!M111</f>
        <v>&lt;&lt;Enter Provider Name Here&gt;&gt;</v>
      </c>
      <c r="N993" s="2419"/>
      <c r="O993" s="2419"/>
      <c r="P993" s="2419"/>
      <c r="Q993" s="2419"/>
    </row>
    <row r="994" spans="1:17" ht="14.5">
      <c r="A994" s="2835"/>
      <c r="B994" s="2840" t="s">
        <v>3157</v>
      </c>
      <c r="C994" s="2414"/>
      <c r="D994" s="2414"/>
      <c r="E994" s="2414"/>
      <c r="F994" s="2414"/>
      <c r="G994" s="2414"/>
      <c r="H994" s="2414"/>
      <c r="I994" s="2414"/>
      <c r="J994" s="2414"/>
      <c r="K994" s="2414"/>
      <c r="L994" s="2414"/>
      <c r="M994" s="2414"/>
      <c r="N994" s="2414"/>
      <c r="O994" s="2414"/>
      <c r="P994" s="2414"/>
      <c r="Q994" s="2414"/>
    </row>
    <row r="995" spans="1:17" ht="14">
      <c r="A995" s="2837" t="str">
        <f>'Part VII-Threshold Criteria'!A113</f>
        <v>N/A for Rehab Projects</v>
      </c>
      <c r="B995" s="2837"/>
      <c r="C995" s="2837"/>
      <c r="D995" s="2837"/>
      <c r="E995" s="2837"/>
      <c r="F995" s="2837"/>
      <c r="G995" s="2837"/>
      <c r="H995" s="2837"/>
      <c r="I995" s="2837"/>
      <c r="J995" s="2837"/>
      <c r="K995" s="2837"/>
      <c r="L995" s="2837"/>
      <c r="M995" s="2837"/>
      <c r="N995" s="2837"/>
      <c r="O995" s="2837"/>
      <c r="P995" s="2837"/>
      <c r="Q995" s="2837"/>
    </row>
    <row r="996" spans="1:17" ht="14.5">
      <c r="A996" s="2414"/>
      <c r="B996" s="2836" t="s">
        <v>1725</v>
      </c>
      <c r="C996" s="2836"/>
      <c r="D996" s="2414"/>
      <c r="E996" s="2414"/>
      <c r="F996" s="2414"/>
      <c r="G996" s="2414"/>
      <c r="H996" s="2414"/>
      <c r="I996" s="2414"/>
      <c r="J996" s="2414"/>
      <c r="K996" s="2414"/>
      <c r="L996" s="2414"/>
      <c r="M996" s="2414"/>
      <c r="N996" s="2414"/>
      <c r="O996" s="2414"/>
      <c r="P996" s="2414"/>
      <c r="Q996" s="2414"/>
    </row>
    <row r="997" spans="1:17" ht="14">
      <c r="A997" s="2414"/>
      <c r="B997" s="2414"/>
      <c r="C997" s="2414"/>
      <c r="D997" s="2414"/>
      <c r="E997" s="2414"/>
      <c r="F997" s="2414"/>
      <c r="G997" s="2414"/>
      <c r="H997" s="2414"/>
      <c r="I997" s="2414"/>
      <c r="J997" s="2414"/>
      <c r="K997" s="2414"/>
      <c r="L997" s="2414"/>
      <c r="M997" s="2414"/>
      <c r="N997" s="2414"/>
      <c r="O997" s="2414"/>
      <c r="P997" s="2414"/>
      <c r="Q997" s="2414"/>
    </row>
    <row r="998" spans="1:17" ht="14">
      <c r="A998" s="2414"/>
      <c r="B998" s="2414"/>
      <c r="C998" s="2414"/>
      <c r="D998" s="2414"/>
      <c r="E998" s="2414"/>
      <c r="F998" s="2414"/>
      <c r="G998" s="2414"/>
      <c r="H998" s="2414"/>
      <c r="I998" s="2414"/>
      <c r="J998" s="2414"/>
      <c r="K998" s="2414"/>
      <c r="L998" s="2414"/>
      <c r="M998" s="2414"/>
      <c r="N998" s="2414"/>
      <c r="O998" s="2414"/>
      <c r="P998" s="2414"/>
      <c r="Q998" s="2419"/>
    </row>
    <row r="999" spans="1:17" ht="14">
      <c r="A999" s="2414"/>
      <c r="B999" s="2416"/>
      <c r="C999" s="2415"/>
      <c r="D999" s="2415"/>
      <c r="E999" s="2415"/>
      <c r="F999" s="2415"/>
      <c r="G999" s="2415"/>
      <c r="H999" s="2415"/>
      <c r="I999" s="2415"/>
      <c r="J999" s="2415"/>
      <c r="K999" s="2415"/>
      <c r="L999" s="2415"/>
      <c r="M999" s="2415"/>
      <c r="N999" s="2414"/>
      <c r="O999" s="2414"/>
      <c r="P999" s="2414"/>
      <c r="Q999" s="2417"/>
    </row>
    <row r="1000" spans="1:17" ht="14">
      <c r="A1000" s="2834" t="s">
        <v>343</v>
      </c>
      <c r="B1000" s="2419" t="s">
        <v>4657</v>
      </c>
      <c r="C1000" s="2419"/>
      <c r="D1000" s="2419"/>
      <c r="E1000" s="2419"/>
      <c r="F1000" s="2419"/>
      <c r="G1000" s="2415"/>
      <c r="H1000" s="2415"/>
      <c r="I1000" s="2414"/>
      <c r="J1000" s="2415"/>
      <c r="K1000" s="2415"/>
      <c r="L1000" s="2415"/>
      <c r="M1000" s="2415"/>
      <c r="N1000" s="2414"/>
      <c r="O1000" s="2835" t="s">
        <v>1726</v>
      </c>
      <c r="P1000" s="2419"/>
      <c r="Q1000" s="2419"/>
    </row>
    <row r="1001" spans="1:17" ht="14">
      <c r="A1001" s="2835"/>
      <c r="B1001" s="2414" t="s">
        <v>4658</v>
      </c>
      <c r="C1001" s="2414"/>
      <c r="D1001" s="2414"/>
      <c r="E1001" s="2414"/>
      <c r="F1001" s="2414"/>
      <c r="G1001" s="2414"/>
      <c r="H1001" s="2414"/>
      <c r="I1001" s="2414"/>
      <c r="J1001" s="2414" t="s">
        <v>4659</v>
      </c>
      <c r="K1001" s="2414"/>
      <c r="L1001" s="2414"/>
      <c r="M1001" s="2837" t="str">
        <f>'Part VII-Threshold Criteria'!M119</f>
        <v>&lt;&lt;Enter Provider Name Here&gt;&gt;</v>
      </c>
      <c r="N1001" s="2419"/>
      <c r="O1001" s="2419"/>
      <c r="P1001" s="2419"/>
      <c r="Q1001" s="2419"/>
    </row>
    <row r="1002" spans="1:17" ht="14">
      <c r="A1002" s="2414"/>
      <c r="B1002" s="2835"/>
      <c r="C1002" s="2414"/>
      <c r="D1002" s="2414"/>
      <c r="E1002" s="2414"/>
      <c r="F1002" s="2414"/>
      <c r="G1002" s="2414"/>
      <c r="H1002" s="2414"/>
      <c r="I1002" s="2414"/>
      <c r="J1002" s="2414" t="s">
        <v>4660</v>
      </c>
      <c r="K1002" s="2414"/>
      <c r="L1002" s="2414"/>
      <c r="M1002" s="2837" t="str">
        <f>'Part VII-Threshold Criteria'!M120</f>
        <v>&lt;&lt;Enter Provider Name Here&gt;&gt;</v>
      </c>
      <c r="N1002" s="2419"/>
      <c r="O1002" s="2419"/>
      <c r="P1002" s="2419"/>
      <c r="Q1002" s="2419"/>
    </row>
    <row r="1003" spans="1:17" ht="14.5">
      <c r="A1003" s="2414"/>
      <c r="B1003" s="2840" t="s">
        <v>3157</v>
      </c>
      <c r="C1003" s="2414"/>
      <c r="D1003" s="2840"/>
      <c r="E1003" s="2840"/>
      <c r="F1003" s="2840"/>
      <c r="G1003" s="2840"/>
      <c r="H1003" s="2415"/>
      <c r="I1003" s="2416"/>
      <c r="J1003" s="2416"/>
      <c r="K1003" s="2416"/>
      <c r="L1003" s="2417"/>
      <c r="M1003" s="2419"/>
      <c r="N1003" s="2419"/>
      <c r="O1003" s="2419"/>
      <c r="P1003" s="2419"/>
      <c r="Q1003" s="2419"/>
    </row>
    <row r="1004" spans="1:17" ht="14">
      <c r="A1004" s="2837" t="str">
        <f>'Part VII-Threshold Criteria'!A122</f>
        <v>N/A for Rehab Projects</v>
      </c>
      <c r="B1004" s="2837"/>
      <c r="C1004" s="2837"/>
      <c r="D1004" s="2837"/>
      <c r="E1004" s="2837"/>
      <c r="F1004" s="2837"/>
      <c r="G1004" s="2837"/>
      <c r="H1004" s="2837"/>
      <c r="I1004" s="2837"/>
      <c r="J1004" s="2837"/>
      <c r="K1004" s="2837"/>
      <c r="L1004" s="2837"/>
      <c r="M1004" s="2837"/>
      <c r="N1004" s="2837"/>
      <c r="O1004" s="2837"/>
      <c r="P1004" s="2837"/>
      <c r="Q1004" s="2837"/>
    </row>
    <row r="1005" spans="1:17" ht="14.5">
      <c r="A1005" s="2414"/>
      <c r="B1005" s="2836" t="s">
        <v>1725</v>
      </c>
      <c r="C1005" s="2836"/>
      <c r="D1005" s="2414"/>
      <c r="E1005" s="2414"/>
      <c r="F1005" s="2414"/>
      <c r="G1005" s="2414"/>
      <c r="H1005" s="2414"/>
      <c r="I1005" s="2414"/>
      <c r="J1005" s="2414"/>
      <c r="K1005" s="2414"/>
      <c r="L1005" s="2414"/>
      <c r="M1005" s="2414"/>
      <c r="N1005" s="2414"/>
      <c r="O1005" s="2414"/>
      <c r="P1005" s="2414"/>
      <c r="Q1005" s="2414"/>
    </row>
    <row r="1006" spans="1:17" ht="14">
      <c r="A1006" s="2414"/>
      <c r="B1006" s="2414"/>
      <c r="C1006" s="2414"/>
      <c r="D1006" s="2414"/>
      <c r="E1006" s="2414"/>
      <c r="F1006" s="2414"/>
      <c r="G1006" s="2414"/>
      <c r="H1006" s="2414"/>
      <c r="I1006" s="2414"/>
      <c r="J1006" s="2414"/>
      <c r="K1006" s="2414"/>
      <c r="L1006" s="2414"/>
      <c r="M1006" s="2414"/>
      <c r="N1006" s="2414"/>
      <c r="O1006" s="2414"/>
      <c r="P1006" s="2414"/>
      <c r="Q1006" s="2414"/>
    </row>
    <row r="1007" spans="1:17" ht="14">
      <c r="A1007" s="2419"/>
      <c r="B1007" s="2414"/>
      <c r="C1007" s="2414"/>
      <c r="D1007" s="2414"/>
      <c r="E1007" s="2414"/>
      <c r="F1007" s="2414"/>
      <c r="G1007" s="2414"/>
      <c r="H1007" s="2414"/>
      <c r="I1007" s="2414"/>
      <c r="J1007" s="2414"/>
      <c r="K1007" s="2414"/>
      <c r="L1007" s="2414"/>
      <c r="M1007" s="2414"/>
      <c r="N1007" s="2414"/>
      <c r="O1007" s="2414"/>
      <c r="P1007" s="2414"/>
      <c r="Q1007" s="2419"/>
    </row>
    <row r="1008" spans="1:17" ht="14">
      <c r="A1008" s="2414"/>
      <c r="B1008" s="2416"/>
      <c r="C1008" s="2415"/>
      <c r="D1008" s="2415"/>
      <c r="E1008" s="2415"/>
      <c r="F1008" s="2415"/>
      <c r="G1008" s="2415"/>
      <c r="H1008" s="2415"/>
      <c r="I1008" s="2415"/>
      <c r="J1008" s="2415"/>
      <c r="K1008" s="2415"/>
      <c r="L1008" s="2415"/>
      <c r="M1008" s="2415"/>
      <c r="N1008" s="2414"/>
      <c r="O1008" s="2414"/>
      <c r="P1008" s="2414"/>
      <c r="Q1008" s="2417"/>
    </row>
    <row r="1009" spans="1:17" ht="14">
      <c r="A1009" s="2834" t="s">
        <v>344</v>
      </c>
      <c r="B1009" s="2834" t="s">
        <v>2423</v>
      </c>
      <c r="C1009" s="2834"/>
      <c r="D1009" s="2415"/>
      <c r="E1009" s="2415"/>
      <c r="F1009" s="2415"/>
      <c r="G1009" s="2415"/>
      <c r="H1009" s="2415"/>
      <c r="I1009" s="2415"/>
      <c r="J1009" s="2415"/>
      <c r="K1009" s="2415"/>
      <c r="L1009" s="2415"/>
      <c r="M1009" s="2415"/>
      <c r="N1009" s="2414"/>
      <c r="O1009" s="2835" t="s">
        <v>1726</v>
      </c>
      <c r="P1009" s="2419"/>
      <c r="Q1009" s="2419"/>
    </row>
    <row r="1010" spans="1:17" ht="15" customHeight="1">
      <c r="A1010" s="2414"/>
      <c r="B1010" s="2414" t="s">
        <v>5048</v>
      </c>
      <c r="C1010" s="2414"/>
      <c r="D1010" s="2414"/>
      <c r="E1010" s="2414"/>
      <c r="F1010" s="2414"/>
      <c r="G1010" s="2414"/>
      <c r="H1010" s="2414"/>
      <c r="I1010" s="2414"/>
      <c r="J1010" s="2414"/>
      <c r="K1010" s="2414"/>
      <c r="L1010" s="2414"/>
      <c r="M1010" s="2414"/>
      <c r="N1010" s="2414"/>
      <c r="O1010" s="2414"/>
      <c r="P1010" s="2419">
        <f>'Part VII-Threshold Criteria'!P128</f>
        <v>0</v>
      </c>
      <c r="Q1010" s="2419"/>
    </row>
    <row r="1011" spans="1:17" ht="14.5">
      <c r="A1011" s="2835" t="s">
        <v>1836</v>
      </c>
      <c r="B1011" s="2414" t="s">
        <v>5166</v>
      </c>
      <c r="C1011" s="2414"/>
      <c r="D1011" s="2414"/>
      <c r="E1011" s="2414"/>
      <c r="F1011" s="2414"/>
      <c r="G1011" s="2414"/>
      <c r="H1011" s="2414"/>
      <c r="I1011" s="2414"/>
      <c r="J1011" s="2414"/>
      <c r="K1011" s="2414"/>
      <c r="L1011" s="2414"/>
      <c r="M1011" s="2414"/>
      <c r="N1011" s="2414"/>
      <c r="O1011" s="2414"/>
      <c r="P1011" s="2414"/>
      <c r="Q1011" s="2414"/>
    </row>
    <row r="1012" spans="1:17" ht="14">
      <c r="A1012" s="2835"/>
      <c r="B1012" s="2415"/>
      <c r="C1012" s="2414" t="s">
        <v>1787</v>
      </c>
      <c r="D1012" s="2414"/>
      <c r="E1012" s="2414"/>
      <c r="F1012" s="2414"/>
      <c r="G1012" s="2414"/>
      <c r="H1012" s="2414"/>
      <c r="I1012" s="2414"/>
      <c r="J1012" s="2845"/>
      <c r="K1012" s="2414"/>
      <c r="L1012" s="2414"/>
      <c r="M1012" s="2837" t="str">
        <f>'Part VII-Threshold Criteria'!M130</f>
        <v>&lt;&lt;Select&gt;&gt;</v>
      </c>
      <c r="N1012" s="2419"/>
      <c r="O1012" s="2419"/>
      <c r="P1012" s="2419"/>
      <c r="Q1012" s="2419"/>
    </row>
    <row r="1013" spans="1:17" ht="14">
      <c r="A1013" s="2835"/>
      <c r="B1013" s="2415"/>
      <c r="C1013" s="2415" t="s">
        <v>4601</v>
      </c>
      <c r="D1013" s="2414"/>
      <c r="E1013" s="2415"/>
      <c r="F1013" s="2415"/>
      <c r="G1013" s="2415"/>
      <c r="H1013" s="2415"/>
      <c r="I1013" s="2414"/>
      <c r="J1013" s="2845"/>
      <c r="K1013" s="2414"/>
      <c r="L1013" s="2414"/>
      <c r="M1013" s="2837" t="str">
        <f>'Part VII-Threshold Criteria'!M131</f>
        <v>&lt;&lt;Select&gt;&gt;</v>
      </c>
      <c r="N1013" s="2419"/>
      <c r="O1013" s="2419"/>
      <c r="P1013" s="2419"/>
      <c r="Q1013" s="2419"/>
    </row>
    <row r="1014" spans="1:17" ht="15" customHeight="1">
      <c r="A1014" s="2835"/>
      <c r="B1014" s="2415"/>
      <c r="C1014" s="2837" t="str">
        <f>'Part VII-Threshold Criteria'!C132</f>
        <v>If "Other Pre-Approved", explain here</v>
      </c>
      <c r="D1014" s="2414"/>
      <c r="E1014" s="2414"/>
      <c r="F1014" s="2414"/>
      <c r="G1014" s="2414"/>
      <c r="H1014" s="2414"/>
      <c r="I1014" s="2414"/>
      <c r="J1014" s="2414"/>
      <c r="K1014" s="2414"/>
      <c r="L1014" s="2414"/>
      <c r="M1014" s="2414"/>
      <c r="N1014" s="2414"/>
      <c r="O1014" s="2414"/>
      <c r="P1014" s="2414"/>
      <c r="Q1014" s="2414"/>
    </row>
    <row r="1015" spans="1:17" ht="14">
      <c r="A1015" s="2835"/>
      <c r="B1015" s="2415"/>
      <c r="C1015" s="2414" t="s">
        <v>3662</v>
      </c>
      <c r="D1015" s="2414"/>
      <c r="E1015" s="2414"/>
      <c r="F1015" s="2414"/>
      <c r="G1015" s="2414"/>
      <c r="H1015" s="2414"/>
      <c r="I1015" s="2414"/>
      <c r="J1015" s="2414"/>
      <c r="K1015" s="2414"/>
      <c r="L1015" s="2414"/>
      <c r="M1015" s="2837" t="str">
        <f>'Part VII-Threshold Criteria'!M133</f>
        <v>&lt;&lt;Select&gt;&gt;</v>
      </c>
      <c r="N1015" s="2419"/>
      <c r="O1015" s="2419"/>
      <c r="P1015" s="2419"/>
      <c r="Q1015" s="2419"/>
    </row>
    <row r="1016" spans="1:17" ht="15" customHeight="1">
      <c r="A1016" s="2835" t="s">
        <v>1838</v>
      </c>
      <c r="B1016" s="2414" t="s">
        <v>5167</v>
      </c>
      <c r="C1016" s="2414"/>
      <c r="D1016" s="2414"/>
      <c r="E1016" s="2414"/>
      <c r="F1016" s="2414"/>
      <c r="G1016" s="2414"/>
      <c r="H1016" s="2414"/>
      <c r="I1016" s="2414"/>
      <c r="J1016" s="2414"/>
      <c r="K1016" s="2414"/>
      <c r="L1016" s="2414"/>
      <c r="M1016" s="2414"/>
      <c r="N1016" s="2414"/>
      <c r="O1016" s="2414"/>
      <c r="P1016" s="2419"/>
      <c r="Q1016" s="2419"/>
    </row>
    <row r="1017" spans="1:17" ht="15" customHeight="1">
      <c r="A1017" s="2557"/>
      <c r="B1017" s="2414"/>
      <c r="C1017" s="2414" t="s">
        <v>5168</v>
      </c>
      <c r="D1017" s="2414"/>
      <c r="E1017" s="2414"/>
      <c r="F1017" s="2414"/>
      <c r="G1017" s="2414"/>
      <c r="H1017" s="2414"/>
      <c r="I1017" s="2414"/>
      <c r="J1017" s="2414"/>
      <c r="K1017" s="2414"/>
      <c r="L1017" s="2414"/>
      <c r="M1017" s="2414"/>
      <c r="N1017" s="2414"/>
      <c r="O1017" s="2414"/>
      <c r="P1017" s="2414"/>
      <c r="Q1017" s="2414"/>
    </row>
    <row r="1018" spans="1:17" ht="15" customHeight="1">
      <c r="A1018" s="2417"/>
      <c r="B1018" s="2849" t="s">
        <v>1611</v>
      </c>
      <c r="C1018" s="2837" t="str">
        <f>'Part VII-Threshold Criteria'!C136</f>
        <v>(Select an amenity from options provided here)</v>
      </c>
      <c r="D1018" s="2837"/>
      <c r="E1018" s="2837"/>
      <c r="F1018" s="2837"/>
      <c r="G1018" s="2837"/>
      <c r="H1018" s="2837"/>
      <c r="I1018" s="2414"/>
      <c r="J1018" s="2837" t="str">
        <f>'Part VII-Threshold Criteria'!J136</f>
        <v>(If DCA Pre-Approved amenity not listed in Architectural Manual, describe here)</v>
      </c>
      <c r="K1018" s="2837"/>
      <c r="L1018" s="2837"/>
      <c r="M1018" s="2837"/>
      <c r="N1018" s="2837"/>
      <c r="O1018" s="2837"/>
      <c r="P1018" s="2837"/>
      <c r="Q1018" s="2837"/>
    </row>
    <row r="1019" spans="1:17" ht="15" customHeight="1">
      <c r="A1019" s="2417"/>
      <c r="B1019" s="2849" t="s">
        <v>1612</v>
      </c>
      <c r="C1019" s="2837" t="str">
        <f>'Part VII-Threshold Criteria'!C137</f>
        <v>(Select an amenity from options provided here)</v>
      </c>
      <c r="D1019" s="2837"/>
      <c r="E1019" s="2837"/>
      <c r="F1019" s="2837"/>
      <c r="G1019" s="2837"/>
      <c r="H1019" s="2837"/>
      <c r="I1019" s="2414"/>
      <c r="J1019" s="2837" t="str">
        <f>'Part VII-Threshold Criteria'!J137</f>
        <v>(If DCA Pre-Approved amenity not listed in Architectural Manual, describe here)</v>
      </c>
      <c r="K1019" s="2837"/>
      <c r="L1019" s="2837"/>
      <c r="M1019" s="2837"/>
      <c r="N1019" s="2837"/>
      <c r="O1019" s="2837"/>
      <c r="P1019" s="2837"/>
      <c r="Q1019" s="2837"/>
    </row>
    <row r="1020" spans="1:17" ht="15" customHeight="1">
      <c r="A1020" s="2417"/>
      <c r="B1020" s="2849" t="s">
        <v>1613</v>
      </c>
      <c r="C1020" s="2837" t="str">
        <f>'Part VII-Threshold Criteria'!C138</f>
        <v>(Select an amenity from options provided here)</v>
      </c>
      <c r="D1020" s="2837"/>
      <c r="E1020" s="2837"/>
      <c r="F1020" s="2837"/>
      <c r="G1020" s="2837"/>
      <c r="H1020" s="2837"/>
      <c r="I1020" s="2414"/>
      <c r="J1020" s="2837" t="str">
        <f>'Part VII-Threshold Criteria'!J138</f>
        <v>(If DCA Pre-Approved amenity not listed in Architectural Manual, describe here)</v>
      </c>
      <c r="K1020" s="2837"/>
      <c r="L1020" s="2837"/>
      <c r="M1020" s="2837"/>
      <c r="N1020" s="2837"/>
      <c r="O1020" s="2837"/>
      <c r="P1020" s="2837"/>
      <c r="Q1020" s="2837"/>
    </row>
    <row r="1021" spans="1:17" ht="15" customHeight="1">
      <c r="A1021" s="2417"/>
      <c r="B1021" s="2849" t="s">
        <v>2176</v>
      </c>
      <c r="C1021" s="2837" t="str">
        <f>'Part VII-Threshold Criteria'!C139</f>
        <v>(Select an amenity from options provided here)</v>
      </c>
      <c r="D1021" s="2837"/>
      <c r="E1021" s="2837"/>
      <c r="F1021" s="2837"/>
      <c r="G1021" s="2837"/>
      <c r="H1021" s="2837"/>
      <c r="I1021" s="2414"/>
      <c r="J1021" s="2837" t="str">
        <f>'Part VII-Threshold Criteria'!J139</f>
        <v>(If DCA Pre-Approved amenity not listed in Architectural Manual, describe here)</v>
      </c>
      <c r="K1021" s="2837"/>
      <c r="L1021" s="2837"/>
      <c r="M1021" s="2837"/>
      <c r="N1021" s="2837"/>
      <c r="O1021" s="2837"/>
      <c r="P1021" s="2837"/>
      <c r="Q1021" s="2837"/>
    </row>
    <row r="1022" spans="1:17" ht="14.5">
      <c r="A1022" s="2414"/>
      <c r="B1022" s="2840" t="s">
        <v>3157</v>
      </c>
      <c r="C1022" s="2414"/>
      <c r="D1022" s="2836"/>
      <c r="E1022" s="2836"/>
      <c r="F1022" s="2836"/>
      <c r="G1022" s="2836"/>
      <c r="H1022" s="2414"/>
      <c r="I1022" s="2416"/>
      <c r="J1022" s="2414"/>
      <c r="K1022" s="2414"/>
      <c r="L1022" s="2419"/>
      <c r="M1022" s="2419"/>
      <c r="N1022" s="2419"/>
      <c r="O1022" s="2419"/>
      <c r="P1022" s="2414"/>
      <c r="Q1022" s="2414"/>
    </row>
    <row r="1023" spans="1:17" ht="14">
      <c r="A1023" s="2837" t="str">
        <f>'Part VII-Threshold Criteria'!A141</f>
        <v>N/A for Competitive Review Applications</v>
      </c>
      <c r="B1023" s="2837"/>
      <c r="C1023" s="2837"/>
      <c r="D1023" s="2837"/>
      <c r="E1023" s="2837"/>
      <c r="F1023" s="2837"/>
      <c r="G1023" s="2837"/>
      <c r="H1023" s="2837"/>
      <c r="I1023" s="2837"/>
      <c r="J1023" s="2837"/>
      <c r="K1023" s="2837"/>
      <c r="L1023" s="2837"/>
      <c r="M1023" s="2837"/>
      <c r="N1023" s="2837"/>
      <c r="O1023" s="2837"/>
      <c r="P1023" s="2837"/>
      <c r="Q1023" s="2837"/>
    </row>
    <row r="1024" spans="1:17" ht="14.5">
      <c r="A1024" s="2414"/>
      <c r="B1024" s="2836" t="s">
        <v>1725</v>
      </c>
      <c r="C1024" s="2836"/>
      <c r="D1024" s="2414"/>
      <c r="E1024" s="2414"/>
      <c r="F1024" s="2414"/>
      <c r="G1024" s="2414"/>
      <c r="H1024" s="2414"/>
      <c r="I1024" s="2414"/>
      <c r="J1024" s="2414"/>
      <c r="K1024" s="2414"/>
      <c r="L1024" s="2414"/>
      <c r="M1024" s="2414"/>
      <c r="N1024" s="2414"/>
      <c r="O1024" s="2414"/>
      <c r="P1024" s="2414"/>
      <c r="Q1024" s="2414"/>
    </row>
    <row r="1025" spans="1:17" ht="14">
      <c r="A1025" s="2414"/>
      <c r="B1025" s="2414"/>
      <c r="C1025" s="2414"/>
      <c r="D1025" s="2414"/>
      <c r="E1025" s="2414"/>
      <c r="F1025" s="2414"/>
      <c r="G1025" s="2414"/>
      <c r="H1025" s="2414"/>
      <c r="I1025" s="2414"/>
      <c r="J1025" s="2414"/>
      <c r="K1025" s="2414"/>
      <c r="L1025" s="2414"/>
      <c r="M1025" s="2414"/>
      <c r="N1025" s="2414"/>
      <c r="O1025" s="2414"/>
      <c r="P1025" s="2414"/>
      <c r="Q1025" s="2414"/>
    </row>
    <row r="1026" spans="1:17" ht="14">
      <c r="A1026" s="2419"/>
      <c r="B1026" s="2414"/>
      <c r="C1026" s="2414"/>
      <c r="D1026" s="2414"/>
      <c r="E1026" s="2414"/>
      <c r="F1026" s="2414"/>
      <c r="G1026" s="2414"/>
      <c r="H1026" s="2414"/>
      <c r="I1026" s="2414"/>
      <c r="J1026" s="2414"/>
      <c r="K1026" s="2414"/>
      <c r="L1026" s="2414"/>
      <c r="M1026" s="2414"/>
      <c r="N1026" s="2414"/>
      <c r="O1026" s="2414"/>
      <c r="P1026" s="2414"/>
      <c r="Q1026" s="2419"/>
    </row>
    <row r="1027" spans="1:17" ht="14">
      <c r="A1027" s="2414"/>
      <c r="B1027" s="2416"/>
      <c r="C1027" s="2415"/>
      <c r="D1027" s="2415"/>
      <c r="E1027" s="2415"/>
      <c r="F1027" s="2415"/>
      <c r="G1027" s="2415"/>
      <c r="H1027" s="2415"/>
      <c r="I1027" s="2415"/>
      <c r="J1027" s="2415"/>
      <c r="K1027" s="2415"/>
      <c r="L1027" s="2415"/>
      <c r="M1027" s="2415"/>
      <c r="N1027" s="2414"/>
      <c r="O1027" s="2414"/>
      <c r="P1027" s="2414"/>
      <c r="Q1027" s="2417"/>
    </row>
    <row r="1028" spans="1:17" ht="14">
      <c r="A1028" s="2834" t="s">
        <v>1602</v>
      </c>
      <c r="B1028" s="2419" t="s">
        <v>3824</v>
      </c>
      <c r="C1028" s="2419"/>
      <c r="D1028" s="2419"/>
      <c r="E1028" s="2419"/>
      <c r="F1028" s="2419"/>
      <c r="G1028" s="2419"/>
      <c r="H1028" s="2415"/>
      <c r="I1028" s="2415"/>
      <c r="J1028" s="2415"/>
      <c r="K1028" s="2415"/>
      <c r="L1028" s="2839"/>
      <c r="M1028" s="2855"/>
      <c r="N1028" s="2414"/>
      <c r="O1028" s="2835" t="s">
        <v>1726</v>
      </c>
      <c r="P1028" s="2419"/>
      <c r="Q1028" s="2419"/>
    </row>
    <row r="1029" spans="1:17" ht="14">
      <c r="A1029" s="2414"/>
      <c r="B1029" s="2414" t="s">
        <v>4664</v>
      </c>
      <c r="C1029" s="2414"/>
      <c r="D1029" s="2414"/>
      <c r="E1029" s="2414"/>
      <c r="F1029" s="2414"/>
      <c r="G1029" s="2414"/>
      <c r="H1029" s="2414"/>
      <c r="I1029" s="2414"/>
      <c r="J1029" s="2414"/>
      <c r="K1029" s="2414"/>
      <c r="L1029" s="2414"/>
      <c r="M1029" s="2414"/>
      <c r="N1029" s="2416"/>
      <c r="O1029" s="2414"/>
      <c r="P1029" s="2419">
        <f>'Part VII-Threshold Criteria'!P147</f>
        <v>0</v>
      </c>
      <c r="Q1029" s="2419"/>
    </row>
    <row r="1030" spans="1:17" ht="15" customHeight="1">
      <c r="A1030" s="2835"/>
      <c r="B1030" s="2414" t="s">
        <v>1190</v>
      </c>
      <c r="C1030" s="2414"/>
      <c r="D1030" s="2414"/>
      <c r="E1030" s="2414"/>
      <c r="F1030" s="2414"/>
      <c r="G1030" s="2414"/>
      <c r="H1030" s="2414"/>
      <c r="I1030" s="2414"/>
      <c r="J1030" s="2414"/>
      <c r="K1030" s="2414"/>
      <c r="L1030" s="2414"/>
      <c r="M1030" s="2837" t="str">
        <f>'Part VII-Threshold Criteria'!M148</f>
        <v>&lt;&lt;Select&gt;&gt;</v>
      </c>
      <c r="N1030" s="2414"/>
      <c r="O1030" s="2414"/>
      <c r="P1030" s="2414"/>
      <c r="Q1030" s="2414"/>
    </row>
    <row r="1031" spans="1:17" ht="14">
      <c r="A1031" s="2835"/>
      <c r="B1031" s="2414" t="s">
        <v>1801</v>
      </c>
      <c r="C1031" s="2414"/>
      <c r="D1031" s="2414"/>
      <c r="E1031" s="2414"/>
      <c r="F1031" s="2414"/>
      <c r="G1031" s="2414"/>
      <c r="H1031" s="2414"/>
      <c r="I1031" s="2414"/>
      <c r="J1031" s="2414"/>
      <c r="K1031" s="2414"/>
      <c r="L1031" s="2414"/>
      <c r="M1031" s="2837">
        <f>'Part VII-Threshold Criteria'!M149</f>
        <v>0</v>
      </c>
      <c r="N1031" s="2414"/>
      <c r="O1031" s="2414"/>
      <c r="P1031" s="2414"/>
      <c r="Q1031" s="2414"/>
    </row>
    <row r="1032" spans="1:17" ht="14.5">
      <c r="A1032" s="2414"/>
      <c r="B1032" s="2840" t="s">
        <v>3157</v>
      </c>
      <c r="C1032" s="2414"/>
      <c r="D1032" s="2840"/>
      <c r="E1032" s="2840"/>
      <c r="F1032" s="2840"/>
      <c r="G1032" s="2840"/>
      <c r="H1032" s="2415"/>
      <c r="I1032" s="2416"/>
      <c r="J1032" s="2416"/>
      <c r="K1032" s="2416"/>
      <c r="L1032" s="2417"/>
      <c r="M1032" s="2419"/>
      <c r="N1032" s="2419"/>
      <c r="O1032" s="2419"/>
      <c r="P1032" s="2419"/>
      <c r="Q1032" s="2419"/>
    </row>
    <row r="1033" spans="1:17" ht="14">
      <c r="A1033" s="2837" t="str">
        <f>'Part VII-Threshold Criteria'!A151</f>
        <v>N/A for Competitive Review Applications</v>
      </c>
      <c r="B1033" s="2837"/>
      <c r="C1033" s="2837"/>
      <c r="D1033" s="2837"/>
      <c r="E1033" s="2837"/>
      <c r="F1033" s="2837"/>
      <c r="G1033" s="2837"/>
      <c r="H1033" s="2837"/>
      <c r="I1033" s="2837"/>
      <c r="J1033" s="2837"/>
      <c r="K1033" s="2837"/>
      <c r="L1033" s="2837"/>
      <c r="M1033" s="2837"/>
      <c r="N1033" s="2837"/>
      <c r="O1033" s="2837"/>
      <c r="P1033" s="2837"/>
      <c r="Q1033" s="2837"/>
    </row>
    <row r="1034" spans="1:17" ht="14.5">
      <c r="A1034" s="2414"/>
      <c r="B1034" s="2836" t="s">
        <v>1725</v>
      </c>
      <c r="C1034" s="2836"/>
      <c r="D1034" s="2414"/>
      <c r="E1034" s="2414"/>
      <c r="F1034" s="2414"/>
      <c r="G1034" s="2414"/>
      <c r="H1034" s="2414"/>
      <c r="I1034" s="2414"/>
      <c r="J1034" s="2414"/>
      <c r="K1034" s="2414"/>
      <c r="L1034" s="2414"/>
      <c r="M1034" s="2414"/>
      <c r="N1034" s="2414"/>
      <c r="O1034" s="2414"/>
      <c r="P1034" s="2414"/>
      <c r="Q1034" s="2414"/>
    </row>
    <row r="1035" spans="1:17" ht="14">
      <c r="A1035" s="2414"/>
      <c r="B1035" s="2414"/>
      <c r="C1035" s="2414"/>
      <c r="D1035" s="2414"/>
      <c r="E1035" s="2414"/>
      <c r="F1035" s="2414"/>
      <c r="G1035" s="2414"/>
      <c r="H1035" s="2414"/>
      <c r="I1035" s="2414"/>
      <c r="J1035" s="2414"/>
      <c r="K1035" s="2414"/>
      <c r="L1035" s="2414"/>
      <c r="M1035" s="2414"/>
      <c r="N1035" s="2414"/>
      <c r="O1035" s="2414"/>
      <c r="P1035" s="2414"/>
      <c r="Q1035" s="2414"/>
    </row>
    <row r="1036" spans="1:17" ht="14">
      <c r="A1036" s="2419"/>
      <c r="B1036" s="2414"/>
      <c r="C1036" s="2414"/>
      <c r="D1036" s="2414"/>
      <c r="E1036" s="2414"/>
      <c r="F1036" s="2414"/>
      <c r="G1036" s="2414"/>
      <c r="H1036" s="2414"/>
      <c r="I1036" s="2414"/>
      <c r="J1036" s="2414"/>
      <c r="K1036" s="2414"/>
      <c r="L1036" s="2414"/>
      <c r="M1036" s="2414"/>
      <c r="N1036" s="2414"/>
      <c r="O1036" s="2414"/>
      <c r="P1036" s="2414"/>
      <c r="Q1036" s="2419"/>
    </row>
    <row r="1037" spans="1:17" ht="14">
      <c r="A1037" s="2414"/>
      <c r="B1037" s="2416"/>
      <c r="C1037" s="2415"/>
      <c r="D1037" s="2415"/>
      <c r="E1037" s="2415"/>
      <c r="F1037" s="2415"/>
      <c r="G1037" s="2415"/>
      <c r="H1037" s="2415"/>
      <c r="I1037" s="2415"/>
      <c r="J1037" s="2415"/>
      <c r="K1037" s="2415"/>
      <c r="L1037" s="2415"/>
      <c r="M1037" s="2415"/>
      <c r="N1037" s="2414"/>
      <c r="O1037" s="2414"/>
      <c r="P1037" s="2414"/>
      <c r="Q1037" s="2417"/>
    </row>
    <row r="1038" spans="1:17" ht="14">
      <c r="A1038" s="2834" t="s">
        <v>2489</v>
      </c>
      <c r="B1038" s="2419" t="s">
        <v>2424</v>
      </c>
      <c r="C1038" s="2419"/>
      <c r="D1038" s="2419"/>
      <c r="E1038" s="2419"/>
      <c r="F1038" s="2419"/>
      <c r="G1038" s="2419"/>
      <c r="H1038" s="2415"/>
      <c r="I1038" s="2415"/>
      <c r="J1038" s="2415"/>
      <c r="K1038" s="2415"/>
      <c r="L1038" s="2415"/>
      <c r="M1038" s="2415"/>
      <c r="N1038" s="2414"/>
      <c r="O1038" s="2835" t="s">
        <v>1726</v>
      </c>
      <c r="P1038" s="2419"/>
      <c r="Q1038" s="2419"/>
    </row>
    <row r="1039" spans="1:17" ht="14.5">
      <c r="A1039" s="2414"/>
      <c r="B1039" s="2840" t="s">
        <v>3157</v>
      </c>
      <c r="C1039" s="2414"/>
      <c r="D1039" s="2840"/>
      <c r="E1039" s="2840"/>
      <c r="F1039" s="2840"/>
      <c r="G1039" s="2840"/>
      <c r="H1039" s="2415"/>
      <c r="I1039" s="2416"/>
      <c r="J1039" s="2416"/>
      <c r="K1039" s="2416"/>
      <c r="L1039" s="2417"/>
      <c r="M1039" s="2417"/>
      <c r="N1039" s="2417"/>
      <c r="O1039" s="2417"/>
      <c r="P1039" s="2419"/>
      <c r="Q1039" s="2419"/>
    </row>
    <row r="1040" spans="1:17" ht="14">
      <c r="A1040" s="2837" t="str">
        <f>'Part VII-Threshold Criteria'!A158</f>
        <v>CSDP, Site Photos, and Aerials are included in Folder 08 Readiness</v>
      </c>
      <c r="B1040" s="2837"/>
      <c r="C1040" s="2837"/>
      <c r="D1040" s="2837"/>
      <c r="E1040" s="2837"/>
      <c r="F1040" s="2837"/>
      <c r="G1040" s="2837"/>
      <c r="H1040" s="2837"/>
      <c r="I1040" s="2837"/>
      <c r="J1040" s="2837"/>
      <c r="K1040" s="2837"/>
      <c r="L1040" s="2837"/>
      <c r="M1040" s="2837"/>
      <c r="N1040" s="2837"/>
      <c r="O1040" s="2837"/>
      <c r="P1040" s="2837"/>
      <c r="Q1040" s="2837"/>
    </row>
    <row r="1041" spans="1:17" ht="14.5">
      <c r="A1041" s="2414"/>
      <c r="B1041" s="2836" t="s">
        <v>1725</v>
      </c>
      <c r="C1041" s="2836"/>
      <c r="D1041" s="2414"/>
      <c r="E1041" s="2414"/>
      <c r="F1041" s="2414"/>
      <c r="G1041" s="2414"/>
      <c r="H1041" s="2414"/>
      <c r="I1041" s="2414"/>
      <c r="J1041" s="2414"/>
      <c r="K1041" s="2414"/>
      <c r="L1041" s="2414"/>
      <c r="M1041" s="2414"/>
      <c r="N1041" s="2414"/>
      <c r="O1041" s="2414"/>
      <c r="P1041" s="2414"/>
      <c r="Q1041" s="2414"/>
    </row>
    <row r="1042" spans="1:17" ht="14">
      <c r="A1042" s="2414"/>
      <c r="B1042" s="2414"/>
      <c r="C1042" s="2414"/>
      <c r="D1042" s="2414"/>
      <c r="E1042" s="2414"/>
      <c r="F1042" s="2414"/>
      <c r="G1042" s="2414"/>
      <c r="H1042" s="2414"/>
      <c r="I1042" s="2414"/>
      <c r="J1042" s="2414"/>
      <c r="K1042" s="2414"/>
      <c r="L1042" s="2414"/>
      <c r="M1042" s="2414"/>
      <c r="N1042" s="2414"/>
      <c r="O1042" s="2414"/>
      <c r="P1042" s="2414"/>
      <c r="Q1042" s="2414"/>
    </row>
    <row r="1043" spans="1:17" ht="14">
      <c r="A1043" s="2414"/>
      <c r="B1043" s="2414"/>
      <c r="C1043" s="2414"/>
      <c r="D1043" s="2414"/>
      <c r="E1043" s="2414"/>
      <c r="F1043" s="2414"/>
      <c r="G1043" s="2414"/>
      <c r="H1043" s="2414"/>
      <c r="I1043" s="2414"/>
      <c r="J1043" s="2414"/>
      <c r="K1043" s="2414"/>
      <c r="L1043" s="2414"/>
      <c r="M1043" s="2414"/>
      <c r="N1043" s="2414"/>
      <c r="O1043" s="2414"/>
      <c r="P1043" s="2414"/>
      <c r="Q1043" s="2414"/>
    </row>
    <row r="1044" spans="1:17" ht="14">
      <c r="A1044" s="2414"/>
      <c r="B1044" s="2414"/>
      <c r="C1044" s="2414"/>
      <c r="D1044" s="2414"/>
      <c r="E1044" s="2414"/>
      <c r="F1044" s="2414"/>
      <c r="G1044" s="2414"/>
      <c r="H1044" s="2414"/>
      <c r="I1044" s="2414"/>
      <c r="J1044" s="2414"/>
      <c r="K1044" s="2414"/>
      <c r="L1044" s="2414"/>
      <c r="M1044" s="2414"/>
      <c r="N1044" s="2414"/>
      <c r="O1044" s="2414"/>
      <c r="P1044" s="2414"/>
      <c r="Q1044" s="2414"/>
    </row>
    <row r="1045" spans="1:17" ht="14">
      <c r="A1045" s="2834" t="s">
        <v>2075</v>
      </c>
      <c r="B1045" s="2834" t="s">
        <v>2425</v>
      </c>
      <c r="C1045" s="2834"/>
      <c r="D1045" s="2415"/>
      <c r="E1045" s="2415"/>
      <c r="F1045" s="2415"/>
      <c r="G1045" s="2415"/>
      <c r="H1045" s="2415"/>
      <c r="I1045" s="2415"/>
      <c r="J1045" s="2415"/>
      <c r="K1045" s="2415"/>
      <c r="L1045" s="2415"/>
      <c r="M1045" s="2415"/>
      <c r="N1045" s="2414"/>
      <c r="O1045" s="2835" t="s">
        <v>1726</v>
      </c>
      <c r="P1045" s="2419"/>
      <c r="Q1045" s="2419"/>
    </row>
    <row r="1046" spans="1:17" ht="14">
      <c r="A1046" s="2835" t="s">
        <v>1836</v>
      </c>
      <c r="B1046" s="2419" t="s">
        <v>4091</v>
      </c>
      <c r="C1046" s="2414"/>
      <c r="D1046" s="2414"/>
      <c r="E1046" s="2414"/>
      <c r="F1046" s="2414"/>
      <c r="G1046" s="2414"/>
      <c r="H1046" s="2414"/>
      <c r="I1046" s="2414"/>
      <c r="J1046" s="2414"/>
      <c r="K1046" s="2414"/>
      <c r="L1046" s="2414"/>
      <c r="M1046" s="2414"/>
      <c r="N1046" s="2414"/>
      <c r="O1046" s="2845"/>
      <c r="P1046" s="2414"/>
      <c r="Q1046" s="2414"/>
    </row>
    <row r="1047" spans="1:17" ht="15" customHeight="1">
      <c r="A1047" s="2414"/>
      <c r="B1047" s="2837" t="s">
        <v>5049</v>
      </c>
      <c r="C1047" s="2837"/>
      <c r="D1047" s="2837"/>
      <c r="E1047" s="2837"/>
      <c r="F1047" s="2837"/>
      <c r="G1047" s="2837"/>
      <c r="H1047" s="2837"/>
      <c r="I1047" s="2837"/>
      <c r="J1047" s="2837"/>
      <c r="K1047" s="2837"/>
      <c r="L1047" s="2837"/>
      <c r="M1047" s="2837"/>
      <c r="N1047" s="2837"/>
      <c r="O1047" s="2837"/>
      <c r="P1047" s="2419">
        <f>'Part VII-Threshold Criteria'!P165</f>
        <v>0</v>
      </c>
      <c r="Q1047" s="2844"/>
    </row>
    <row r="1048" spans="1:17" ht="14">
      <c r="A1048" s="2835" t="s">
        <v>1838</v>
      </c>
      <c r="B1048" s="2419" t="s">
        <v>297</v>
      </c>
      <c r="C1048" s="2414"/>
      <c r="D1048" s="2414"/>
      <c r="E1048" s="2414"/>
      <c r="F1048" s="2414"/>
      <c r="G1048" s="2414"/>
      <c r="H1048" s="2414"/>
      <c r="I1048" s="2414"/>
      <c r="J1048" s="2414"/>
      <c r="K1048" s="2414"/>
      <c r="L1048" s="2837" t="str">
        <f>'Part VII-Threshold Criteria'!L166</f>
        <v>&lt;&lt; Select a Sustainable Development Certification &gt;&gt;</v>
      </c>
      <c r="M1048" s="2419"/>
      <c r="N1048" s="2419"/>
      <c r="O1048" s="2419"/>
      <c r="P1048" s="2419"/>
      <c r="Q1048" s="2419"/>
    </row>
    <row r="1049" spans="1:17" ht="14.5">
      <c r="A1049" s="2414"/>
      <c r="B1049" s="2840" t="s">
        <v>3157</v>
      </c>
      <c r="C1049" s="2414"/>
      <c r="D1049" s="2414"/>
      <c r="E1049" s="2414"/>
      <c r="F1049" s="2414"/>
      <c r="G1049" s="2414"/>
      <c r="H1049" s="2414"/>
      <c r="I1049" s="2414"/>
      <c r="J1049" s="2414"/>
      <c r="K1049" s="2414"/>
      <c r="L1049" s="2414"/>
      <c r="M1049" s="2414"/>
      <c r="N1049" s="2414"/>
      <c r="O1049" s="2856"/>
      <c r="P1049" s="2419"/>
      <c r="Q1049" s="2414"/>
    </row>
    <row r="1050" spans="1:17" ht="14">
      <c r="A1050" s="2837" t="str">
        <f>'Part VII-Threshold Criteria'!A168</f>
        <v xml:space="preserve">N/A for Competitive Review Applications </v>
      </c>
      <c r="B1050" s="2837"/>
      <c r="C1050" s="2837"/>
      <c r="D1050" s="2837"/>
      <c r="E1050" s="2837"/>
      <c r="F1050" s="2837"/>
      <c r="G1050" s="2837"/>
      <c r="H1050" s="2837"/>
      <c r="I1050" s="2837"/>
      <c r="J1050" s="2837"/>
      <c r="K1050" s="2837"/>
      <c r="L1050" s="2837"/>
      <c r="M1050" s="2837"/>
      <c r="N1050" s="2837"/>
      <c r="O1050" s="2837"/>
      <c r="P1050" s="2837"/>
      <c r="Q1050" s="2837"/>
    </row>
    <row r="1051" spans="1:17" ht="14.5">
      <c r="A1051" s="2414"/>
      <c r="B1051" s="2836" t="s">
        <v>1725</v>
      </c>
      <c r="C1051" s="2836"/>
      <c r="D1051" s="2414"/>
      <c r="E1051" s="2414"/>
      <c r="F1051" s="2414"/>
      <c r="G1051" s="2414"/>
      <c r="H1051" s="2414"/>
      <c r="I1051" s="2414"/>
      <c r="J1051" s="2414"/>
      <c r="K1051" s="2414"/>
      <c r="L1051" s="2414"/>
      <c r="M1051" s="2414"/>
      <c r="N1051" s="2414"/>
      <c r="O1051" s="2414"/>
      <c r="P1051" s="2414"/>
      <c r="Q1051" s="2414"/>
    </row>
    <row r="1052" spans="1:17" ht="14">
      <c r="A1052" s="2414"/>
      <c r="B1052" s="2414"/>
      <c r="C1052" s="2414"/>
      <c r="D1052" s="2414"/>
      <c r="E1052" s="2414"/>
      <c r="F1052" s="2414"/>
      <c r="G1052" s="2414"/>
      <c r="H1052" s="2414"/>
      <c r="I1052" s="2414"/>
      <c r="J1052" s="2414"/>
      <c r="K1052" s="2414"/>
      <c r="L1052" s="2414"/>
      <c r="M1052" s="2414"/>
      <c r="N1052" s="2414"/>
      <c r="O1052" s="2414"/>
      <c r="P1052" s="2414"/>
      <c r="Q1052" s="2414"/>
    </row>
    <row r="1053" spans="1:17" ht="14">
      <c r="A1053" s="2414"/>
      <c r="B1053" s="2414"/>
      <c r="C1053" s="2414"/>
      <c r="D1053" s="2414"/>
      <c r="E1053" s="2414"/>
      <c r="F1053" s="2419"/>
      <c r="G1053" s="2419"/>
      <c r="H1053" s="2419"/>
      <c r="I1053" s="2419"/>
      <c r="J1053" s="2414"/>
      <c r="K1053" s="2414"/>
      <c r="L1053" s="2414"/>
      <c r="M1053" s="2414"/>
      <c r="N1053" s="2419"/>
      <c r="O1053" s="2419"/>
      <c r="P1053" s="2856"/>
      <c r="Q1053" s="2414"/>
    </row>
    <row r="1054" spans="1:17" ht="14">
      <c r="A1054" s="2414"/>
      <c r="B1054" s="2414"/>
      <c r="C1054" s="2414"/>
      <c r="D1054" s="2414"/>
      <c r="E1054" s="2414"/>
      <c r="F1054" s="2417"/>
      <c r="G1054" s="2417"/>
      <c r="H1054" s="2417"/>
      <c r="I1054" s="2417"/>
      <c r="J1054" s="2415"/>
      <c r="K1054" s="2415"/>
      <c r="L1054" s="2415"/>
      <c r="M1054" s="2416"/>
      <c r="N1054" s="2417"/>
      <c r="O1054" s="2417"/>
      <c r="P1054" s="2857"/>
      <c r="Q1054" s="2414"/>
    </row>
    <row r="1055" spans="1:17" ht="14">
      <c r="A1055" s="2834" t="s">
        <v>3282</v>
      </c>
      <c r="B1055" s="2834" t="s">
        <v>2426</v>
      </c>
      <c r="C1055" s="2834"/>
      <c r="D1055" s="2834"/>
      <c r="E1055" s="2415"/>
      <c r="F1055" s="2415"/>
      <c r="G1055" s="2415"/>
      <c r="H1055" s="2415"/>
      <c r="I1055" s="2415"/>
      <c r="J1055" s="2415"/>
      <c r="K1055" s="2415"/>
      <c r="L1055" s="2415"/>
      <c r="M1055" s="2415"/>
      <c r="N1055" s="2414"/>
      <c r="O1055" s="2835" t="s">
        <v>1726</v>
      </c>
      <c r="P1055" s="2419"/>
      <c r="Q1055" s="2419"/>
    </row>
    <row r="1056" spans="1:17" ht="14">
      <c r="A1056" s="2414"/>
      <c r="B1056" s="2414" t="s">
        <v>4664</v>
      </c>
      <c r="C1056" s="2414"/>
      <c r="D1056" s="2414"/>
      <c r="E1056" s="2414"/>
      <c r="F1056" s="2414"/>
      <c r="G1056" s="2414"/>
      <c r="H1056" s="2414"/>
      <c r="I1056" s="2414"/>
      <c r="J1056" s="2414"/>
      <c r="K1056" s="2414"/>
      <c r="L1056" s="2414"/>
      <c r="M1056" s="2414"/>
      <c r="N1056" s="2416"/>
      <c r="O1056" s="2414"/>
      <c r="P1056" s="2419">
        <f>'Part VII-Threshold Criteria'!P174</f>
        <v>0</v>
      </c>
      <c r="Q1056" s="2419"/>
    </row>
    <row r="1057" spans="1:17" ht="15" customHeight="1">
      <c r="A1057" s="2414"/>
      <c r="B1057" s="2414" t="s">
        <v>5050</v>
      </c>
      <c r="C1057" s="2414"/>
      <c r="D1057" s="2414"/>
      <c r="E1057" s="2414"/>
      <c r="F1057" s="2414"/>
      <c r="G1057" s="2414"/>
      <c r="H1057" s="2414"/>
      <c r="I1057" s="2414"/>
      <c r="J1057" s="2414"/>
      <c r="K1057" s="2414"/>
      <c r="L1057" s="2414"/>
      <c r="M1057" s="2414"/>
      <c r="N1057" s="2414"/>
      <c r="O1057" s="2414"/>
      <c r="P1057" s="2419">
        <f>'Part VII-Threshold Criteria'!P175</f>
        <v>0</v>
      </c>
      <c r="Q1057" s="2419"/>
    </row>
    <row r="1058" spans="1:17" ht="14">
      <c r="A1058" s="2835" t="s">
        <v>1836</v>
      </c>
      <c r="B1058" s="2419" t="s">
        <v>4973</v>
      </c>
      <c r="C1058" s="2414"/>
      <c r="D1058" s="2414"/>
      <c r="E1058" s="2414"/>
      <c r="F1058" s="2414"/>
      <c r="G1058" s="2414"/>
      <c r="H1058" s="2414"/>
      <c r="I1058" s="2414"/>
      <c r="J1058" s="2414"/>
      <c r="K1058" s="2414"/>
      <c r="L1058" s="2858"/>
      <c r="M1058" s="2859"/>
      <c r="N1058" s="2850"/>
      <c r="O1058" s="2414"/>
      <c r="P1058" s="2414"/>
      <c r="Q1058" s="2414"/>
    </row>
    <row r="1059" spans="1:17" ht="14.25" customHeight="1">
      <c r="A1059" s="2414"/>
      <c r="B1059" s="2837" t="s">
        <v>5169</v>
      </c>
      <c r="C1059" s="2837"/>
      <c r="D1059" s="2837"/>
      <c r="E1059" s="2837"/>
      <c r="F1059" s="2837"/>
      <c r="G1059" s="2837"/>
      <c r="H1059" s="2837"/>
      <c r="I1059" s="2837"/>
      <c r="J1059" s="2837"/>
      <c r="K1059" s="2837"/>
      <c r="L1059" s="2837"/>
      <c r="M1059" s="2837"/>
      <c r="N1059" s="2837"/>
      <c r="O1059" s="2837"/>
      <c r="P1059" s="2845"/>
      <c r="Q1059" s="2845"/>
    </row>
    <row r="1060" spans="1:17" ht="15.75" customHeight="1">
      <c r="A1060" s="2414"/>
      <c r="B1060" s="2414"/>
      <c r="C1060" s="2837"/>
      <c r="D1060" s="2837" t="s">
        <v>4985</v>
      </c>
      <c r="E1060" s="2837"/>
      <c r="F1060" s="2837"/>
      <c r="G1060" s="2837"/>
      <c r="H1060" s="2837"/>
      <c r="I1060" s="2837"/>
      <c r="J1060" s="2837"/>
      <c r="K1060" s="2837"/>
      <c r="L1060" s="2837"/>
      <c r="M1060" s="2837"/>
      <c r="N1060" s="2837"/>
      <c r="O1060" s="2837"/>
      <c r="P1060" s="2860">
        <f>'Part VII-Threshold Criteria'!P178</f>
        <v>12</v>
      </c>
      <c r="Q1060" s="2829"/>
    </row>
    <row r="1061" spans="1:17" ht="14">
      <c r="A1061" s="2414"/>
      <c r="B1061" s="2414"/>
      <c r="C1061" s="2414"/>
      <c r="D1061" s="2414"/>
      <c r="E1061" s="2414"/>
      <c r="F1061" s="2414"/>
      <c r="G1061" s="2414"/>
      <c r="H1061" s="2414"/>
      <c r="I1061" s="2414"/>
      <c r="J1061" s="2414"/>
      <c r="K1061" s="2414"/>
      <c r="L1061" s="2861" t="s">
        <v>4665</v>
      </c>
      <c r="M1061" s="2861"/>
      <c r="N1061" s="2414"/>
      <c r="O1061" s="2414"/>
      <c r="P1061" s="2419"/>
      <c r="Q1061" s="2419"/>
    </row>
    <row r="1062" spans="1:17" ht="14">
      <c r="A1062" s="2835" t="s">
        <v>1838</v>
      </c>
      <c r="B1062" s="2834" t="s">
        <v>4776</v>
      </c>
      <c r="C1062" s="2414"/>
      <c r="D1062" s="2862"/>
      <c r="E1062" s="2862"/>
      <c r="F1062" s="2862"/>
      <c r="G1062" s="2862"/>
      <c r="H1062" s="2862"/>
      <c r="I1062" s="2862"/>
      <c r="J1062" s="2862"/>
      <c r="K1062" s="2862"/>
      <c r="L1062" s="2414" t="s">
        <v>4666</v>
      </c>
      <c r="M1062" s="2414" t="s">
        <v>4667</v>
      </c>
      <c r="N1062" s="2862"/>
      <c r="O1062" s="2845"/>
      <c r="P1062" s="2414" t="s">
        <v>4998</v>
      </c>
      <c r="Q1062" s="2414"/>
    </row>
    <row r="1063" spans="1:17" ht="14">
      <c r="A1063" s="2835"/>
      <c r="B1063" s="2414" t="s">
        <v>4668</v>
      </c>
      <c r="C1063" s="2414"/>
      <c r="D1063" s="2414"/>
      <c r="E1063" s="2414"/>
      <c r="F1063" s="2414"/>
      <c r="G1063" s="2414"/>
      <c r="H1063" s="2414"/>
      <c r="I1063" s="2414"/>
      <c r="J1063" s="2414"/>
      <c r="K1063" s="2863"/>
      <c r="L1063" s="2864">
        <f>'Part VII-Threshold Criteria'!L181</f>
        <v>6</v>
      </c>
      <c r="M1063" s="2865">
        <f>'DCA Underwriting Assumptions'!$Q$148</f>
        <v>0.05</v>
      </c>
      <c r="N1063" s="2850" t="s">
        <v>4777</v>
      </c>
      <c r="O1063" s="2845"/>
      <c r="P1063" s="2419">
        <f>'Part VII-Threshold Criteria'!P181</f>
        <v>0</v>
      </c>
      <c r="Q1063" s="2419"/>
    </row>
    <row r="1064" spans="1:17" ht="15" customHeight="1">
      <c r="A1064" s="2835"/>
      <c r="B1064" s="2415"/>
      <c r="C1064" s="2414"/>
      <c r="D1064" s="2414" t="s">
        <v>5052</v>
      </c>
      <c r="E1064" s="2414"/>
      <c r="F1064" s="2414"/>
      <c r="G1064" s="2414"/>
      <c r="H1064" s="2414"/>
      <c r="I1064" s="2414"/>
      <c r="J1064" s="2414"/>
      <c r="K1064" s="2863"/>
      <c r="L1064" s="2864">
        <f>'Part VII-Threshold Criteria'!L182</f>
        <v>3</v>
      </c>
      <c r="M1064" s="2865">
        <f>'DCA Underwriting Assumptions'!$Q$149</f>
        <v>0.4</v>
      </c>
      <c r="N1064" s="2850" t="s">
        <v>4778</v>
      </c>
      <c r="O1064" s="2845"/>
      <c r="P1064" s="2419">
        <f>'Part VII-Threshold Criteria'!P182</f>
        <v>0</v>
      </c>
      <c r="Q1064" s="2419"/>
    </row>
    <row r="1065" spans="1:17" ht="15" customHeight="1">
      <c r="A1065" s="2835"/>
      <c r="B1065" s="2414" t="s">
        <v>4669</v>
      </c>
      <c r="C1065" s="2414"/>
      <c r="D1065" s="2414"/>
      <c r="E1065" s="2414"/>
      <c r="F1065" s="2414"/>
      <c r="G1065" s="2414"/>
      <c r="H1065" s="2414"/>
      <c r="I1065" s="2414"/>
      <c r="J1065" s="2414"/>
      <c r="K1065" s="2414"/>
      <c r="L1065" s="2864">
        <f>'Part VII-Threshold Criteria'!L183</f>
        <v>3</v>
      </c>
      <c r="M1065" s="2865">
        <f>'DCA Underwriting Assumptions'!$Q$150</f>
        <v>0.02</v>
      </c>
      <c r="N1065" s="2850" t="s">
        <v>4777</v>
      </c>
      <c r="O1065" s="2845"/>
      <c r="P1065" s="2419">
        <f>'Part VII-Threshold Criteria'!P183</f>
        <v>0</v>
      </c>
      <c r="Q1065" s="2419"/>
    </row>
    <row r="1066" spans="1:17" ht="14">
      <c r="A1066" s="2835" t="s">
        <v>697</v>
      </c>
      <c r="B1066" s="2419" t="s">
        <v>4779</v>
      </c>
      <c r="C1066" s="2414"/>
      <c r="D1066" s="2414"/>
      <c r="E1066" s="2414"/>
      <c r="F1066" s="2414"/>
      <c r="G1066" s="2414"/>
      <c r="H1066" s="2414"/>
      <c r="I1066" s="2414"/>
      <c r="J1066" s="2414"/>
      <c r="K1066" s="2414"/>
      <c r="L1066" s="2864"/>
      <c r="M1066" s="2865"/>
      <c r="N1066" s="2850"/>
      <c r="O1066" s="2845"/>
      <c r="P1066" s="2414"/>
      <c r="Q1066" s="2414"/>
    </row>
    <row r="1067" spans="1:17" ht="14">
      <c r="A1067" s="2835"/>
      <c r="B1067" s="2414" t="s">
        <v>4782</v>
      </c>
      <c r="C1067" s="2414"/>
      <c r="D1067" s="2414"/>
      <c r="E1067" s="2414"/>
      <c r="F1067" s="2414"/>
      <c r="G1067" s="2414"/>
      <c r="H1067" s="2414"/>
      <c r="I1067" s="2414"/>
      <c r="J1067" s="2414"/>
      <c r="K1067" s="2414"/>
      <c r="L1067" s="2414"/>
      <c r="M1067" s="2837">
        <f>'Part VII-Threshold Criteria'!M185</f>
        <v>0</v>
      </c>
      <c r="N1067" s="2823"/>
      <c r="O1067" s="2823"/>
      <c r="P1067" s="2823"/>
      <c r="Q1067" s="2823"/>
    </row>
    <row r="1068" spans="1:17" ht="14">
      <c r="A1068" s="2835"/>
      <c r="B1068" s="2414"/>
      <c r="C1068" s="2414"/>
      <c r="D1068" s="2414" t="s">
        <v>4780</v>
      </c>
      <c r="E1068" s="2414"/>
      <c r="F1068" s="2414"/>
      <c r="G1068" s="2414"/>
      <c r="H1068" s="2414"/>
      <c r="I1068" s="2414"/>
      <c r="J1068" s="2414"/>
      <c r="K1068" s="2414"/>
      <c r="L1068" s="2414"/>
      <c r="M1068" s="2414"/>
      <c r="N1068" s="2414"/>
      <c r="O1068" s="2414"/>
      <c r="P1068" s="2419">
        <f>'Part VII-Threshold Criteria'!P186</f>
        <v>0</v>
      </c>
      <c r="Q1068" s="2419"/>
    </row>
    <row r="1069" spans="1:17" ht="14">
      <c r="A1069" s="2835"/>
      <c r="B1069" s="2414"/>
      <c r="C1069" s="2414"/>
      <c r="D1069" s="2414" t="s">
        <v>4781</v>
      </c>
      <c r="E1069" s="2414"/>
      <c r="F1069" s="2414"/>
      <c r="G1069" s="2414"/>
      <c r="H1069" s="2414"/>
      <c r="I1069" s="2414"/>
      <c r="J1069" s="2414"/>
      <c r="K1069" s="2414"/>
      <c r="L1069" s="2414"/>
      <c r="M1069" s="2414"/>
      <c r="N1069" s="2414"/>
      <c r="O1069" s="2845"/>
      <c r="P1069" s="2419">
        <f>'Part VII-Threshold Criteria'!P187</f>
        <v>0</v>
      </c>
      <c r="Q1069" s="2417"/>
    </row>
    <row r="1070" spans="1:17" ht="14.5">
      <c r="A1070" s="2414"/>
      <c r="B1070" s="2840" t="s">
        <v>3157</v>
      </c>
      <c r="C1070" s="2414"/>
      <c r="D1070" s="2840"/>
      <c r="E1070" s="2840"/>
      <c r="F1070" s="2840"/>
      <c r="G1070" s="2840"/>
      <c r="H1070" s="2415"/>
      <c r="I1070" s="2416"/>
      <c r="J1070" s="2416"/>
      <c r="K1070" s="2416"/>
      <c r="L1070" s="2417"/>
      <c r="M1070" s="2417"/>
      <c r="N1070" s="2417"/>
      <c r="O1070" s="2417"/>
      <c r="P1070" s="2417"/>
      <c r="Q1070" s="2417"/>
    </row>
    <row r="1071" spans="1:17" ht="14">
      <c r="A1071" s="2837" t="str">
        <f>'Part VII-Threshold Criteria'!A189</f>
        <v xml:space="preserve">N/A for Competitive Review Applications </v>
      </c>
      <c r="B1071" s="2837"/>
      <c r="C1071" s="2837"/>
      <c r="D1071" s="2837"/>
      <c r="E1071" s="2837"/>
      <c r="F1071" s="2837"/>
      <c r="G1071" s="2837"/>
      <c r="H1071" s="2837"/>
      <c r="I1071" s="2837"/>
      <c r="J1071" s="2837"/>
      <c r="K1071" s="2837"/>
      <c r="L1071" s="2837"/>
      <c r="M1071" s="2837"/>
      <c r="N1071" s="2837"/>
      <c r="O1071" s="2837"/>
      <c r="P1071" s="2837"/>
      <c r="Q1071" s="2837"/>
    </row>
    <row r="1072" spans="1:17" ht="14.5">
      <c r="A1072" s="2414"/>
      <c r="B1072" s="2836" t="s">
        <v>1725</v>
      </c>
      <c r="C1072" s="2836"/>
      <c r="D1072" s="2414"/>
      <c r="E1072" s="2414"/>
      <c r="F1072" s="2414"/>
      <c r="G1072" s="2414"/>
      <c r="H1072" s="2414"/>
      <c r="I1072" s="2414"/>
      <c r="J1072" s="2414"/>
      <c r="K1072" s="2414"/>
      <c r="L1072" s="2414"/>
      <c r="M1072" s="2414"/>
      <c r="N1072" s="2414"/>
      <c r="O1072" s="2414"/>
      <c r="P1072" s="2414"/>
      <c r="Q1072" s="2414"/>
    </row>
    <row r="1073" spans="1:17" ht="14">
      <c r="A1073" s="2414"/>
      <c r="B1073" s="2414"/>
      <c r="C1073" s="2414"/>
      <c r="D1073" s="2414"/>
      <c r="E1073" s="2414"/>
      <c r="F1073" s="2414"/>
      <c r="G1073" s="2414"/>
      <c r="H1073" s="2414"/>
      <c r="I1073" s="2414"/>
      <c r="J1073" s="2414"/>
      <c r="K1073" s="2414"/>
      <c r="L1073" s="2414"/>
      <c r="M1073" s="2414"/>
      <c r="N1073" s="2414"/>
      <c r="O1073" s="2414"/>
      <c r="P1073" s="2414"/>
      <c r="Q1073" s="2414"/>
    </row>
    <row r="1074" spans="1:17" ht="14">
      <c r="A1074" s="2414"/>
      <c r="B1074" s="2414"/>
      <c r="C1074" s="2414"/>
      <c r="D1074" s="2414"/>
      <c r="E1074" s="2414"/>
      <c r="F1074" s="2414"/>
      <c r="G1074" s="2414"/>
      <c r="H1074" s="2414"/>
      <c r="I1074" s="2414"/>
      <c r="J1074" s="2414"/>
      <c r="K1074" s="2414"/>
      <c r="L1074" s="2414"/>
      <c r="M1074" s="2414"/>
      <c r="N1074" s="2414"/>
      <c r="O1074" s="2414"/>
      <c r="P1074" s="2414"/>
      <c r="Q1074" s="2414"/>
    </row>
    <row r="1075" spans="1:17" ht="14">
      <c r="A1075" s="2414"/>
      <c r="B1075" s="2415"/>
      <c r="C1075" s="2415"/>
      <c r="D1075" s="2415"/>
      <c r="E1075" s="2415"/>
      <c r="F1075" s="2415"/>
      <c r="G1075" s="2415"/>
      <c r="H1075" s="2415"/>
      <c r="I1075" s="2415"/>
      <c r="J1075" s="2415"/>
      <c r="K1075" s="2415"/>
      <c r="L1075" s="2415"/>
      <c r="M1075" s="2415"/>
      <c r="N1075" s="2415"/>
      <c r="O1075" s="2415"/>
      <c r="P1075" s="2415"/>
      <c r="Q1075" s="2415"/>
    </row>
    <row r="1076" spans="1:17" ht="14">
      <c r="A1076" s="2834" t="s">
        <v>3283</v>
      </c>
      <c r="B1076" s="2419" t="s">
        <v>2427</v>
      </c>
      <c r="C1076" s="2419"/>
      <c r="D1076" s="2419"/>
      <c r="E1076" s="2419"/>
      <c r="F1076" s="2419"/>
      <c r="G1076" s="2419"/>
      <c r="H1076" s="2415"/>
      <c r="I1076" s="2415"/>
      <c r="J1076" s="2415"/>
      <c r="K1076" s="2415"/>
      <c r="L1076" s="2415"/>
      <c r="M1076" s="2415"/>
      <c r="N1076" s="2414"/>
      <c r="O1076" s="2835" t="s">
        <v>1726</v>
      </c>
      <c r="P1076" s="2419"/>
      <c r="Q1076" s="2419"/>
    </row>
    <row r="1077" spans="1:17" ht="14">
      <c r="A1077" s="2414"/>
      <c r="B1077" s="2414" t="s">
        <v>4664</v>
      </c>
      <c r="C1077" s="2414"/>
      <c r="D1077" s="2414"/>
      <c r="E1077" s="2414"/>
      <c r="F1077" s="2414"/>
      <c r="G1077" s="2414"/>
      <c r="H1077" s="2414"/>
      <c r="I1077" s="2414"/>
      <c r="J1077" s="2414"/>
      <c r="K1077" s="2414"/>
      <c r="L1077" s="2414"/>
      <c r="M1077" s="2414"/>
      <c r="N1077" s="2414"/>
      <c r="O1077" s="2414"/>
      <c r="P1077" s="2419">
        <f>'Part VII-Threshold Criteria'!P195</f>
        <v>0</v>
      </c>
      <c r="Q1077" s="2419"/>
    </row>
    <row r="1078" spans="1:17" ht="15" customHeight="1">
      <c r="A1078" s="2414"/>
      <c r="B1078" s="2414" t="s">
        <v>5053</v>
      </c>
      <c r="C1078" s="2414"/>
      <c r="D1078" s="2414"/>
      <c r="E1078" s="2414"/>
      <c r="F1078" s="2414"/>
      <c r="G1078" s="2414"/>
      <c r="H1078" s="2414"/>
      <c r="I1078" s="2414"/>
      <c r="J1078" s="2414"/>
      <c r="K1078" s="2414"/>
      <c r="L1078" s="2414"/>
      <c r="M1078" s="2414"/>
      <c r="N1078" s="2414"/>
      <c r="O1078" s="2414"/>
      <c r="P1078" s="2419">
        <f>'Part VII-Threshold Criteria'!P196</f>
        <v>0</v>
      </c>
      <c r="Q1078" s="2419"/>
    </row>
    <row r="1079" spans="1:17" ht="14">
      <c r="A1079" s="2835" t="s">
        <v>1836</v>
      </c>
      <c r="B1079" s="2419" t="s">
        <v>432</v>
      </c>
      <c r="C1079" s="2414"/>
      <c r="D1079" s="2419"/>
      <c r="E1079" s="2419"/>
      <c r="F1079" s="2419"/>
      <c r="G1079" s="2419"/>
      <c r="H1079" s="2419"/>
      <c r="I1079" s="2419"/>
      <c r="J1079" s="2419"/>
      <c r="K1079" s="2419"/>
      <c r="L1079" s="2419"/>
      <c r="M1079" s="2419"/>
      <c r="N1079" s="2414"/>
      <c r="O1079" s="2845"/>
      <c r="P1079" s="2419"/>
      <c r="Q1079" s="2419"/>
    </row>
    <row r="1080" spans="1:17" ht="14.25" customHeight="1">
      <c r="A1080" s="2414"/>
      <c r="B1080" s="2849" t="s">
        <v>1611</v>
      </c>
      <c r="C1080" s="2837" t="s">
        <v>4719</v>
      </c>
      <c r="D1080" s="2837"/>
      <c r="E1080" s="2837"/>
      <c r="F1080" s="2837" t="str">
        <f>'Part VII-Threshold Criteria'!F198</f>
        <v>&lt;&lt;Select exterior material /finish upgrade choice from options provided here&gt;&gt;</v>
      </c>
      <c r="G1080" s="2837"/>
      <c r="H1080" s="2837"/>
      <c r="I1080" s="2837"/>
      <c r="J1080" s="2837"/>
      <c r="K1080" s="2837"/>
      <c r="L1080" s="2837"/>
      <c r="M1080" s="2837"/>
      <c r="N1080" s="2837"/>
      <c r="O1080" s="2837"/>
      <c r="P1080" s="2837"/>
      <c r="Q1080" s="2837"/>
    </row>
    <row r="1081" spans="1:17" ht="14.25" customHeight="1">
      <c r="A1081" s="2414"/>
      <c r="B1081" s="2849" t="s">
        <v>1612</v>
      </c>
      <c r="C1081" s="2837" t="s">
        <v>5082</v>
      </c>
      <c r="D1081" s="2837"/>
      <c r="E1081" s="2837"/>
      <c r="F1081" s="2837" t="str">
        <f>'Part VII-Threshold Criteria'!F199</f>
        <v>&lt;&lt;Select materials&gt;&gt;</v>
      </c>
      <c r="G1081" s="2837"/>
      <c r="H1081" s="2837"/>
      <c r="I1081" s="2837"/>
      <c r="J1081" s="2837"/>
      <c r="K1081" s="2837"/>
      <c r="L1081" s="2837"/>
      <c r="M1081" s="2837"/>
      <c r="N1081" s="2837"/>
      <c r="O1081" s="2837"/>
      <c r="P1081" s="2837"/>
      <c r="Q1081" s="2837"/>
    </row>
    <row r="1082" spans="1:17" ht="15" customHeight="1">
      <c r="A1082" s="2835"/>
      <c r="B1082" s="2849" t="s">
        <v>1613</v>
      </c>
      <c r="C1082" s="2414" t="s">
        <v>4670</v>
      </c>
      <c r="D1082" s="2414"/>
      <c r="E1082" s="2414"/>
      <c r="F1082" s="2414"/>
      <c r="G1082" s="2414"/>
      <c r="H1082" s="2414"/>
      <c r="I1082" s="2414"/>
      <c r="J1082" s="2414"/>
      <c r="K1082" s="2414"/>
      <c r="L1082" s="2414"/>
      <c r="M1082" s="2414"/>
      <c r="N1082" s="2414"/>
      <c r="O1082" s="2414"/>
      <c r="P1082" s="2414"/>
      <c r="Q1082" s="2414"/>
    </row>
    <row r="1083" spans="1:17" ht="14">
      <c r="A1083" s="2835"/>
      <c r="B1083" s="2845"/>
      <c r="C1083" s="2837">
        <f>'Part VII-Threshold Criteria'!C201</f>
        <v>0</v>
      </c>
      <c r="D1083" s="2414"/>
      <c r="E1083" s="2414"/>
      <c r="F1083" s="2414"/>
      <c r="G1083" s="2414"/>
      <c r="H1083" s="2414"/>
      <c r="I1083" s="2414"/>
      <c r="J1083" s="2414"/>
      <c r="K1083" s="2414"/>
      <c r="L1083" s="2414"/>
      <c r="M1083" s="2414"/>
      <c r="N1083" s="2414"/>
      <c r="O1083" s="2414"/>
      <c r="P1083" s="2414"/>
      <c r="Q1083" s="2414"/>
    </row>
    <row r="1084" spans="1:17" ht="14">
      <c r="A1084" s="2835"/>
      <c r="B1084" s="2845"/>
      <c r="C1084" s="2837">
        <f>'Part VII-Threshold Criteria'!C202</f>
        <v>0</v>
      </c>
      <c r="D1084" s="2414"/>
      <c r="E1084" s="2414"/>
      <c r="F1084" s="2414"/>
      <c r="G1084" s="2414"/>
      <c r="H1084" s="2414"/>
      <c r="I1084" s="2414"/>
      <c r="J1084" s="2414"/>
      <c r="K1084" s="2414"/>
      <c r="L1084" s="2414"/>
      <c r="M1084" s="2414"/>
      <c r="N1084" s="2414"/>
      <c r="O1084" s="2414"/>
      <c r="P1084" s="2414"/>
      <c r="Q1084" s="2414"/>
    </row>
    <row r="1085" spans="1:17" ht="14.5">
      <c r="A1085" s="2414"/>
      <c r="B1085" s="2840" t="s">
        <v>3157</v>
      </c>
      <c r="C1085" s="2414"/>
      <c r="D1085" s="2836"/>
      <c r="E1085" s="2836"/>
      <c r="F1085" s="2836"/>
      <c r="G1085" s="2836"/>
      <c r="H1085" s="2414"/>
      <c r="I1085" s="2414"/>
      <c r="J1085" s="2414"/>
      <c r="K1085" s="2414"/>
      <c r="L1085" s="2419"/>
      <c r="M1085" s="2419"/>
      <c r="N1085" s="2419"/>
      <c r="O1085" s="2419"/>
      <c r="P1085" s="2419"/>
      <c r="Q1085" s="2419"/>
    </row>
    <row r="1086" spans="1:17" ht="14">
      <c r="A1086" s="2837" t="str">
        <f>'Part VII-Threshold Criteria'!A204</f>
        <v xml:space="preserve">N/A for Competitive Review Applications </v>
      </c>
      <c r="B1086" s="2837"/>
      <c r="C1086" s="2837"/>
      <c r="D1086" s="2837"/>
      <c r="E1086" s="2837"/>
      <c r="F1086" s="2837"/>
      <c r="G1086" s="2837"/>
      <c r="H1086" s="2837"/>
      <c r="I1086" s="2837"/>
      <c r="J1086" s="2837"/>
      <c r="K1086" s="2837"/>
      <c r="L1086" s="2837"/>
      <c r="M1086" s="2837"/>
      <c r="N1086" s="2837"/>
      <c r="O1086" s="2837"/>
      <c r="P1086" s="2837"/>
      <c r="Q1086" s="2837"/>
    </row>
    <row r="1087" spans="1:17" ht="14.5">
      <c r="A1087" s="2414"/>
      <c r="B1087" s="2836" t="s">
        <v>1725</v>
      </c>
      <c r="C1087" s="2836"/>
      <c r="D1087" s="2414"/>
      <c r="E1087" s="2414"/>
      <c r="F1087" s="2414"/>
      <c r="G1087" s="2414"/>
      <c r="H1087" s="2414"/>
      <c r="I1087" s="2414"/>
      <c r="J1087" s="2414"/>
      <c r="K1087" s="2414"/>
      <c r="L1087" s="2414"/>
      <c r="M1087" s="2414"/>
      <c r="N1087" s="2414"/>
      <c r="O1087" s="2414"/>
      <c r="P1087" s="2414"/>
      <c r="Q1087" s="2414"/>
    </row>
    <row r="1088" spans="1:17" ht="14">
      <c r="A1088" s="2414"/>
      <c r="B1088" s="2414"/>
      <c r="C1088" s="2414"/>
      <c r="D1088" s="2414"/>
      <c r="E1088" s="2414"/>
      <c r="F1088" s="2414"/>
      <c r="G1088" s="2414"/>
      <c r="H1088" s="2414"/>
      <c r="I1088" s="2414"/>
      <c r="J1088" s="2414"/>
      <c r="K1088" s="2414"/>
      <c r="L1088" s="2414"/>
      <c r="M1088" s="2414"/>
      <c r="N1088" s="2414"/>
      <c r="O1088" s="2414"/>
      <c r="P1088" s="2414"/>
      <c r="Q1088" s="2414"/>
    </row>
    <row r="1089" spans="1:17" ht="14">
      <c r="A1089" s="2414"/>
      <c r="B1089" s="2414"/>
      <c r="C1089" s="2414"/>
      <c r="D1089" s="2414"/>
      <c r="E1089" s="2414"/>
      <c r="F1089" s="2414"/>
      <c r="G1089" s="2414"/>
      <c r="H1089" s="2414"/>
      <c r="I1089" s="2414"/>
      <c r="J1089" s="2414"/>
      <c r="K1089" s="2414"/>
      <c r="L1089" s="2414"/>
      <c r="M1089" s="2414"/>
      <c r="N1089" s="2414"/>
      <c r="O1089" s="2414"/>
      <c r="P1089" s="2414"/>
      <c r="Q1089" s="2414"/>
    </row>
    <row r="1090" spans="1:17" ht="14">
      <c r="A1090" s="2414"/>
      <c r="B1090" s="2415"/>
      <c r="C1090" s="2415"/>
      <c r="D1090" s="2415"/>
      <c r="E1090" s="2415"/>
      <c r="F1090" s="2415"/>
      <c r="G1090" s="2415"/>
      <c r="H1090" s="2415"/>
      <c r="I1090" s="2415"/>
      <c r="J1090" s="2415"/>
      <c r="K1090" s="2415"/>
      <c r="L1090" s="2415"/>
      <c r="M1090" s="2415"/>
      <c r="N1090" s="2415"/>
      <c r="O1090" s="2415"/>
      <c r="P1090" s="2415"/>
      <c r="Q1090" s="2415"/>
    </row>
    <row r="1091" spans="1:17" ht="14">
      <c r="A1091" s="2834" t="s">
        <v>3281</v>
      </c>
      <c r="B1091" s="2834" t="s">
        <v>4783</v>
      </c>
      <c r="C1091" s="2834"/>
      <c r="D1091" s="2415"/>
      <c r="E1091" s="2415"/>
      <c r="F1091" s="2415"/>
      <c r="G1091" s="2415"/>
      <c r="H1091" s="2415"/>
      <c r="I1091" s="2414"/>
      <c r="J1091" s="2414"/>
      <c r="K1091" s="2414"/>
      <c r="L1091" s="2414"/>
      <c r="M1091" s="2414"/>
      <c r="N1091" s="2414"/>
      <c r="O1091" s="2835" t="s">
        <v>1726</v>
      </c>
      <c r="P1091" s="2419"/>
      <c r="Q1091" s="2419"/>
    </row>
    <row r="1092" spans="1:17" ht="14">
      <c r="A1092" s="2835"/>
      <c r="B1092" s="2414" t="s">
        <v>5054</v>
      </c>
      <c r="C1092" s="2414"/>
      <c r="D1092" s="2414"/>
      <c r="E1092" s="2414"/>
      <c r="F1092" s="2414"/>
      <c r="G1092" s="2414"/>
      <c r="H1092" s="2414"/>
      <c r="I1092" s="2414"/>
      <c r="J1092" s="2414"/>
      <c r="K1092" s="2414"/>
      <c r="L1092" s="2414"/>
      <c r="M1092" s="2414"/>
      <c r="N1092" s="2414"/>
      <c r="O1092" s="2845"/>
      <c r="P1092" s="2419" t="str">
        <f>'Part VII-Threshold Criteria'!P210</f>
        <v>Yes - see Comment</v>
      </c>
      <c r="Q1092" s="2419"/>
    </row>
    <row r="1093" spans="1:17" ht="14">
      <c r="A1093" s="2835"/>
      <c r="B1093" s="2414" t="s">
        <v>5055</v>
      </c>
      <c r="C1093" s="2414"/>
      <c r="D1093" s="2414"/>
      <c r="E1093" s="2414"/>
      <c r="F1093" s="2414"/>
      <c r="G1093" s="2414"/>
      <c r="H1093" s="2414"/>
      <c r="I1093" s="2414"/>
      <c r="J1093" s="2414"/>
      <c r="K1093" s="2414"/>
      <c r="L1093" s="2414"/>
      <c r="M1093" s="2414"/>
      <c r="N1093" s="2414"/>
      <c r="O1093" s="2845"/>
      <c r="P1093" s="2419" t="str">
        <f>'Part VII-Threshold Criteria'!P211</f>
        <v>Yes - see Comment</v>
      </c>
      <c r="Q1093" s="2419"/>
    </row>
    <row r="1094" spans="1:17" ht="14">
      <c r="A1094" s="2835"/>
      <c r="B1094" s="2414" t="s">
        <v>5056</v>
      </c>
      <c r="C1094" s="2414"/>
      <c r="D1094" s="2414"/>
      <c r="E1094" s="2414"/>
      <c r="F1094" s="2414"/>
      <c r="G1094" s="2414"/>
      <c r="H1094" s="2414"/>
      <c r="I1094" s="2414"/>
      <c r="J1094" s="2414"/>
      <c r="K1094" s="2416"/>
      <c r="L1094" s="2414"/>
      <c r="M1094" s="2845"/>
      <c r="N1094" s="2414"/>
      <c r="O1094" s="2414"/>
      <c r="P1094" s="2419" t="str">
        <f>'Part VII-Threshold Criteria'!P212</f>
        <v>No</v>
      </c>
      <c r="Q1094" s="2419"/>
    </row>
    <row r="1095" spans="1:17" ht="15" customHeight="1">
      <c r="A1095" s="2835"/>
      <c r="B1095" s="2414" t="s">
        <v>5057</v>
      </c>
      <c r="C1095" s="2414"/>
      <c r="D1095" s="2414"/>
      <c r="E1095" s="2414"/>
      <c r="F1095" s="2414"/>
      <c r="G1095" s="2414"/>
      <c r="H1095" s="2414"/>
      <c r="I1095" s="2414"/>
      <c r="J1095" s="2414"/>
      <c r="K1095" s="2414"/>
      <c r="L1095" s="2414"/>
      <c r="M1095" s="2414"/>
      <c r="N1095" s="2414"/>
      <c r="O1095" s="2414"/>
      <c r="P1095" s="2419" t="str">
        <f>'Part VII-Threshold Criteria'!P213</f>
        <v>No</v>
      </c>
      <c r="Q1095" s="2844"/>
    </row>
    <row r="1096" spans="1:17" ht="14">
      <c r="A1096" s="2835"/>
      <c r="B1096" s="2414" t="s">
        <v>5058</v>
      </c>
      <c r="C1096" s="2414"/>
      <c r="D1096" s="2414"/>
      <c r="E1096" s="2414"/>
      <c r="F1096" s="2414"/>
      <c r="G1096" s="2414"/>
      <c r="H1096" s="2414"/>
      <c r="I1096" s="2414"/>
      <c r="J1096" s="2414"/>
      <c r="K1096" s="2414"/>
      <c r="L1096" s="2414"/>
      <c r="M1096" s="2414"/>
      <c r="N1096" s="2414"/>
      <c r="O1096" s="2419" t="str">
        <f>'Part VII-Threshold Criteria'!O214</f>
        <v>Qualified</v>
      </c>
      <c r="P1096" s="2419"/>
      <c r="Q1096" s="2419"/>
    </row>
    <row r="1097" spans="1:17" ht="14">
      <c r="A1097" s="2835"/>
      <c r="B1097" s="2419" t="s">
        <v>4671</v>
      </c>
      <c r="C1097" s="2414"/>
      <c r="D1097" s="2414"/>
      <c r="E1097" s="2414"/>
      <c r="F1097" s="2414"/>
      <c r="G1097" s="2414"/>
      <c r="H1097" s="2414"/>
      <c r="I1097" s="2419" t="s">
        <v>1641</v>
      </c>
      <c r="J1097" s="2419"/>
      <c r="K1097" s="2419"/>
      <c r="L1097" s="2419"/>
      <c r="M1097" s="2414"/>
      <c r="N1097" s="2414"/>
      <c r="O1097" s="2414"/>
      <c r="P1097" s="2414"/>
      <c r="Q1097" s="2414"/>
    </row>
    <row r="1098" spans="1:17" ht="14.5">
      <c r="A1098" s="2414"/>
      <c r="B1098" s="2840" t="s">
        <v>3157</v>
      </c>
      <c r="C1098" s="2414"/>
      <c r="D1098" s="2840"/>
      <c r="E1098" s="2840"/>
      <c r="F1098" s="2840"/>
      <c r="G1098" s="2840"/>
      <c r="H1098" s="2415"/>
      <c r="I1098" s="2414"/>
      <c r="J1098" s="2414"/>
      <c r="K1098" s="2414"/>
      <c r="L1098" s="2419"/>
      <c r="M1098" s="2417"/>
      <c r="N1098" s="2417"/>
      <c r="O1098" s="2417"/>
      <c r="P1098" s="2417"/>
      <c r="Q1098" s="2417"/>
    </row>
    <row r="1099" spans="1:17" ht="14">
      <c r="A1099" s="2837" t="str">
        <f>'Part VII-Threshold Criteria'!A217</f>
        <v>National Church Residences submitted a Qualification Determination this spring and received a qualification without conditions, please see Folder 06 - Compliance Performance for detail.</v>
      </c>
      <c r="B1099" s="2837"/>
      <c r="C1099" s="2837"/>
      <c r="D1099" s="2837"/>
      <c r="E1099" s="2837"/>
      <c r="F1099" s="2837"/>
      <c r="G1099" s="2837"/>
      <c r="H1099" s="2837"/>
      <c r="I1099" s="2837"/>
      <c r="J1099" s="2837"/>
      <c r="K1099" s="2837"/>
      <c r="L1099" s="2837"/>
      <c r="M1099" s="2837"/>
      <c r="N1099" s="2837"/>
      <c r="O1099" s="2837"/>
      <c r="P1099" s="2837"/>
      <c r="Q1099" s="2837"/>
    </row>
    <row r="1100" spans="1:17" ht="14.5">
      <c r="A1100" s="2414"/>
      <c r="B1100" s="2836" t="s">
        <v>1725</v>
      </c>
      <c r="C1100" s="2836"/>
      <c r="D1100" s="2414"/>
      <c r="E1100" s="2414"/>
      <c r="F1100" s="2414"/>
      <c r="G1100" s="2414"/>
      <c r="H1100" s="2414"/>
      <c r="I1100" s="2414"/>
      <c r="J1100" s="2414"/>
      <c r="K1100" s="2414"/>
      <c r="L1100" s="2414"/>
      <c r="M1100" s="2414"/>
      <c r="N1100" s="2414"/>
      <c r="O1100" s="2414"/>
      <c r="P1100" s="2414"/>
      <c r="Q1100" s="2414"/>
    </row>
    <row r="1101" spans="1:17" ht="14">
      <c r="A1101" s="2414"/>
      <c r="B1101" s="2414"/>
      <c r="C1101" s="2414"/>
      <c r="D1101" s="2414"/>
      <c r="E1101" s="2414"/>
      <c r="F1101" s="2414"/>
      <c r="G1101" s="2414"/>
      <c r="H1101" s="2414"/>
      <c r="I1101" s="2414"/>
      <c r="J1101" s="2414"/>
      <c r="K1101" s="2414"/>
      <c r="L1101" s="2414"/>
      <c r="M1101" s="2414"/>
      <c r="N1101" s="2414"/>
      <c r="O1101" s="2414"/>
      <c r="P1101" s="2414"/>
      <c r="Q1101" s="2414"/>
    </row>
    <row r="1102" spans="1:17" ht="14">
      <c r="A1102" s="2419"/>
      <c r="B1102" s="2414"/>
      <c r="C1102" s="2414"/>
      <c r="D1102" s="2414"/>
      <c r="E1102" s="2414"/>
      <c r="F1102" s="2414"/>
      <c r="G1102" s="2414"/>
      <c r="H1102" s="2414"/>
      <c r="I1102" s="2414"/>
      <c r="J1102" s="2414"/>
      <c r="K1102" s="2414"/>
      <c r="L1102" s="2414"/>
      <c r="M1102" s="2414"/>
      <c r="N1102" s="2414"/>
      <c r="O1102" s="2414"/>
      <c r="P1102" s="2414"/>
      <c r="Q1102" s="2419"/>
    </row>
    <row r="1103" spans="1:17" ht="14">
      <c r="A1103" s="2414"/>
      <c r="B1103" s="2416"/>
      <c r="C1103" s="2415"/>
      <c r="D1103" s="2415"/>
      <c r="E1103" s="2415"/>
      <c r="F1103" s="2415"/>
      <c r="G1103" s="2415"/>
      <c r="H1103" s="2415"/>
      <c r="I1103" s="2415"/>
      <c r="J1103" s="2415"/>
      <c r="K1103" s="2415"/>
      <c r="L1103" s="2415"/>
      <c r="M1103" s="2415"/>
      <c r="N1103" s="2415"/>
      <c r="O1103" s="2415"/>
      <c r="P1103" s="2415"/>
      <c r="Q1103" s="2417"/>
    </row>
    <row r="1104" spans="1:17" ht="14">
      <c r="A1104" s="2834" t="s">
        <v>3284</v>
      </c>
      <c r="B1104" s="2419" t="s">
        <v>4429</v>
      </c>
      <c r="C1104" s="2419"/>
      <c r="D1104" s="2419"/>
      <c r="E1104" s="2419"/>
      <c r="F1104" s="2419"/>
      <c r="G1104" s="2419"/>
      <c r="H1104" s="2415"/>
      <c r="I1104" s="2415"/>
      <c r="J1104" s="2415"/>
      <c r="K1104" s="2415"/>
      <c r="L1104" s="2415"/>
      <c r="M1104" s="2415"/>
      <c r="N1104" s="2845"/>
      <c r="O1104" s="2835" t="s">
        <v>1726</v>
      </c>
      <c r="P1104" s="2419"/>
      <c r="Q1104" s="2419"/>
    </row>
    <row r="1105" spans="1:17" ht="15" customHeight="1">
      <c r="A1105" s="2834"/>
      <c r="B1105" s="2414" t="s">
        <v>4672</v>
      </c>
      <c r="C1105" s="2414"/>
      <c r="D1105" s="2414"/>
      <c r="E1105" s="2414"/>
      <c r="F1105" s="2414"/>
      <c r="G1105" s="2414"/>
      <c r="H1105" s="2414"/>
      <c r="I1105" s="2414"/>
      <c r="J1105" s="2414"/>
      <c r="K1105" s="2414"/>
      <c r="L1105" s="2414"/>
      <c r="M1105" s="2414"/>
      <c r="N1105" s="2414"/>
      <c r="O1105" s="2414"/>
      <c r="P1105" s="2419" t="str">
        <f>'Part VII-Threshold Criteria'!P223</f>
        <v>Agree</v>
      </c>
      <c r="Q1105" s="2419"/>
    </row>
    <row r="1106" spans="1:17" ht="14">
      <c r="A1106" s="2557" t="s">
        <v>1836</v>
      </c>
      <c r="B1106" s="2844" t="s">
        <v>4785</v>
      </c>
      <c r="C1106" s="2844"/>
      <c r="D1106" s="2844"/>
      <c r="E1106" s="2844"/>
      <c r="F1106" s="2844"/>
      <c r="G1106" s="2844"/>
      <c r="H1106" s="2844"/>
      <c r="I1106" s="2844"/>
      <c r="J1106" s="2844"/>
      <c r="K1106" s="2844"/>
      <c r="L1106" s="2844"/>
      <c r="M1106" s="2844"/>
      <c r="N1106" s="2844"/>
      <c r="O1106" s="2844"/>
      <c r="P1106" s="2844"/>
      <c r="Q1106" s="2844"/>
    </row>
    <row r="1107" spans="1:17" ht="15" customHeight="1">
      <c r="A1107" s="2557"/>
      <c r="B1107" s="2415"/>
      <c r="C1107" s="2558" t="s">
        <v>4784</v>
      </c>
      <c r="D1107" s="2846"/>
      <c r="E1107" s="2846"/>
      <c r="F1107" s="2415"/>
      <c r="G1107" s="2837" t="s">
        <v>4960</v>
      </c>
      <c r="H1107" s="2837"/>
      <c r="I1107" s="2837"/>
      <c r="J1107" s="2837"/>
      <c r="K1107" s="2837"/>
      <c r="L1107" s="2837"/>
      <c r="M1107" s="2837"/>
      <c r="N1107" s="2837"/>
      <c r="O1107" s="2837"/>
      <c r="P1107" s="2419">
        <f>'Part VII-Threshold Criteria'!P225</f>
        <v>0</v>
      </c>
      <c r="Q1107" s="2417"/>
    </row>
    <row r="1108" spans="1:17" ht="15" customHeight="1">
      <c r="A1108" s="2557"/>
      <c r="B1108" s="2415"/>
      <c r="C1108" s="2837" t="s">
        <v>4786</v>
      </c>
      <c r="D1108" s="2837"/>
      <c r="E1108" s="2837"/>
      <c r="F1108" s="2837"/>
      <c r="G1108" s="2837" t="s">
        <v>4961</v>
      </c>
      <c r="H1108" s="2837"/>
      <c r="I1108" s="2837"/>
      <c r="J1108" s="2837"/>
      <c r="K1108" s="2837"/>
      <c r="L1108" s="2837"/>
      <c r="M1108" s="2837"/>
      <c r="N1108" s="2837"/>
      <c r="O1108" s="2837"/>
      <c r="P1108" s="2419">
        <f>'Part VII-Threshold Criteria'!P226</f>
        <v>0</v>
      </c>
      <c r="Q1108" s="2417"/>
    </row>
    <row r="1109" spans="1:17" ht="15" customHeight="1">
      <c r="A1109" s="2557" t="s">
        <v>1838</v>
      </c>
      <c r="B1109" s="2837" t="s">
        <v>5170</v>
      </c>
      <c r="C1109" s="2837"/>
      <c r="D1109" s="2837"/>
      <c r="E1109" s="2837"/>
      <c r="F1109" s="2837"/>
      <c r="G1109" s="2837"/>
      <c r="H1109" s="2837"/>
      <c r="I1109" s="2837"/>
      <c r="J1109" s="2837"/>
      <c r="K1109" s="2837"/>
      <c r="L1109" s="2837"/>
      <c r="M1109" s="2837"/>
      <c r="N1109" s="2837"/>
      <c r="O1109" s="2837"/>
      <c r="P1109" s="2419">
        <f>'Part VII-Threshold Criteria'!P227</f>
        <v>0</v>
      </c>
      <c r="Q1109" s="2417"/>
    </row>
    <row r="1110" spans="1:17" ht="14">
      <c r="A1110" s="2835" t="s">
        <v>697</v>
      </c>
      <c r="B1110" s="2414" t="s">
        <v>5171</v>
      </c>
      <c r="C1110" s="2414"/>
      <c r="D1110" s="2414"/>
      <c r="E1110" s="2414"/>
      <c r="F1110" s="2414"/>
      <c r="G1110" s="2414" t="s">
        <v>5172</v>
      </c>
      <c r="H1110" s="2414"/>
      <c r="I1110" s="2414"/>
      <c r="J1110" s="2414"/>
      <c r="K1110" s="2414"/>
      <c r="L1110" s="2414"/>
      <c r="M1110" s="2414"/>
      <c r="N1110" s="2414"/>
      <c r="O1110" s="2414"/>
      <c r="P1110" s="2419" t="str">
        <f>'Part VII-Threshold Criteria'!P228</f>
        <v>Agree</v>
      </c>
      <c r="Q1110" s="2417"/>
    </row>
    <row r="1111" spans="1:17" ht="15" customHeight="1">
      <c r="A1111" s="2557" t="s">
        <v>1957</v>
      </c>
      <c r="B1111" s="2837" t="s">
        <v>5173</v>
      </c>
      <c r="C1111" s="2837"/>
      <c r="D1111" s="2837"/>
      <c r="E1111" s="2837"/>
      <c r="F1111" s="2837"/>
      <c r="G1111" s="2837"/>
      <c r="H1111" s="2837"/>
      <c r="I1111" s="2837"/>
      <c r="J1111" s="2837"/>
      <c r="K1111" s="2837"/>
      <c r="L1111" s="2837"/>
      <c r="M1111" s="2837"/>
      <c r="N1111" s="2837"/>
      <c r="O1111" s="2837"/>
      <c r="P1111" s="2419">
        <f>'Part VII-Threshold Criteria'!P229</f>
        <v>0</v>
      </c>
      <c r="Q1111" s="2417"/>
    </row>
    <row r="1112" spans="1:17" ht="14.5">
      <c r="A1112" s="2414"/>
      <c r="B1112" s="2836" t="s">
        <v>3157</v>
      </c>
      <c r="C1112" s="2414"/>
      <c r="D1112" s="2836"/>
      <c r="E1112" s="2836"/>
      <c r="F1112" s="2836"/>
      <c r="G1112" s="2836"/>
      <c r="H1112" s="2414"/>
      <c r="I1112" s="2414"/>
      <c r="J1112" s="2414"/>
      <c r="K1112" s="2414"/>
      <c r="L1112" s="2419"/>
      <c r="M1112" s="2419"/>
      <c r="N1112" s="2419"/>
      <c r="O1112" s="2419"/>
      <c r="P1112" s="2417"/>
      <c r="Q1112" s="2417"/>
    </row>
    <row r="1113" spans="1:17" ht="14">
      <c r="A1113" s="2837" t="str">
        <f>'Part VII-Threshold Criteria'!A231</f>
        <v xml:space="preserve">Although this is Threshold Criteria and is not required for the Competitive Review Application, we intend to include Princeton Court in the above set-aside. </v>
      </c>
      <c r="B1113" s="2837"/>
      <c r="C1113" s="2837"/>
      <c r="D1113" s="2837"/>
      <c r="E1113" s="2837"/>
      <c r="F1113" s="2837"/>
      <c r="G1113" s="2837"/>
      <c r="H1113" s="2837"/>
      <c r="I1113" s="2837"/>
      <c r="J1113" s="2837"/>
      <c r="K1113" s="2837"/>
      <c r="L1113" s="2837"/>
      <c r="M1113" s="2837"/>
      <c r="N1113" s="2837"/>
      <c r="O1113" s="2837"/>
      <c r="P1113" s="2837"/>
      <c r="Q1113" s="2837"/>
    </row>
    <row r="1114" spans="1:17" ht="14.5">
      <c r="A1114" s="2414"/>
      <c r="B1114" s="2836" t="s">
        <v>1725</v>
      </c>
      <c r="C1114" s="2836"/>
      <c r="D1114" s="2414"/>
      <c r="E1114" s="2414"/>
      <c r="F1114" s="2414"/>
      <c r="G1114" s="2414"/>
      <c r="H1114" s="2414"/>
      <c r="I1114" s="2414"/>
      <c r="J1114" s="2414"/>
      <c r="K1114" s="2414"/>
      <c r="L1114" s="2414"/>
      <c r="M1114" s="2414"/>
      <c r="N1114" s="2414"/>
      <c r="O1114" s="2414"/>
      <c r="P1114" s="2414"/>
      <c r="Q1114" s="2414"/>
    </row>
    <row r="1115" spans="1:17" ht="14">
      <c r="A1115" s="2414"/>
      <c r="B1115" s="2414"/>
      <c r="C1115" s="2414"/>
      <c r="D1115" s="2414"/>
      <c r="E1115" s="2414"/>
      <c r="F1115" s="2414"/>
      <c r="G1115" s="2414"/>
      <c r="H1115" s="2414"/>
      <c r="I1115" s="2414"/>
      <c r="J1115" s="2414"/>
      <c r="K1115" s="2414"/>
      <c r="L1115" s="2414"/>
      <c r="M1115" s="2414"/>
      <c r="N1115" s="2414"/>
      <c r="O1115" s="2414"/>
      <c r="P1115" s="2414"/>
      <c r="Q1115" s="2414"/>
    </row>
    <row r="1116" spans="1:17" ht="14">
      <c r="A1116" s="2419"/>
      <c r="B1116" s="2414"/>
      <c r="C1116" s="2414"/>
      <c r="D1116" s="2414"/>
      <c r="E1116" s="2414"/>
      <c r="F1116" s="2414"/>
      <c r="G1116" s="2414"/>
      <c r="H1116" s="2414"/>
      <c r="I1116" s="2414"/>
      <c r="J1116" s="2414"/>
      <c r="K1116" s="2414"/>
      <c r="L1116" s="2414"/>
      <c r="M1116" s="2414"/>
      <c r="N1116" s="2414"/>
      <c r="O1116" s="2414"/>
      <c r="P1116" s="2414"/>
      <c r="Q1116" s="2419"/>
    </row>
    <row r="1117" spans="1:17" ht="14">
      <c r="A1117" s="2834"/>
      <c r="B1117" s="2416"/>
      <c r="C1117" s="2415"/>
      <c r="D1117" s="2415"/>
      <c r="E1117" s="2415"/>
      <c r="F1117" s="2415"/>
      <c r="G1117" s="2415"/>
      <c r="H1117" s="2415"/>
      <c r="I1117" s="2415"/>
      <c r="J1117" s="2415"/>
      <c r="K1117" s="2415"/>
      <c r="L1117" s="2415"/>
      <c r="M1117" s="2415"/>
      <c r="N1117" s="2415"/>
      <c r="O1117" s="2415"/>
      <c r="P1117" s="2415"/>
      <c r="Q1117" s="2417"/>
    </row>
    <row r="1118" spans="1:17" ht="14">
      <c r="A1118" s="2834" t="s">
        <v>3285</v>
      </c>
      <c r="B1118" s="2419" t="s">
        <v>3270</v>
      </c>
      <c r="C1118" s="2419"/>
      <c r="D1118" s="2419"/>
      <c r="E1118" s="2419"/>
      <c r="F1118" s="2419"/>
      <c r="G1118" s="2419"/>
      <c r="H1118" s="2415"/>
      <c r="I1118" s="2415"/>
      <c r="J1118" s="2415"/>
      <c r="K1118" s="2415"/>
      <c r="L1118" s="2415"/>
      <c r="M1118" s="2415"/>
      <c r="N1118" s="2835"/>
      <c r="O1118" s="2835" t="s">
        <v>1726</v>
      </c>
      <c r="P1118" s="2419"/>
      <c r="Q1118" s="2419"/>
    </row>
    <row r="1119" spans="1:17" ht="14">
      <c r="A1119" s="2835"/>
      <c r="B1119" s="2414" t="s">
        <v>3271</v>
      </c>
      <c r="C1119" s="2414"/>
      <c r="D1119" s="2414"/>
      <c r="E1119" s="2414"/>
      <c r="F1119" s="2414"/>
      <c r="G1119" s="2414"/>
      <c r="H1119" s="2414"/>
      <c r="I1119" s="2837" t="str">
        <f>'Part VII-Threshold Criteria'!I237</f>
        <v>National Church Residences</v>
      </c>
      <c r="J1119" s="2419"/>
      <c r="K1119" s="2419"/>
      <c r="L1119" s="2419"/>
      <c r="M1119" s="2419"/>
      <c r="N1119" s="2419"/>
      <c r="O1119" s="2419"/>
      <c r="P1119" s="2419"/>
      <c r="Q1119" s="2419"/>
    </row>
    <row r="1120" spans="1:17" ht="14">
      <c r="A1120" s="2835"/>
      <c r="B1120" s="2414" t="s">
        <v>3272</v>
      </c>
      <c r="C1120" s="2414"/>
      <c r="D1120" s="2414"/>
      <c r="E1120" s="2414"/>
      <c r="F1120" s="2414"/>
      <c r="G1120" s="2414"/>
      <c r="H1120" s="2414"/>
      <c r="I1120" s="2837" t="str">
        <f>'Part VII-Threshold Criteria'!I238</f>
        <v>https://www.nationalchurchresidences.org/</v>
      </c>
      <c r="J1120" s="2419"/>
      <c r="K1120" s="2419"/>
      <c r="L1120" s="2419"/>
      <c r="M1120" s="2419"/>
      <c r="N1120" s="2419"/>
      <c r="O1120" s="2419"/>
      <c r="P1120" s="2419"/>
      <c r="Q1120" s="2419"/>
    </row>
    <row r="1121" spans="1:17" ht="15.75" customHeight="1">
      <c r="A1121" s="2835"/>
      <c r="B1121" s="2837" t="s">
        <v>4962</v>
      </c>
      <c r="C1121" s="2837"/>
      <c r="D1121" s="2837"/>
      <c r="E1121" s="2837"/>
      <c r="F1121" s="2837"/>
      <c r="G1121" s="2837"/>
      <c r="H1121" s="2837"/>
      <c r="I1121" s="2837"/>
      <c r="J1121" s="2837"/>
      <c r="K1121" s="2837"/>
      <c r="L1121" s="2837"/>
      <c r="M1121" s="2837"/>
      <c r="N1121" s="2837"/>
      <c r="O1121" s="2837"/>
      <c r="P1121" s="2419" t="str">
        <f>'Part VII-Threshold Criteria'!P239</f>
        <v>Agree</v>
      </c>
      <c r="Q1121" s="2844"/>
    </row>
    <row r="1122" spans="1:17" ht="14.5">
      <c r="A1122" s="2414"/>
      <c r="B1122" s="2836" t="s">
        <v>3157</v>
      </c>
      <c r="C1122" s="2414"/>
      <c r="D1122" s="2836"/>
      <c r="E1122" s="2836"/>
      <c r="F1122" s="2836"/>
      <c r="G1122" s="2836"/>
      <c r="H1122" s="2414"/>
      <c r="I1122" s="2414"/>
      <c r="J1122" s="2414"/>
      <c r="K1122" s="2414"/>
      <c r="L1122" s="2419"/>
      <c r="M1122" s="2419"/>
      <c r="N1122" s="2419"/>
      <c r="O1122" s="2419"/>
      <c r="P1122" s="2419"/>
      <c r="Q1122" s="2419"/>
    </row>
    <row r="1123" spans="1:17" ht="14">
      <c r="A1123" s="2837" t="str">
        <f>'Part VII-Threshold Criteria'!A241</f>
        <v xml:space="preserve">Although this is Threshold Criteria and is not required for the Competitive Review Application, we intend to include Princeton Court in the above set-aside. </v>
      </c>
      <c r="B1123" s="2837"/>
      <c r="C1123" s="2837"/>
      <c r="D1123" s="2837"/>
      <c r="E1123" s="2837"/>
      <c r="F1123" s="2837"/>
      <c r="G1123" s="2837"/>
      <c r="H1123" s="2837"/>
      <c r="I1123" s="2837"/>
      <c r="J1123" s="2837"/>
      <c r="K1123" s="2837"/>
      <c r="L1123" s="2837"/>
      <c r="M1123" s="2837"/>
      <c r="N1123" s="2837"/>
      <c r="O1123" s="2837"/>
      <c r="P1123" s="2837"/>
      <c r="Q1123" s="2837"/>
    </row>
    <row r="1124" spans="1:17" ht="14.5">
      <c r="A1124" s="2414"/>
      <c r="B1124" s="2836" t="s">
        <v>1725</v>
      </c>
      <c r="C1124" s="2836"/>
      <c r="D1124" s="2414"/>
      <c r="E1124" s="2414"/>
      <c r="F1124" s="2414"/>
      <c r="G1124" s="2414"/>
      <c r="H1124" s="2414"/>
      <c r="I1124" s="2414"/>
      <c r="J1124" s="2414"/>
      <c r="K1124" s="2414"/>
      <c r="L1124" s="2414"/>
      <c r="M1124" s="2414"/>
      <c r="N1124" s="2414"/>
      <c r="O1124" s="2414"/>
      <c r="P1124" s="2414"/>
      <c r="Q1124" s="2414"/>
    </row>
    <row r="1125" spans="1:17" ht="14">
      <c r="A1125" s="2414"/>
      <c r="B1125" s="2414"/>
      <c r="C1125" s="2414"/>
      <c r="D1125" s="2414"/>
      <c r="E1125" s="2414"/>
      <c r="F1125" s="2414"/>
      <c r="G1125" s="2414"/>
      <c r="H1125" s="2414"/>
      <c r="I1125" s="2414"/>
      <c r="J1125" s="2414"/>
      <c r="K1125" s="2414"/>
      <c r="L1125" s="2414"/>
      <c r="M1125" s="2414"/>
      <c r="N1125" s="2414"/>
      <c r="O1125" s="2414"/>
      <c r="P1125" s="2414"/>
      <c r="Q1125" s="2414"/>
    </row>
    <row r="1126" spans="1:17" ht="14">
      <c r="A1126" s="2419"/>
      <c r="B1126" s="2414"/>
      <c r="C1126" s="2414"/>
      <c r="D1126" s="2414"/>
      <c r="E1126" s="2414"/>
      <c r="F1126" s="2414"/>
      <c r="G1126" s="2414"/>
      <c r="H1126" s="2414"/>
      <c r="I1126" s="2414"/>
      <c r="J1126" s="2414"/>
      <c r="K1126" s="2414"/>
      <c r="L1126" s="2414"/>
      <c r="M1126" s="2414"/>
      <c r="N1126" s="2414"/>
      <c r="O1126" s="2414"/>
      <c r="P1126" s="2414"/>
      <c r="Q1126" s="2419"/>
    </row>
    <row r="1127" spans="1:17" ht="14">
      <c r="A1127" s="2414"/>
      <c r="B1127" s="2416"/>
      <c r="C1127" s="2415"/>
      <c r="D1127" s="2415"/>
      <c r="E1127" s="2415"/>
      <c r="F1127" s="2415"/>
      <c r="G1127" s="2415"/>
      <c r="H1127" s="2415"/>
      <c r="I1127" s="2415"/>
      <c r="J1127" s="2415"/>
      <c r="K1127" s="2415"/>
      <c r="L1127" s="2415"/>
      <c r="M1127" s="2415"/>
      <c r="N1127" s="2414"/>
      <c r="O1127" s="2414"/>
      <c r="P1127" s="2414"/>
      <c r="Q1127" s="2417"/>
    </row>
    <row r="1128" spans="1:17" ht="14">
      <c r="A1128" s="2834" t="s">
        <v>3288</v>
      </c>
      <c r="B1128" s="2419" t="s">
        <v>2428</v>
      </c>
      <c r="C1128" s="2419"/>
      <c r="D1128" s="2419"/>
      <c r="E1128" s="2415"/>
      <c r="F1128" s="2414"/>
      <c r="G1128" s="2414" t="s">
        <v>654</v>
      </c>
      <c r="H1128" s="2415"/>
      <c r="I1128" s="2415"/>
      <c r="J1128" s="2415"/>
      <c r="K1128" s="2415"/>
      <c r="L1128" s="2415"/>
      <c r="M1128" s="2415"/>
      <c r="N1128" s="2414"/>
      <c r="O1128" s="2835" t="s">
        <v>1726</v>
      </c>
      <c r="P1128" s="2419"/>
      <c r="Q1128" s="2419"/>
    </row>
    <row r="1129" spans="1:17" ht="14">
      <c r="A1129" s="2835"/>
      <c r="B1129" s="2414" t="s">
        <v>2431</v>
      </c>
      <c r="C1129" s="2414"/>
      <c r="D1129" s="2414"/>
      <c r="E1129" s="2414"/>
      <c r="F1129" s="2414"/>
      <c r="G1129" s="2414"/>
      <c r="H1129" s="2414"/>
      <c r="I1129" s="2414"/>
      <c r="J1129" s="2414"/>
      <c r="K1129" s="2414"/>
      <c r="L1129" s="2414"/>
      <c r="M1129" s="2414"/>
      <c r="N1129" s="2414"/>
      <c r="O1129" s="2845"/>
      <c r="P1129" s="2419">
        <f>'Part VII-Threshold Criteria'!P247</f>
        <v>0</v>
      </c>
      <c r="Q1129" s="2419"/>
    </row>
    <row r="1130" spans="1:17" ht="14">
      <c r="A1130" s="2835"/>
      <c r="B1130" s="2414" t="s">
        <v>3059</v>
      </c>
      <c r="C1130" s="2414"/>
      <c r="D1130" s="2414"/>
      <c r="E1130" s="2414"/>
      <c r="F1130" s="2414"/>
      <c r="G1130" s="2414"/>
      <c r="H1130" s="2414"/>
      <c r="I1130" s="2414"/>
      <c r="J1130" s="2414"/>
      <c r="K1130" s="2414"/>
      <c r="L1130" s="2414"/>
      <c r="M1130" s="2414"/>
      <c r="N1130" s="2414"/>
      <c r="O1130" s="2845"/>
      <c r="P1130" s="2419">
        <f>'Part VII-Threshold Criteria'!P248</f>
        <v>0</v>
      </c>
      <c r="Q1130" s="2419"/>
    </row>
    <row r="1131" spans="1:17" ht="14">
      <c r="A1131" s="2835"/>
      <c r="B1131" s="2414" t="s">
        <v>689</v>
      </c>
      <c r="C1131" s="2414"/>
      <c r="D1131" s="2837">
        <f>'Part VII-Threshold Criteria'!D249</f>
        <v>0</v>
      </c>
      <c r="E1131" s="2414"/>
      <c r="F1131" s="2414"/>
      <c r="G1131" s="2414"/>
      <c r="H1131" s="2414"/>
      <c r="I1131" s="2414"/>
      <c r="J1131" s="2414"/>
      <c r="K1131" s="2414"/>
      <c r="L1131" s="2414"/>
      <c r="M1131" s="2414"/>
      <c r="N1131" s="2414"/>
      <c r="O1131" s="2414"/>
      <c r="P1131" s="2414"/>
      <c r="Q1131" s="2414"/>
    </row>
    <row r="1132" spans="1:17" ht="14.5">
      <c r="A1132" s="2414"/>
      <c r="B1132" s="2840" t="s">
        <v>3157</v>
      </c>
      <c r="C1132" s="2414"/>
      <c r="D1132" s="2836"/>
      <c r="E1132" s="2836"/>
      <c r="F1132" s="2836"/>
      <c r="G1132" s="2836"/>
      <c r="H1132" s="2414"/>
      <c r="I1132" s="2414"/>
      <c r="J1132" s="2414"/>
      <c r="K1132" s="2414"/>
      <c r="L1132" s="2419"/>
      <c r="M1132" s="2419"/>
      <c r="N1132" s="2419"/>
      <c r="O1132" s="2419"/>
      <c r="P1132" s="2419"/>
      <c r="Q1132" s="2419"/>
    </row>
    <row r="1133" spans="1:17" ht="14">
      <c r="A1133" s="2837" t="str">
        <f>'Part VII-Threshold Criteria'!A251</f>
        <v xml:space="preserve">N/A for Competitive Review Applications </v>
      </c>
      <c r="B1133" s="2837"/>
      <c r="C1133" s="2837"/>
      <c r="D1133" s="2837"/>
      <c r="E1133" s="2837"/>
      <c r="F1133" s="2837"/>
      <c r="G1133" s="2837"/>
      <c r="H1133" s="2837"/>
      <c r="I1133" s="2837"/>
      <c r="J1133" s="2837"/>
      <c r="K1133" s="2837"/>
      <c r="L1133" s="2837"/>
      <c r="M1133" s="2837"/>
      <c r="N1133" s="2837"/>
      <c r="O1133" s="2837"/>
      <c r="P1133" s="2837"/>
      <c r="Q1133" s="2837"/>
    </row>
    <row r="1134" spans="1:17" ht="14.5">
      <c r="A1134" s="2414"/>
      <c r="B1134" s="2836" t="s">
        <v>1725</v>
      </c>
      <c r="C1134" s="2836"/>
      <c r="D1134" s="2414"/>
      <c r="E1134" s="2414"/>
      <c r="F1134" s="2414"/>
      <c r="G1134" s="2414"/>
      <c r="H1134" s="2414"/>
      <c r="I1134" s="2414"/>
      <c r="J1134" s="2414"/>
      <c r="K1134" s="2414"/>
      <c r="L1134" s="2414"/>
      <c r="M1134" s="2414"/>
      <c r="N1134" s="2414"/>
      <c r="O1134" s="2414"/>
      <c r="P1134" s="2414"/>
      <c r="Q1134" s="2414"/>
    </row>
    <row r="1135" spans="1:17" ht="14">
      <c r="A1135" s="2414"/>
      <c r="B1135" s="2414"/>
      <c r="C1135" s="2414"/>
      <c r="D1135" s="2414"/>
      <c r="E1135" s="2414"/>
      <c r="F1135" s="2414"/>
      <c r="G1135" s="2414"/>
      <c r="H1135" s="2414"/>
      <c r="I1135" s="2414"/>
      <c r="J1135" s="2414"/>
      <c r="K1135" s="2414"/>
      <c r="L1135" s="2414"/>
      <c r="M1135" s="2414"/>
      <c r="N1135" s="2414"/>
      <c r="O1135" s="2414"/>
      <c r="P1135" s="2414"/>
      <c r="Q1135" s="2414"/>
    </row>
    <row r="1136" spans="1:17" ht="14">
      <c r="A1136" s="2419"/>
      <c r="B1136" s="2414"/>
      <c r="C1136" s="2414"/>
      <c r="D1136" s="2414"/>
      <c r="E1136" s="2414"/>
      <c r="F1136" s="2414"/>
      <c r="G1136" s="2414"/>
      <c r="H1136" s="2414"/>
      <c r="I1136" s="2414"/>
      <c r="J1136" s="2414"/>
      <c r="K1136" s="2414"/>
      <c r="L1136" s="2414"/>
      <c r="M1136" s="2414"/>
      <c r="N1136" s="2414"/>
      <c r="O1136" s="2414"/>
      <c r="P1136" s="2414"/>
      <c r="Q1136" s="2419"/>
    </row>
    <row r="1137" spans="1:17" ht="14">
      <c r="A1137" s="2414"/>
      <c r="B1137" s="2416"/>
      <c r="C1137" s="2415"/>
      <c r="D1137" s="2415"/>
      <c r="E1137" s="2415"/>
      <c r="F1137" s="2415"/>
      <c r="G1137" s="2415"/>
      <c r="H1137" s="2415"/>
      <c r="I1137" s="2415"/>
      <c r="J1137" s="2415"/>
      <c r="K1137" s="2415"/>
      <c r="L1137" s="2415"/>
      <c r="M1137" s="2415"/>
      <c r="N1137" s="2415"/>
      <c r="O1137" s="2415"/>
      <c r="P1137" s="2415"/>
      <c r="Q1137" s="2417"/>
    </row>
    <row r="1138" spans="1:17" ht="14">
      <c r="A1138" s="2834" t="s">
        <v>3289</v>
      </c>
      <c r="B1138" s="2419" t="s">
        <v>3812</v>
      </c>
      <c r="C1138" s="2419"/>
      <c r="D1138" s="2419"/>
      <c r="E1138" s="2419"/>
      <c r="F1138" s="2419"/>
      <c r="G1138" s="2419"/>
      <c r="H1138" s="2415"/>
      <c r="I1138" s="2415"/>
      <c r="J1138" s="2415"/>
      <c r="K1138" s="2415"/>
      <c r="L1138" s="2415"/>
      <c r="M1138" s="2415"/>
      <c r="N1138" s="2414"/>
      <c r="O1138" s="2835" t="s">
        <v>1726</v>
      </c>
      <c r="P1138" s="2419"/>
      <c r="Q1138" s="2419"/>
    </row>
    <row r="1139" spans="1:17" ht="14">
      <c r="A1139" s="2414"/>
      <c r="B1139" s="2414" t="s">
        <v>4144</v>
      </c>
      <c r="C1139" s="2414"/>
      <c r="D1139" s="2414"/>
      <c r="E1139" s="2414"/>
      <c r="F1139" s="2414"/>
      <c r="G1139" s="2414"/>
      <c r="H1139" s="2414"/>
      <c r="I1139" s="2414"/>
      <c r="J1139" s="2414"/>
      <c r="K1139" s="2414"/>
      <c r="L1139" s="2414"/>
      <c r="M1139" s="2414"/>
      <c r="N1139" s="2414"/>
      <c r="O1139" s="2845"/>
      <c r="P1139" s="2419">
        <f>'Part VII-Threshold Criteria'!P257</f>
        <v>0</v>
      </c>
      <c r="Q1139" s="2419"/>
    </row>
    <row r="1140" spans="1:17" ht="14">
      <c r="A1140" s="2835"/>
      <c r="B1140" s="2414" t="s">
        <v>700</v>
      </c>
      <c r="C1140" s="2414"/>
      <c r="D1140" s="2414"/>
      <c r="E1140" s="2414"/>
      <c r="F1140" s="2414"/>
      <c r="G1140" s="2414"/>
      <c r="H1140" s="2414"/>
      <c r="I1140" s="2414"/>
      <c r="J1140" s="2414"/>
      <c r="K1140" s="2414"/>
      <c r="L1140" s="2414"/>
      <c r="M1140" s="2414"/>
      <c r="N1140" s="2414"/>
      <c r="O1140" s="2414"/>
      <c r="P1140" s="2419">
        <f>'Part VII-Threshold Criteria'!P258</f>
        <v>0</v>
      </c>
      <c r="Q1140" s="2419"/>
    </row>
    <row r="1141" spans="1:17" ht="14">
      <c r="A1141" s="2414"/>
      <c r="B1141" s="2414" t="s">
        <v>4790</v>
      </c>
      <c r="C1141" s="2414"/>
      <c r="D1141" s="2414"/>
      <c r="E1141" s="2414"/>
      <c r="F1141" s="2414"/>
      <c r="G1141" s="2414"/>
      <c r="H1141" s="2414"/>
      <c r="I1141" s="2414"/>
      <c r="J1141" s="2414"/>
      <c r="K1141" s="2414"/>
      <c r="L1141" s="2414"/>
      <c r="M1141" s="2414"/>
      <c r="N1141" s="2414"/>
      <c r="O1141" s="2414"/>
      <c r="P1141" s="2419">
        <f>'Part VII-Threshold Criteria'!P259</f>
        <v>0</v>
      </c>
      <c r="Q1141" s="2419"/>
    </row>
    <row r="1142" spans="1:17" ht="15" customHeight="1">
      <c r="A1142" s="2835"/>
      <c r="B1142" s="2414" t="s">
        <v>5060</v>
      </c>
      <c r="C1142" s="2414"/>
      <c r="D1142" s="2414"/>
      <c r="E1142" s="2414"/>
      <c r="F1142" s="2414"/>
      <c r="G1142" s="2414"/>
      <c r="H1142" s="2414"/>
      <c r="I1142" s="2414"/>
      <c r="J1142" s="2414"/>
      <c r="K1142" s="2414"/>
      <c r="L1142" s="2414"/>
      <c r="M1142" s="2414"/>
      <c r="N1142" s="2414"/>
      <c r="O1142" s="2414"/>
      <c r="P1142" s="2419">
        <f>'Part VII-Threshold Criteria'!P260</f>
        <v>0</v>
      </c>
      <c r="Q1142" s="2419"/>
    </row>
    <row r="1143" spans="1:17" ht="14.5">
      <c r="A1143" s="2414"/>
      <c r="B1143" s="2836" t="s">
        <v>3157</v>
      </c>
      <c r="C1143" s="2414"/>
      <c r="D1143" s="2836"/>
      <c r="E1143" s="2836"/>
      <c r="F1143" s="2836"/>
      <c r="G1143" s="2836"/>
      <c r="H1143" s="2414"/>
      <c r="I1143" s="2414"/>
      <c r="J1143" s="2414"/>
      <c r="K1143" s="2414"/>
      <c r="L1143" s="2414"/>
      <c r="M1143" s="2414"/>
      <c r="N1143" s="2414"/>
      <c r="O1143" s="2414"/>
      <c r="P1143" s="2414"/>
      <c r="Q1143" s="2414"/>
    </row>
    <row r="1144" spans="1:17" ht="14">
      <c r="A1144" s="2837" t="str">
        <f>'Part VII-Threshold Criteria'!A262</f>
        <v xml:space="preserve">N/A for Competitive Review Applications </v>
      </c>
      <c r="B1144" s="2837"/>
      <c r="C1144" s="2837"/>
      <c r="D1144" s="2837"/>
      <c r="E1144" s="2837"/>
      <c r="F1144" s="2837"/>
      <c r="G1144" s="2837"/>
      <c r="H1144" s="2837"/>
      <c r="I1144" s="2837"/>
      <c r="J1144" s="2837"/>
      <c r="K1144" s="2837"/>
      <c r="L1144" s="2837"/>
      <c r="M1144" s="2837"/>
      <c r="N1144" s="2837"/>
      <c r="O1144" s="2837"/>
      <c r="P1144" s="2837"/>
      <c r="Q1144" s="2837"/>
    </row>
    <row r="1145" spans="1:17" ht="14.5">
      <c r="A1145" s="2414"/>
      <c r="B1145" s="2836" t="s">
        <v>1725</v>
      </c>
      <c r="C1145" s="2836"/>
      <c r="D1145" s="2414"/>
      <c r="E1145" s="2414"/>
      <c r="F1145" s="2414"/>
      <c r="G1145" s="2414"/>
      <c r="H1145" s="2414"/>
      <c r="I1145" s="2414"/>
      <c r="J1145" s="2414"/>
      <c r="K1145" s="2414"/>
      <c r="L1145" s="2414"/>
      <c r="M1145" s="2414"/>
      <c r="N1145" s="2414"/>
      <c r="O1145" s="2414"/>
      <c r="P1145" s="2414"/>
      <c r="Q1145" s="2414"/>
    </row>
    <row r="1146" spans="1:17" ht="14">
      <c r="A1146" s="2414"/>
      <c r="B1146" s="2414"/>
      <c r="C1146" s="2414"/>
      <c r="D1146" s="2414"/>
      <c r="E1146" s="2414"/>
      <c r="F1146" s="2414"/>
      <c r="G1146" s="2414"/>
      <c r="H1146" s="2414"/>
      <c r="I1146" s="2414"/>
      <c r="J1146" s="2414"/>
      <c r="K1146" s="2414"/>
      <c r="L1146" s="2414"/>
      <c r="M1146" s="2414"/>
      <c r="N1146" s="2414"/>
      <c r="O1146" s="2414"/>
      <c r="P1146" s="2414"/>
      <c r="Q1146" s="2414"/>
    </row>
    <row r="1147" spans="1:17" ht="14">
      <c r="A1147" s="2419"/>
      <c r="B1147" s="2414"/>
      <c r="C1147" s="2414"/>
      <c r="D1147" s="2414"/>
      <c r="E1147" s="2414"/>
      <c r="F1147" s="2414"/>
      <c r="G1147" s="2414"/>
      <c r="H1147" s="2414"/>
      <c r="I1147" s="2414"/>
      <c r="J1147" s="2414"/>
      <c r="K1147" s="2414"/>
      <c r="L1147" s="2414"/>
      <c r="M1147" s="2414"/>
      <c r="N1147" s="2414"/>
      <c r="O1147" s="2414"/>
      <c r="P1147" s="2414"/>
      <c r="Q1147" s="2419"/>
    </row>
    <row r="1148" spans="1:17" ht="14">
      <c r="A1148" s="2414"/>
      <c r="B1148" s="2416"/>
      <c r="C1148" s="2415"/>
      <c r="D1148" s="2415"/>
      <c r="E1148" s="2415"/>
      <c r="F1148" s="2415"/>
      <c r="G1148" s="2415"/>
      <c r="H1148" s="2415"/>
      <c r="I1148" s="2415"/>
      <c r="J1148" s="2415"/>
      <c r="K1148" s="2415"/>
      <c r="L1148" s="2415"/>
      <c r="M1148" s="2415"/>
      <c r="N1148" s="2414"/>
      <c r="O1148" s="2414"/>
      <c r="P1148" s="2414"/>
      <c r="Q1148" s="2417"/>
    </row>
    <row r="1149" spans="1:17" ht="14">
      <c r="A1149" s="2834" t="s">
        <v>3290</v>
      </c>
      <c r="B1149" s="2419" t="s">
        <v>2502</v>
      </c>
      <c r="C1149" s="2419"/>
      <c r="D1149" s="2419"/>
      <c r="E1149" s="2415"/>
      <c r="F1149" s="2415"/>
      <c r="G1149" s="2415"/>
      <c r="H1149" s="2415"/>
      <c r="I1149" s="2414"/>
      <c r="J1149" s="2414"/>
      <c r="K1149" s="2414"/>
      <c r="L1149" s="2414"/>
      <c r="M1149" s="2414"/>
      <c r="N1149" s="2414"/>
      <c r="O1149" s="2835" t="s">
        <v>1726</v>
      </c>
      <c r="P1149" s="2419"/>
      <c r="Q1149" s="2419"/>
    </row>
    <row r="1150" spans="1:17" ht="15" customHeight="1">
      <c r="A1150" s="2414"/>
      <c r="B1150" s="2414" t="s">
        <v>5059</v>
      </c>
      <c r="C1150" s="2414"/>
      <c r="D1150" s="2414"/>
      <c r="E1150" s="2414"/>
      <c r="F1150" s="2414"/>
      <c r="G1150" s="2414"/>
      <c r="H1150" s="2414"/>
      <c r="I1150" s="2414"/>
      <c r="J1150" s="2414"/>
      <c r="K1150" s="2414"/>
      <c r="L1150" s="2414"/>
      <c r="M1150" s="2414"/>
      <c r="N1150" s="2414"/>
      <c r="O1150" s="2419"/>
      <c r="P1150" s="2419">
        <f>'Part VII-Threshold Criteria'!P268</f>
        <v>0</v>
      </c>
      <c r="Q1150" s="2419"/>
    </row>
    <row r="1151" spans="1:17" ht="15" customHeight="1">
      <c r="A1151" s="2557"/>
      <c r="B1151" s="2837" t="s">
        <v>4676</v>
      </c>
      <c r="C1151" s="2837"/>
      <c r="D1151" s="2837"/>
      <c r="E1151" s="2837"/>
      <c r="F1151" s="2837"/>
      <c r="G1151" s="2837"/>
      <c r="H1151" s="2837"/>
      <c r="I1151" s="2837"/>
      <c r="J1151" s="2837"/>
      <c r="K1151" s="2837"/>
      <c r="L1151" s="2837"/>
      <c r="M1151" s="2837"/>
      <c r="N1151" s="2837"/>
      <c r="O1151" s="2837"/>
      <c r="P1151" s="2419">
        <f>'Part VII-Threshold Criteria'!P269</f>
        <v>0</v>
      </c>
      <c r="Q1151" s="2419"/>
    </row>
    <row r="1152" spans="1:17" ht="14.5">
      <c r="A1152" s="2414"/>
      <c r="B1152" s="2836" t="s">
        <v>3157</v>
      </c>
      <c r="C1152" s="2414"/>
      <c r="D1152" s="2836"/>
      <c r="E1152" s="2836"/>
      <c r="F1152" s="2836"/>
      <c r="G1152" s="2836"/>
      <c r="H1152" s="2414"/>
      <c r="I1152" s="2414"/>
      <c r="J1152" s="2414"/>
      <c r="K1152" s="2414"/>
      <c r="L1152" s="2419"/>
      <c r="M1152" s="2419"/>
      <c r="N1152" s="2419"/>
      <c r="O1152" s="2419"/>
      <c r="P1152" s="2419"/>
      <c r="Q1152" s="2419"/>
    </row>
    <row r="1153" spans="1:17" ht="14">
      <c r="A1153" s="2837" t="str">
        <f>'Part VII-Threshold Criteria'!A271</f>
        <v xml:space="preserve">N/A for Competitive Review Applications </v>
      </c>
      <c r="B1153" s="2837"/>
      <c r="C1153" s="2837"/>
      <c r="D1153" s="2837"/>
      <c r="E1153" s="2837"/>
      <c r="F1153" s="2837"/>
      <c r="G1153" s="2837"/>
      <c r="H1153" s="2837"/>
      <c r="I1153" s="2837"/>
      <c r="J1153" s="2837"/>
      <c r="K1153" s="2837"/>
      <c r="L1153" s="2837"/>
      <c r="M1153" s="2837"/>
      <c r="N1153" s="2837"/>
      <c r="O1153" s="2837"/>
      <c r="P1153" s="2837"/>
      <c r="Q1153" s="2837"/>
    </row>
    <row r="1154" spans="1:17" ht="14.5">
      <c r="A1154" s="2414"/>
      <c r="B1154" s="2836" t="s">
        <v>1725</v>
      </c>
      <c r="C1154" s="2836"/>
      <c r="D1154" s="2414"/>
      <c r="E1154" s="2414"/>
      <c r="F1154" s="2414"/>
      <c r="G1154" s="2414"/>
      <c r="H1154" s="2414"/>
      <c r="I1154" s="2414"/>
      <c r="J1154" s="2414"/>
      <c r="K1154" s="2414"/>
      <c r="L1154" s="2414"/>
      <c r="M1154" s="2414"/>
      <c r="N1154" s="2414"/>
      <c r="O1154" s="2414"/>
      <c r="P1154" s="2414"/>
      <c r="Q1154" s="2414"/>
    </row>
    <row r="1155" spans="1:17" ht="14">
      <c r="A1155" s="2414"/>
      <c r="B1155" s="2414"/>
      <c r="C1155" s="2414"/>
      <c r="D1155" s="2414"/>
      <c r="E1155" s="2414"/>
      <c r="F1155" s="2414"/>
      <c r="G1155" s="2414"/>
      <c r="H1155" s="2414"/>
      <c r="I1155" s="2414"/>
      <c r="J1155" s="2414"/>
      <c r="K1155" s="2414"/>
      <c r="L1155" s="2414"/>
      <c r="M1155" s="2414"/>
      <c r="N1155" s="2414"/>
      <c r="O1155" s="2414"/>
      <c r="P1155" s="2414"/>
      <c r="Q1155" s="2414"/>
    </row>
    <row r="1156" spans="1:17" ht="14">
      <c r="A1156" s="2419"/>
      <c r="B1156" s="2414"/>
      <c r="C1156" s="2414"/>
      <c r="D1156" s="2414"/>
      <c r="E1156" s="2414"/>
      <c r="F1156" s="2414"/>
      <c r="G1156" s="2414"/>
      <c r="H1156" s="2414"/>
      <c r="I1156" s="2414"/>
      <c r="J1156" s="2414"/>
      <c r="K1156" s="2414"/>
      <c r="L1156" s="2414"/>
      <c r="M1156" s="2414"/>
      <c r="N1156" s="2414"/>
      <c r="O1156" s="2414"/>
      <c r="P1156" s="2414"/>
      <c r="Q1156" s="2419"/>
    </row>
    <row r="1157" spans="1:17" ht="14">
      <c r="A1157" s="2417"/>
      <c r="B1157" s="2416"/>
      <c r="C1157" s="2415"/>
      <c r="D1157" s="2415"/>
      <c r="E1157" s="2415"/>
      <c r="F1157" s="2415"/>
      <c r="G1157" s="2415"/>
      <c r="H1157" s="2415"/>
      <c r="I1157" s="2415"/>
      <c r="J1157" s="2415"/>
      <c r="K1157" s="2415"/>
      <c r="L1157" s="2415"/>
      <c r="M1157" s="2415"/>
      <c r="N1157" s="2414"/>
      <c r="O1157" s="2414"/>
      <c r="P1157" s="2414"/>
      <c r="Q1157" s="2417"/>
    </row>
    <row r="1158" spans="1:17" ht="14">
      <c r="A1158" s="2834" t="s">
        <v>3291</v>
      </c>
      <c r="B1158" s="2834" t="s">
        <v>4791</v>
      </c>
      <c r="C1158" s="2415"/>
      <c r="D1158" s="2415"/>
      <c r="E1158" s="2415"/>
      <c r="F1158" s="2415"/>
      <c r="G1158" s="2415"/>
      <c r="H1158" s="2415"/>
      <c r="I1158" s="2415"/>
      <c r="J1158" s="2415"/>
      <c r="K1158" s="2415"/>
      <c r="L1158" s="2415"/>
      <c r="M1158" s="2415"/>
      <c r="N1158" s="2414"/>
      <c r="O1158" s="2835" t="s">
        <v>1726</v>
      </c>
      <c r="P1158" s="2419"/>
      <c r="Q1158" s="2419"/>
    </row>
    <row r="1159" spans="1:17" ht="14">
      <c r="A1159" s="2557" t="s">
        <v>1836</v>
      </c>
      <c r="B1159" s="2834" t="s">
        <v>4792</v>
      </c>
      <c r="C1159" s="2834"/>
      <c r="D1159" s="2415"/>
      <c r="E1159" s="2415"/>
      <c r="F1159" s="2415"/>
      <c r="G1159" s="2415"/>
      <c r="H1159" s="2415"/>
      <c r="I1159" s="2415"/>
      <c r="J1159" s="2415"/>
      <c r="K1159" s="2415"/>
      <c r="L1159" s="2415"/>
      <c r="M1159" s="2415"/>
      <c r="N1159" s="2414"/>
      <c r="O1159" s="2414"/>
      <c r="P1159" s="2419">
        <f>'Part VII-Threshold Criteria'!P277</f>
        <v>0</v>
      </c>
      <c r="Q1159" s="2844"/>
    </row>
    <row r="1160" spans="1:17" ht="14.25" customHeight="1">
      <c r="A1160" s="2415"/>
      <c r="B1160" s="2837" t="s">
        <v>4963</v>
      </c>
      <c r="C1160" s="2837"/>
      <c r="D1160" s="2837"/>
      <c r="E1160" s="2837"/>
      <c r="F1160" s="2837"/>
      <c r="G1160" s="2837"/>
      <c r="H1160" s="2837"/>
      <c r="I1160" s="2837"/>
      <c r="J1160" s="2837"/>
      <c r="K1160" s="2837"/>
      <c r="L1160" s="2837"/>
      <c r="M1160" s="2837"/>
      <c r="N1160" s="2837"/>
      <c r="O1160" s="2837"/>
      <c r="P1160" s="2419">
        <f>'Part VII-Threshold Criteria'!P278</f>
        <v>0</v>
      </c>
      <c r="Q1160" s="2844"/>
    </row>
    <row r="1161" spans="1:17" ht="14">
      <c r="A1161" s="2557" t="s">
        <v>1838</v>
      </c>
      <c r="B1161" s="2419" t="s">
        <v>4793</v>
      </c>
      <c r="C1161" s="2414"/>
      <c r="D1161" s="2414"/>
      <c r="E1161" s="2414"/>
      <c r="F1161" s="2414"/>
      <c r="G1161" s="2414"/>
      <c r="H1161" s="2414"/>
      <c r="I1161" s="2414"/>
      <c r="J1161" s="2414"/>
      <c r="K1161" s="2414"/>
      <c r="L1161" s="2414"/>
      <c r="M1161" s="2414"/>
      <c r="N1161" s="2414"/>
      <c r="O1161" s="2414"/>
      <c r="P1161" s="2419">
        <f>'Part VII-Threshold Criteria'!P279</f>
        <v>0</v>
      </c>
      <c r="Q1161" s="2844"/>
    </row>
    <row r="1162" spans="1:17" ht="14.25" customHeight="1">
      <c r="A1162" s="2415"/>
      <c r="B1162" s="2837" t="s">
        <v>4969</v>
      </c>
      <c r="C1162" s="2837"/>
      <c r="D1162" s="2837"/>
      <c r="E1162" s="2837"/>
      <c r="F1162" s="2837"/>
      <c r="G1162" s="2837"/>
      <c r="H1162" s="2837"/>
      <c r="I1162" s="2837"/>
      <c r="J1162" s="2837"/>
      <c r="K1162" s="2837"/>
      <c r="L1162" s="2837"/>
      <c r="M1162" s="2837"/>
      <c r="N1162" s="2837"/>
      <c r="O1162" s="2837"/>
      <c r="P1162" s="2419">
        <f>'Part VII-Threshold Criteria'!P280</f>
        <v>0</v>
      </c>
      <c r="Q1162" s="2844"/>
    </row>
    <row r="1163" spans="1:17" ht="14.5">
      <c r="A1163" s="2834"/>
      <c r="B1163" s="2836" t="s">
        <v>3157</v>
      </c>
      <c r="C1163" s="2414"/>
      <c r="D1163" s="2836"/>
      <c r="E1163" s="2836"/>
      <c r="F1163" s="2836"/>
      <c r="G1163" s="2836"/>
      <c r="H1163" s="2414"/>
      <c r="I1163" s="2414"/>
      <c r="J1163" s="2414"/>
      <c r="K1163" s="2414"/>
      <c r="L1163" s="2419"/>
      <c r="M1163" s="2419"/>
      <c r="N1163" s="2419"/>
      <c r="O1163" s="2419"/>
      <c r="P1163" s="2419"/>
      <c r="Q1163" s="2419"/>
    </row>
    <row r="1164" spans="1:17" ht="14">
      <c r="A1164" s="2837" t="str">
        <f>'Part VII-Threshold Criteria'!A282</f>
        <v xml:space="preserve">N/A for Competitive Review Applications </v>
      </c>
      <c r="B1164" s="2837"/>
      <c r="C1164" s="2837"/>
      <c r="D1164" s="2837"/>
      <c r="E1164" s="2837"/>
      <c r="F1164" s="2837"/>
      <c r="G1164" s="2837"/>
      <c r="H1164" s="2837"/>
      <c r="I1164" s="2837"/>
      <c r="J1164" s="2837"/>
      <c r="K1164" s="2837"/>
      <c r="L1164" s="2837"/>
      <c r="M1164" s="2837"/>
      <c r="N1164" s="2837"/>
      <c r="O1164" s="2837"/>
      <c r="P1164" s="2837"/>
      <c r="Q1164" s="2837"/>
    </row>
    <row r="1165" spans="1:17" ht="14.5">
      <c r="A1165" s="2414"/>
      <c r="B1165" s="2836" t="s">
        <v>1725</v>
      </c>
      <c r="C1165" s="2836"/>
      <c r="D1165" s="2414"/>
      <c r="E1165" s="2414"/>
      <c r="F1165" s="2414"/>
      <c r="G1165" s="2414"/>
      <c r="H1165" s="2414"/>
      <c r="I1165" s="2414"/>
      <c r="J1165" s="2414"/>
      <c r="K1165" s="2414"/>
      <c r="L1165" s="2414"/>
      <c r="M1165" s="2414"/>
      <c r="N1165" s="2414"/>
      <c r="O1165" s="2414"/>
      <c r="P1165" s="2414"/>
      <c r="Q1165" s="2414"/>
    </row>
    <row r="1166" spans="1:17" ht="14">
      <c r="A1166" s="2414"/>
      <c r="B1166" s="2414"/>
      <c r="C1166" s="2414"/>
      <c r="D1166" s="2414"/>
      <c r="E1166" s="2414"/>
      <c r="F1166" s="2414"/>
      <c r="G1166" s="2414"/>
      <c r="H1166" s="2414"/>
      <c r="I1166" s="2414"/>
      <c r="J1166" s="2414"/>
      <c r="K1166" s="2414"/>
      <c r="L1166" s="2414"/>
      <c r="M1166" s="2414"/>
      <c r="N1166" s="2414"/>
      <c r="O1166" s="2414"/>
      <c r="P1166" s="2414"/>
      <c r="Q1166" s="2414"/>
    </row>
    <row r="1167" spans="1:17" ht="14">
      <c r="A1167" s="2419"/>
      <c r="B1167" s="2414"/>
      <c r="C1167" s="2414"/>
      <c r="D1167" s="2414"/>
      <c r="E1167" s="2414"/>
      <c r="F1167" s="2414"/>
      <c r="G1167" s="2414"/>
      <c r="H1167" s="2414"/>
      <c r="I1167" s="2414"/>
      <c r="J1167" s="2414"/>
      <c r="K1167" s="2414"/>
      <c r="L1167" s="2414"/>
      <c r="M1167" s="2414"/>
      <c r="N1167" s="2414"/>
      <c r="O1167" s="2414"/>
      <c r="P1167" s="2414"/>
      <c r="Q1167" s="2419"/>
    </row>
    <row r="1168" spans="1:17" ht="14">
      <c r="A1168" s="2834"/>
      <c r="B1168" s="2416"/>
      <c r="C1168" s="2415"/>
      <c r="D1168" s="2415"/>
      <c r="E1168" s="2415"/>
      <c r="F1168" s="2415"/>
      <c r="G1168" s="2415"/>
      <c r="H1168" s="2415"/>
      <c r="I1168" s="2415"/>
      <c r="J1168" s="2415"/>
      <c r="K1168" s="2415"/>
      <c r="L1168" s="2415"/>
      <c r="M1168" s="2415"/>
      <c r="N1168" s="2414"/>
      <c r="O1168" s="2414"/>
      <c r="P1168" s="2414"/>
      <c r="Q1168" s="2417"/>
    </row>
    <row r="1169" spans="1:17" ht="14">
      <c r="A1169" s="2834" t="s">
        <v>3292</v>
      </c>
      <c r="B1169" s="2834" t="s">
        <v>4794</v>
      </c>
      <c r="C1169" s="2415"/>
      <c r="D1169" s="2415"/>
      <c r="E1169" s="2415"/>
      <c r="F1169" s="2415"/>
      <c r="G1169" s="2415"/>
      <c r="H1169" s="2415"/>
      <c r="I1169" s="2415"/>
      <c r="J1169" s="2415"/>
      <c r="K1169" s="2415"/>
      <c r="L1169" s="2415"/>
      <c r="M1169" s="2415"/>
      <c r="N1169" s="2414"/>
      <c r="O1169" s="2835" t="s">
        <v>1726</v>
      </c>
      <c r="P1169" s="2419"/>
      <c r="Q1169" s="2419"/>
    </row>
    <row r="1170" spans="1:17" ht="15" customHeight="1">
      <c r="A1170" s="2834"/>
      <c r="B1170" s="2414" t="s">
        <v>5061</v>
      </c>
      <c r="C1170" s="2414"/>
      <c r="D1170" s="2414"/>
      <c r="E1170" s="2414"/>
      <c r="F1170" s="2414"/>
      <c r="G1170" s="2414"/>
      <c r="H1170" s="2414"/>
      <c r="I1170" s="2414"/>
      <c r="J1170" s="2414"/>
      <c r="K1170" s="2414"/>
      <c r="L1170" s="2414"/>
      <c r="M1170" s="2414"/>
      <c r="N1170" s="2414"/>
      <c r="O1170" s="2414"/>
      <c r="P1170" s="2419">
        <f>'Part VII-Threshold Criteria'!P288</f>
        <v>0</v>
      </c>
      <c r="Q1170" s="2419"/>
    </row>
    <row r="1171" spans="1:17" ht="14.5">
      <c r="A1171" s="2834"/>
      <c r="B1171" s="2836" t="s">
        <v>3157</v>
      </c>
      <c r="C1171" s="2414"/>
      <c r="D1171" s="2836"/>
      <c r="E1171" s="2836"/>
      <c r="F1171" s="2836"/>
      <c r="G1171" s="2836"/>
      <c r="H1171" s="2414"/>
      <c r="I1171" s="2414"/>
      <c r="J1171" s="2414"/>
      <c r="K1171" s="2414"/>
      <c r="L1171" s="2419"/>
      <c r="M1171" s="2419"/>
      <c r="N1171" s="2419"/>
      <c r="O1171" s="2419"/>
      <c r="P1171" s="2419"/>
      <c r="Q1171" s="2419"/>
    </row>
    <row r="1172" spans="1:17" ht="14">
      <c r="A1172" s="2837" t="str">
        <f>'Part VII-Threshold Criteria'!A290</f>
        <v xml:space="preserve">N/A for Competitive Review Applications </v>
      </c>
      <c r="B1172" s="2837"/>
      <c r="C1172" s="2837"/>
      <c r="D1172" s="2837"/>
      <c r="E1172" s="2837"/>
      <c r="F1172" s="2837"/>
      <c r="G1172" s="2837"/>
      <c r="H1172" s="2837"/>
      <c r="I1172" s="2837"/>
      <c r="J1172" s="2837"/>
      <c r="K1172" s="2837"/>
      <c r="L1172" s="2837"/>
      <c r="M1172" s="2837"/>
      <c r="N1172" s="2837"/>
      <c r="O1172" s="2837"/>
      <c r="P1172" s="2837"/>
      <c r="Q1172" s="2837"/>
    </row>
    <row r="1173" spans="1:17" ht="14.5">
      <c r="A1173" s="2414"/>
      <c r="B1173" s="2836" t="s">
        <v>1725</v>
      </c>
      <c r="C1173" s="2836"/>
      <c r="D1173" s="2414"/>
      <c r="E1173" s="2414"/>
      <c r="F1173" s="2414"/>
      <c r="G1173" s="2414"/>
      <c r="H1173" s="2414"/>
      <c r="I1173" s="2414"/>
      <c r="J1173" s="2414"/>
      <c r="K1173" s="2414"/>
      <c r="L1173" s="2414"/>
      <c r="M1173" s="2414"/>
      <c r="N1173" s="2414"/>
      <c r="O1173" s="2414"/>
      <c r="P1173" s="2414"/>
      <c r="Q1173" s="2414"/>
    </row>
    <row r="1174" spans="1:17" ht="14">
      <c r="A1174" s="2414"/>
      <c r="B1174" s="2414"/>
      <c r="C1174" s="2414"/>
      <c r="D1174" s="2414"/>
      <c r="E1174" s="2414"/>
      <c r="F1174" s="2414"/>
      <c r="G1174" s="2414"/>
      <c r="H1174" s="2414"/>
      <c r="I1174" s="2414"/>
      <c r="J1174" s="2414"/>
      <c r="K1174" s="2414"/>
      <c r="L1174" s="2414"/>
      <c r="M1174" s="2414"/>
      <c r="N1174" s="2414"/>
      <c r="O1174" s="2414"/>
      <c r="P1174" s="2414"/>
      <c r="Q1174" s="2414"/>
    </row>
    <row r="1175" spans="1:17" ht="14">
      <c r="A1175" s="2419"/>
      <c r="B1175" s="2414"/>
      <c r="C1175" s="2414"/>
      <c r="D1175" s="2414"/>
      <c r="E1175" s="2414"/>
      <c r="F1175" s="2414"/>
      <c r="G1175" s="2414"/>
      <c r="H1175" s="2414"/>
      <c r="I1175" s="2414"/>
      <c r="J1175" s="2414"/>
      <c r="K1175" s="2414"/>
      <c r="L1175" s="2414"/>
      <c r="M1175" s="2414"/>
      <c r="N1175" s="2414"/>
      <c r="O1175" s="2414"/>
      <c r="P1175" s="2414"/>
      <c r="Q1175" s="2419"/>
    </row>
    <row r="1176" spans="1:17" ht="14">
      <c r="A1176" s="2834"/>
      <c r="B1176" s="2416"/>
      <c r="C1176" s="2415"/>
      <c r="D1176" s="2415"/>
      <c r="E1176" s="2415"/>
      <c r="F1176" s="2415"/>
      <c r="G1176" s="2415"/>
      <c r="H1176" s="2415"/>
      <c r="I1176" s="2415"/>
      <c r="J1176" s="2415"/>
      <c r="K1176" s="2415"/>
      <c r="L1176" s="2415"/>
      <c r="M1176" s="2415"/>
      <c r="N1176" s="2414"/>
      <c r="O1176" s="2414"/>
      <c r="P1176" s="2414"/>
      <c r="Q1176" s="2417"/>
    </row>
    <row r="1177" spans="1:17" ht="14">
      <c r="A1177" s="2834" t="s">
        <v>3293</v>
      </c>
      <c r="B1177" s="2419" t="s">
        <v>4796</v>
      </c>
      <c r="C1177" s="2414"/>
      <c r="D1177" s="2419"/>
      <c r="E1177" s="2415"/>
      <c r="F1177" s="2415"/>
      <c r="G1177" s="2415"/>
      <c r="H1177" s="2415"/>
      <c r="I1177" s="2414"/>
      <c r="J1177" s="2415"/>
      <c r="K1177" s="2415"/>
      <c r="L1177" s="2415"/>
      <c r="M1177" s="2415"/>
      <c r="N1177" s="2414"/>
      <c r="O1177" s="2835" t="s">
        <v>1726</v>
      </c>
      <c r="P1177" s="2419"/>
      <c r="Q1177" s="2419"/>
    </row>
    <row r="1178" spans="1:17" ht="15" customHeight="1">
      <c r="A1178" s="2834"/>
      <c r="B1178" s="2414" t="s">
        <v>4972</v>
      </c>
      <c r="C1178" s="2414"/>
      <c r="D1178" s="2414"/>
      <c r="E1178" s="2414"/>
      <c r="F1178" s="2414"/>
      <c r="G1178" s="2414"/>
      <c r="H1178" s="2414"/>
      <c r="I1178" s="2414"/>
      <c r="J1178" s="2414"/>
      <c r="K1178" s="2414"/>
      <c r="L1178" s="2414"/>
      <c r="M1178" s="2414"/>
      <c r="N1178" s="2414"/>
      <c r="O1178" s="2414"/>
      <c r="P1178" s="2419">
        <f>'Part VII-Threshold Criteria'!P296</f>
        <v>0</v>
      </c>
      <c r="Q1178" s="2419"/>
    </row>
    <row r="1179" spans="1:17" ht="15" customHeight="1">
      <c r="A1179" s="2834"/>
      <c r="B1179" s="2837" t="s">
        <v>4797</v>
      </c>
      <c r="C1179" s="2837"/>
      <c r="D1179" s="2837"/>
      <c r="E1179" s="2837"/>
      <c r="F1179" s="2837"/>
      <c r="G1179" s="2837"/>
      <c r="H1179" s="2837"/>
      <c r="I1179" s="2837"/>
      <c r="J1179" s="2837"/>
      <c r="K1179" s="2837"/>
      <c r="L1179" s="2837"/>
      <c r="M1179" s="2837"/>
      <c r="N1179" s="2837"/>
      <c r="O1179" s="2837"/>
      <c r="P1179" s="2419">
        <f>'Part VII-Threshold Criteria'!P297</f>
        <v>0</v>
      </c>
      <c r="Q1179" s="2844"/>
    </row>
    <row r="1180" spans="1:17" ht="14.5">
      <c r="A1180" s="2834"/>
      <c r="B1180" s="2836" t="s">
        <v>3157</v>
      </c>
      <c r="C1180" s="2414"/>
      <c r="D1180" s="2836"/>
      <c r="E1180" s="2836"/>
      <c r="F1180" s="2836"/>
      <c r="G1180" s="2836"/>
      <c r="H1180" s="2414"/>
      <c r="I1180" s="2414"/>
      <c r="J1180" s="2414"/>
      <c r="K1180" s="2414"/>
      <c r="L1180" s="2419"/>
      <c r="M1180" s="2419"/>
      <c r="N1180" s="2419"/>
      <c r="O1180" s="2419"/>
      <c r="P1180" s="2419"/>
      <c r="Q1180" s="2419"/>
    </row>
    <row r="1181" spans="1:17" ht="14">
      <c r="A1181" s="2837" t="str">
        <f>'Part VII-Threshold Criteria'!A299</f>
        <v xml:space="preserve">N/A for Competitive Review Applications </v>
      </c>
      <c r="B1181" s="2837"/>
      <c r="C1181" s="2837"/>
      <c r="D1181" s="2837"/>
      <c r="E1181" s="2837"/>
      <c r="F1181" s="2837"/>
      <c r="G1181" s="2837"/>
      <c r="H1181" s="2837"/>
      <c r="I1181" s="2837"/>
      <c r="J1181" s="2837"/>
      <c r="K1181" s="2837"/>
      <c r="L1181" s="2837"/>
      <c r="M1181" s="2837"/>
      <c r="N1181" s="2837"/>
      <c r="O1181" s="2837"/>
      <c r="P1181" s="2837"/>
      <c r="Q1181" s="2837"/>
    </row>
    <row r="1182" spans="1:17" ht="14.5">
      <c r="A1182" s="2414"/>
      <c r="B1182" s="2836" t="s">
        <v>1725</v>
      </c>
      <c r="C1182" s="2836"/>
      <c r="D1182" s="2414"/>
      <c r="E1182" s="2414"/>
      <c r="F1182" s="2414"/>
      <c r="G1182" s="2414"/>
      <c r="H1182" s="2414"/>
      <c r="I1182" s="2414"/>
      <c r="J1182" s="2414"/>
      <c r="K1182" s="2414"/>
      <c r="L1182" s="2414"/>
      <c r="M1182" s="2414"/>
      <c r="N1182" s="2414"/>
      <c r="O1182" s="2414"/>
      <c r="P1182" s="2414"/>
      <c r="Q1182" s="2414"/>
    </row>
    <row r="1183" spans="1:17" ht="14">
      <c r="A1183" s="2414"/>
      <c r="B1183" s="2414"/>
      <c r="C1183" s="2414"/>
      <c r="D1183" s="2414"/>
      <c r="E1183" s="2414"/>
      <c r="F1183" s="2414"/>
      <c r="G1183" s="2414"/>
      <c r="H1183" s="2414"/>
      <c r="I1183" s="2414"/>
      <c r="J1183" s="2414"/>
      <c r="K1183" s="2414"/>
      <c r="L1183" s="2414"/>
      <c r="M1183" s="2414"/>
      <c r="N1183" s="2414"/>
      <c r="O1183" s="2414"/>
      <c r="P1183" s="2414"/>
      <c r="Q1183" s="2414"/>
    </row>
    <row r="1184" spans="1:17" ht="14">
      <c r="A1184" s="2419"/>
      <c r="B1184" s="2414"/>
      <c r="C1184" s="2414"/>
      <c r="D1184" s="2414"/>
      <c r="E1184" s="2414"/>
      <c r="F1184" s="2414"/>
      <c r="G1184" s="2414"/>
      <c r="H1184" s="2414"/>
      <c r="I1184" s="2414"/>
      <c r="J1184" s="2414"/>
      <c r="K1184" s="2414"/>
      <c r="L1184" s="2414"/>
      <c r="M1184" s="2414"/>
      <c r="N1184" s="2414"/>
      <c r="O1184" s="2414"/>
      <c r="P1184" s="2414"/>
      <c r="Q1184" s="2419"/>
    </row>
    <row r="1185" spans="1:32" ht="14">
      <c r="A1185" s="2834"/>
      <c r="B1185" s="2416"/>
      <c r="C1185" s="2415"/>
      <c r="D1185" s="2415"/>
      <c r="E1185" s="2415"/>
      <c r="F1185" s="2415"/>
      <c r="G1185" s="2415"/>
      <c r="H1185" s="2415"/>
      <c r="I1185" s="2415"/>
      <c r="J1185" s="2415"/>
      <c r="K1185" s="2415"/>
      <c r="L1185" s="2415"/>
      <c r="M1185" s="2415"/>
      <c r="N1185" s="2414"/>
      <c r="O1185" s="2414"/>
      <c r="P1185" s="2414"/>
      <c r="Q1185" s="2417"/>
    </row>
    <row r="1186" spans="1:32" ht="14">
      <c r="A1186" s="2834" t="s">
        <v>3679</v>
      </c>
      <c r="B1186" s="2419" t="s">
        <v>2429</v>
      </c>
      <c r="C1186" s="2414"/>
      <c r="D1186" s="2419"/>
      <c r="E1186" s="2415"/>
      <c r="F1186" s="2415"/>
      <c r="G1186" s="2415"/>
      <c r="H1186" s="2415"/>
      <c r="I1186" s="2414"/>
      <c r="J1186" s="2415"/>
      <c r="K1186" s="2415"/>
      <c r="L1186" s="2415"/>
      <c r="M1186" s="2415"/>
      <c r="N1186" s="2414"/>
      <c r="O1186" s="2835" t="s">
        <v>1726</v>
      </c>
      <c r="P1186" s="2419"/>
      <c r="Q1186" s="2419"/>
    </row>
    <row r="1187" spans="1:32" ht="14.5">
      <c r="A1187" s="2834"/>
      <c r="B1187" s="2840" t="s">
        <v>3157</v>
      </c>
      <c r="C1187" s="2414"/>
      <c r="D1187" s="2840"/>
      <c r="E1187" s="2840"/>
      <c r="F1187" s="2840"/>
      <c r="G1187" s="2840"/>
      <c r="H1187" s="2415"/>
      <c r="I1187" s="2416"/>
      <c r="J1187" s="2416"/>
      <c r="K1187" s="2416"/>
      <c r="L1187" s="2417"/>
      <c r="M1187" s="2417"/>
      <c r="N1187" s="2417"/>
      <c r="O1187" s="2417"/>
      <c r="P1187" s="2419"/>
      <c r="Q1187" s="2419"/>
    </row>
    <row r="1188" spans="1:32" ht="14">
      <c r="A1188" s="2837" t="str">
        <f>'Part VII-Threshold Criteria'!A306</f>
        <v xml:space="preserve">N/A for Competitive Review Applications </v>
      </c>
      <c r="B1188" s="2837"/>
      <c r="C1188" s="2837"/>
      <c r="D1188" s="2837"/>
      <c r="E1188" s="2837"/>
      <c r="F1188" s="2837"/>
      <c r="G1188" s="2837"/>
      <c r="H1188" s="2837"/>
      <c r="I1188" s="2837"/>
      <c r="J1188" s="2837"/>
      <c r="K1188" s="2837"/>
      <c r="L1188" s="2837"/>
      <c r="M1188" s="2837"/>
      <c r="N1188" s="2837"/>
      <c r="O1188" s="2837"/>
      <c r="P1188" s="2837"/>
      <c r="Q1188" s="2837"/>
    </row>
    <row r="1189" spans="1:32" ht="14.5">
      <c r="A1189" s="2414"/>
      <c r="B1189" s="2836" t="s">
        <v>1725</v>
      </c>
      <c r="C1189" s="2836"/>
      <c r="D1189" s="2414"/>
      <c r="E1189" s="2414"/>
      <c r="F1189" s="2414"/>
      <c r="G1189" s="2414"/>
      <c r="H1189" s="2414"/>
      <c r="I1189" s="2414"/>
      <c r="J1189" s="2414"/>
      <c r="K1189" s="2414"/>
      <c r="L1189" s="2414"/>
      <c r="M1189" s="2414"/>
      <c r="N1189" s="2414"/>
      <c r="O1189" s="2414"/>
      <c r="P1189" s="2414"/>
      <c r="Q1189" s="2414"/>
    </row>
    <row r="1190" spans="1:32" ht="14">
      <c r="A1190" s="2414"/>
      <c r="B1190" s="2414"/>
      <c r="C1190" s="2414"/>
      <c r="D1190" s="2414"/>
      <c r="E1190" s="2414"/>
      <c r="F1190" s="2414"/>
      <c r="G1190" s="2414"/>
      <c r="H1190" s="2414"/>
      <c r="I1190" s="2414"/>
      <c r="J1190" s="2414"/>
      <c r="K1190" s="2414"/>
      <c r="L1190" s="2414"/>
      <c r="M1190" s="2414"/>
      <c r="N1190" s="2414"/>
      <c r="O1190" s="2414"/>
      <c r="P1190" s="2414"/>
      <c r="Q1190" s="2414"/>
    </row>
    <row r="1195" spans="1:32" ht="14">
      <c r="A1195" s="1973" t="str">
        <f>CONCATENATE("PART EIGHT - SCORING CRITERIA","  -  ",'Part I-Project Identification'!$O$7," ",'Part I-Project Identification'!$F$26,", ",'Part I-Project Identification'!F1217,", ",'Part I-Project Identification'!J1217," County")</f>
        <v>PART EIGHT - SCORING CRITERIA  -  2025-5 Princeton Court, ,  County</v>
      </c>
      <c r="B1195" s="1973"/>
      <c r="C1195" s="1973"/>
      <c r="D1195" s="1973"/>
      <c r="E1195" s="1973"/>
      <c r="F1195" s="1973"/>
      <c r="G1195" s="1973"/>
      <c r="H1195" s="1973"/>
      <c r="I1195" s="1973"/>
      <c r="J1195" s="1973"/>
      <c r="K1195" s="1973"/>
      <c r="L1195" s="1973"/>
      <c r="M1195" s="1973"/>
      <c r="N1195" s="1973"/>
      <c r="O1195" s="1973"/>
      <c r="P1195" s="1973"/>
      <c r="Q1195" s="1973"/>
      <c r="R1195" s="1973"/>
      <c r="S1195" s="1973"/>
      <c r="T1195" s="1973"/>
      <c r="U1195" s="1973"/>
      <c r="V1195" s="1973"/>
      <c r="W1195" s="1973"/>
      <c r="X1195" s="2866"/>
      <c r="Y1195" s="2001"/>
      <c r="Z1195" s="2001"/>
      <c r="AA1195" s="2001"/>
      <c r="AB1195" s="2001"/>
      <c r="AC1195" s="2001"/>
      <c r="AD1195" s="2001"/>
      <c r="AE1195" s="2001"/>
      <c r="AF1195" s="2001"/>
    </row>
    <row r="1196" spans="1:32" ht="14">
      <c r="A1196" s="1974"/>
      <c r="B1196" s="1974"/>
      <c r="C1196" s="2867"/>
      <c r="D1196" s="1974"/>
      <c r="E1196" s="1974"/>
      <c r="F1196" s="1974"/>
      <c r="G1196" s="1974"/>
      <c r="H1196" s="1974"/>
      <c r="I1196" s="1974"/>
      <c r="J1196" s="1974"/>
      <c r="K1196" s="1974"/>
      <c r="L1196" s="1974"/>
      <c r="M1196" s="1974"/>
      <c r="N1196" s="1974"/>
      <c r="O1196" s="1973"/>
      <c r="P1196" s="1973"/>
      <c r="Q1196" s="1973"/>
      <c r="R1196" s="1973"/>
      <c r="S1196" s="1973"/>
      <c r="T1196" s="1973"/>
      <c r="U1196" s="1973"/>
      <c r="V1196" s="1973"/>
      <c r="W1196" s="1973"/>
      <c r="X1196" s="2866"/>
      <c r="Y1196" s="2001"/>
      <c r="Z1196" s="2001"/>
      <c r="AA1196" s="2001"/>
      <c r="AB1196" s="2001"/>
      <c r="AC1196" s="2001"/>
      <c r="AD1196" s="2001"/>
      <c r="AE1196" s="2001"/>
      <c r="AF1196" s="2001"/>
    </row>
    <row r="1197" spans="1:32" ht="15" customHeight="1">
      <c r="A1197" s="2868" t="s">
        <v>4971</v>
      </c>
      <c r="B1197" s="2868"/>
      <c r="C1197" s="2868"/>
      <c r="D1197" s="2868"/>
      <c r="E1197" s="2868"/>
      <c r="F1197" s="2868"/>
      <c r="G1197" s="2868"/>
      <c r="H1197" s="2868"/>
      <c r="I1197" s="2868"/>
      <c r="J1197" s="2868"/>
      <c r="K1197" s="2868"/>
      <c r="L1197" s="2868"/>
      <c r="M1197" s="2403" t="s">
        <v>4715</v>
      </c>
      <c r="N1197" s="1987"/>
      <c r="O1197" s="2403" t="s">
        <v>2045</v>
      </c>
      <c r="P1197" s="2403" t="s">
        <v>245</v>
      </c>
      <c r="Q1197" s="1973"/>
      <c r="R1197" s="1973"/>
      <c r="S1197" s="1973"/>
      <c r="T1197" s="1973"/>
      <c r="U1197" s="1973"/>
      <c r="V1197" s="1973"/>
      <c r="W1197" s="1973"/>
      <c r="X1197" s="2866"/>
      <c r="Y1197" s="1974"/>
      <c r="Z1197" s="1974"/>
      <c r="AA1197" s="1974"/>
      <c r="AB1197" s="1974"/>
      <c r="AC1197" s="1974"/>
      <c r="AD1197" s="1974"/>
      <c r="AE1197" s="1974"/>
      <c r="AF1197" s="1974"/>
    </row>
    <row r="1198" spans="1:32" ht="15" customHeight="1">
      <c r="A1198" s="2868"/>
      <c r="B1198" s="2868"/>
      <c r="C1198" s="2868"/>
      <c r="D1198" s="2868"/>
      <c r="E1198" s="2868"/>
      <c r="F1198" s="2868"/>
      <c r="G1198" s="2868"/>
      <c r="H1198" s="2868"/>
      <c r="I1198" s="2868"/>
      <c r="J1198" s="2868"/>
      <c r="K1198" s="2868"/>
      <c r="L1198" s="2868"/>
      <c r="M1198" s="2403" t="s">
        <v>2046</v>
      </c>
      <c r="N1198" s="1973"/>
      <c r="O1198" s="2403" t="s">
        <v>2046</v>
      </c>
      <c r="P1198" s="2403" t="s">
        <v>2046</v>
      </c>
      <c r="Q1198" s="1973"/>
      <c r="R1198" s="1973"/>
      <c r="S1198" s="1973"/>
      <c r="T1198" s="1973"/>
      <c r="U1198" s="1973"/>
      <c r="V1198" s="1973"/>
      <c r="W1198" s="1974"/>
      <c r="X1198" s="1974"/>
      <c r="Y1198" s="1974"/>
      <c r="Z1198" s="1974"/>
      <c r="AA1198" s="1974"/>
      <c r="AB1198" s="1974"/>
      <c r="AC1198" s="1974"/>
      <c r="AD1198" s="1974"/>
      <c r="AE1198" s="1974"/>
      <c r="AF1198" s="1974"/>
    </row>
    <row r="1199" spans="1:32" ht="14">
      <c r="A1199" s="1974"/>
      <c r="B1199" s="1974"/>
      <c r="C1199" s="1974"/>
      <c r="D1199" s="1974"/>
      <c r="E1199" s="1974"/>
      <c r="F1199" s="1974"/>
      <c r="G1199" s="1974"/>
      <c r="H1199" s="1974"/>
      <c r="I1199" s="1974"/>
      <c r="J1199" s="1974"/>
      <c r="K1199" s="1974"/>
      <c r="L1199" s="1974"/>
      <c r="M1199" s="2003"/>
      <c r="N1199" s="1973"/>
      <c r="O1199" s="2403"/>
      <c r="P1199" s="2003"/>
      <c r="Q1199" s="1973"/>
      <c r="R1199" s="1973"/>
      <c r="S1199" s="1973"/>
      <c r="T1199" s="1973"/>
      <c r="U1199" s="1973"/>
      <c r="V1199" s="1973"/>
      <c r="W1199" s="1974"/>
      <c r="X1199" s="1974"/>
      <c r="Y1199" s="1974"/>
      <c r="Z1199" s="1974"/>
      <c r="AA1199" s="1974"/>
      <c r="AB1199" s="1974"/>
      <c r="AC1199" s="1974"/>
      <c r="AD1199" s="1974"/>
      <c r="AE1199" s="1974"/>
      <c r="AF1199" s="1974"/>
    </row>
    <row r="1200" spans="1:32" ht="14">
      <c r="A1200" s="1974"/>
      <c r="B1200" s="2869" t="str">
        <f>'Part I-Project Identification'!$A$6</f>
        <v>August 11, 2025</v>
      </c>
      <c r="C1200" s="2869"/>
      <c r="D1200" s="2869"/>
      <c r="E1200" s="2869"/>
      <c r="F1200" s="2869"/>
      <c r="G1200" s="1974"/>
      <c r="H1200" s="1974"/>
      <c r="I1200" s="1974"/>
      <c r="J1200" s="1974"/>
      <c r="K1200" s="1974"/>
      <c r="L1200" s="2403" t="s">
        <v>1151</v>
      </c>
      <c r="M1200" s="2000"/>
      <c r="N1200" s="2870"/>
      <c r="O1200" s="2871">
        <f>O1602</f>
        <v>65</v>
      </c>
      <c r="P1200" s="2871">
        <f>P1602</f>
        <v>12</v>
      </c>
      <c r="Q1200" s="1973" t="s">
        <v>4678</v>
      </c>
      <c r="R1200" s="1974"/>
      <c r="S1200" s="1974"/>
      <c r="T1200" s="1974"/>
      <c r="U1200" s="1974"/>
      <c r="V1200" s="1974"/>
      <c r="W1200" s="1974"/>
      <c r="X1200" s="1974"/>
      <c r="Y1200" s="1974"/>
      <c r="Z1200" s="1974"/>
      <c r="AA1200" s="1974"/>
      <c r="AB1200" s="1974"/>
      <c r="AC1200" s="1974"/>
      <c r="AD1200" s="1974"/>
      <c r="AE1200" s="1974"/>
      <c r="AF1200" s="1974"/>
    </row>
    <row r="1201" spans="1:32" ht="14">
      <c r="A1201" s="1974"/>
      <c r="B1201" s="1973"/>
      <c r="C1201" s="1974"/>
      <c r="D1201" s="1974"/>
      <c r="E1201" s="1974"/>
      <c r="F1201" s="1974"/>
      <c r="G1201" s="1974"/>
      <c r="H1201" s="1974"/>
      <c r="I1201" s="1974"/>
      <c r="J1201" s="1974"/>
      <c r="K1201" s="1974"/>
      <c r="L1201" s="1974"/>
      <c r="M1201" s="1987"/>
      <c r="N1201" s="1992"/>
      <c r="O1201" s="2000"/>
      <c r="P1201" s="2403"/>
      <c r="Q1201" s="1974"/>
      <c r="R1201" s="1974"/>
      <c r="S1201" s="1974"/>
      <c r="T1201" s="1974"/>
      <c r="U1201" s="1974"/>
      <c r="V1201" s="1974"/>
      <c r="W1201" s="1974"/>
      <c r="X1201" s="1974"/>
      <c r="Y1201" s="1974"/>
      <c r="Z1201" s="2001"/>
      <c r="AA1201" s="2001"/>
      <c r="AB1201" s="2001"/>
      <c r="AC1201" s="2001"/>
      <c r="AD1201" s="2001"/>
      <c r="AE1201" s="2001"/>
      <c r="AF1201" s="2001"/>
    </row>
    <row r="1202" spans="1:32" ht="14.5">
      <c r="A1202" s="2398" t="s">
        <v>688</v>
      </c>
      <c r="B1202" s="2399" t="s">
        <v>4034</v>
      </c>
      <c r="C1202" s="1973"/>
      <c r="D1202" s="1974"/>
      <c r="E1202" s="1974"/>
      <c r="F1202" s="1974"/>
      <c r="G1202" s="2872"/>
      <c r="H1202" s="1974"/>
      <c r="I1202" s="2872"/>
      <c r="J1202" s="2872"/>
      <c r="K1202" s="2872"/>
      <c r="L1202" s="2872"/>
      <c r="M1202" s="2872"/>
      <c r="N1202" s="2872"/>
      <c r="O1202" s="2872"/>
      <c r="P1202" s="2872"/>
      <c r="Q1202" s="1974"/>
      <c r="R1202" s="1974"/>
      <c r="S1202" s="1974"/>
      <c r="T1202" s="1974"/>
      <c r="U1202" s="1974"/>
      <c r="V1202" s="1974"/>
      <c r="W1202" s="1974"/>
      <c r="X1202" s="1974"/>
      <c r="Y1202" s="1974"/>
      <c r="Z1202" s="1974"/>
      <c r="AA1202" s="1974"/>
      <c r="AB1202" s="1974"/>
      <c r="AC1202" s="1974"/>
      <c r="AD1202" s="1974"/>
      <c r="AE1202" s="1974"/>
      <c r="AF1202" s="1974"/>
    </row>
    <row r="1203" spans="1:32" ht="14">
      <c r="A1203" s="2001"/>
      <c r="B1203" s="2001"/>
      <c r="C1203" s="2001"/>
      <c r="D1203" s="2001"/>
      <c r="E1203" s="2001"/>
      <c r="F1203" s="2001"/>
      <c r="G1203" s="2001"/>
      <c r="H1203" s="2001"/>
      <c r="I1203" s="2001"/>
      <c r="J1203" s="2001"/>
      <c r="K1203" s="2001"/>
      <c r="L1203" s="2001"/>
      <c r="M1203" s="2001"/>
      <c r="N1203" s="1992"/>
      <c r="O1203" s="2003"/>
      <c r="P1203" s="2003"/>
      <c r="Q1203" s="2001"/>
      <c r="R1203" s="2001"/>
      <c r="S1203" s="2001"/>
      <c r="T1203" s="2001"/>
      <c r="U1203" s="2001"/>
      <c r="V1203" s="2001"/>
      <c r="W1203" s="2001"/>
      <c r="X1203" s="2001"/>
      <c r="Y1203" s="2001"/>
      <c r="Z1203" s="2001"/>
      <c r="AA1203" s="2001"/>
      <c r="AB1203" s="2001"/>
      <c r="AC1203" s="2001"/>
      <c r="AD1203" s="2001"/>
      <c r="AE1203" s="2001"/>
      <c r="AF1203" s="2001"/>
    </row>
    <row r="1204" spans="1:32" ht="14">
      <c r="A1204" s="2873" t="str">
        <f>IF(OR((D1206-C1206&gt;0),(E1206-C1206&gt;0)),"Points Exceed Max!","")</f>
        <v/>
      </c>
      <c r="B1204" s="2873"/>
      <c r="C1204" s="2001" t="s">
        <v>4733</v>
      </c>
      <c r="D1204" s="2001"/>
      <c r="E1204" s="2001"/>
      <c r="F1204" s="2001"/>
      <c r="G1204" s="2001"/>
      <c r="H1204" s="2001"/>
      <c r="I1204" s="2001"/>
      <c r="J1204" s="2001"/>
      <c r="K1204" s="2001"/>
      <c r="L1204" s="2001"/>
      <c r="M1204" s="2001"/>
      <c r="N1204" s="1992"/>
      <c r="O1204" s="2003"/>
      <c r="P1204" s="1973"/>
      <c r="Q1204" s="2001"/>
      <c r="R1204" s="2001"/>
      <c r="S1204" s="2001"/>
      <c r="T1204" s="2001"/>
      <c r="U1204" s="2001"/>
      <c r="V1204" s="2001"/>
      <c r="W1204" s="2001"/>
      <c r="X1204" s="2001"/>
      <c r="Y1204" s="2001"/>
      <c r="Z1204" s="2001"/>
      <c r="AA1204" s="2001"/>
      <c r="AB1204" s="2001"/>
      <c r="AC1204" s="2001"/>
      <c r="AD1204" s="2001"/>
      <c r="AE1204" s="2001"/>
      <c r="AF1204" s="2001"/>
    </row>
    <row r="1205" spans="1:32" ht="15" customHeight="1">
      <c r="A1205" s="2873"/>
      <c r="B1205" s="2873"/>
      <c r="C1205" s="1987" t="s">
        <v>4715</v>
      </c>
      <c r="D1205" s="1987" t="s">
        <v>2881</v>
      </c>
      <c r="E1205" s="1987" t="s">
        <v>245</v>
      </c>
      <c r="F1205" s="1973" t="s">
        <v>5068</v>
      </c>
      <c r="G1205" s="1973"/>
      <c r="H1205" s="1973" t="str">
        <f>'Part VIII Scoring Criteria'!H11</f>
        <v>Preservation</v>
      </c>
      <c r="I1205" s="1973"/>
      <c r="J1205" s="1973"/>
      <c r="K1205" s="1973" t="s">
        <v>4037</v>
      </c>
      <c r="L1205" s="1973" t="str">
        <f>'Part VIII Scoring Criteria'!L11</f>
        <v>Atlanta Metro</v>
      </c>
      <c r="M1205" s="1973"/>
      <c r="N1205" s="1973"/>
      <c r="O1205" s="2003"/>
      <c r="P1205" s="1973"/>
      <c r="Q1205" s="2001"/>
      <c r="R1205" s="2001"/>
      <c r="S1205" s="2001"/>
      <c r="T1205" s="2001"/>
      <c r="U1205" s="2001"/>
      <c r="V1205" s="2001"/>
      <c r="W1205" s="2001"/>
      <c r="X1205" s="2001"/>
      <c r="Y1205" s="2001"/>
      <c r="Z1205" s="2001"/>
      <c r="AA1205" s="2001"/>
      <c r="AB1205" s="2001"/>
      <c r="AC1205" s="2001"/>
      <c r="AD1205" s="2001"/>
      <c r="AE1205" s="2001"/>
      <c r="AF1205" s="2001"/>
    </row>
    <row r="1206" spans="1:32" ht="14">
      <c r="A1206" s="2873"/>
      <c r="B1206" s="2873"/>
      <c r="C1206" s="2403">
        <v>33</v>
      </c>
      <c r="D1206" s="2403">
        <f>IF($C$16="4%",O1354+O1363+O1384+O1400+O1432+O1459,0)</f>
        <v>0</v>
      </c>
      <c r="E1206" s="2403">
        <f>IF($C$16="4%",P1354+P1363+P1384+P1400+P1432+P1459,0)</f>
        <v>0</v>
      </c>
      <c r="F1206" s="1973"/>
      <c r="G1206" s="1973"/>
      <c r="H1206" s="1973" t="s">
        <v>4595</v>
      </c>
      <c r="I1206" s="1973"/>
      <c r="J1206" s="1973"/>
      <c r="K1206" s="1973"/>
      <c r="L1206" s="1973" t="s">
        <v>4596</v>
      </c>
      <c r="M1206" s="1973"/>
      <c r="N1206" s="1973"/>
      <c r="O1206" s="2003"/>
      <c r="P1206" s="1973"/>
      <c r="Q1206" s="2001"/>
      <c r="R1206" s="2001"/>
      <c r="S1206" s="2001"/>
      <c r="T1206" s="2001"/>
      <c r="U1206" s="2001"/>
      <c r="V1206" s="2001"/>
      <c r="W1206" s="2001"/>
      <c r="X1206" s="2001"/>
      <c r="Y1206" s="2001"/>
      <c r="Z1206" s="2001"/>
      <c r="AA1206" s="2001"/>
      <c r="AB1206" s="2001"/>
      <c r="AC1206" s="2001"/>
      <c r="AD1206" s="2001"/>
      <c r="AE1206" s="2001"/>
      <c r="AF1206" s="2001"/>
    </row>
    <row r="1207" spans="1:32" ht="14">
      <c r="A1207" s="2873"/>
      <c r="B1207" s="2873"/>
      <c r="C1207" s="1973"/>
      <c r="D1207" s="1973"/>
      <c r="E1207" s="1973"/>
      <c r="F1207" s="1973"/>
      <c r="G1207" s="1973"/>
      <c r="H1207" s="1973"/>
      <c r="I1207" s="1973"/>
      <c r="J1207" s="1973"/>
      <c r="K1207" s="1973"/>
      <c r="L1207" s="1973"/>
      <c r="M1207" s="1973"/>
      <c r="N1207" s="1973"/>
      <c r="O1207" s="2003"/>
      <c r="P1207" s="1973"/>
      <c r="Q1207" s="2001"/>
      <c r="R1207" s="2001"/>
      <c r="S1207" s="2001"/>
      <c r="T1207" s="2001"/>
      <c r="U1207" s="2001"/>
      <c r="V1207" s="2001"/>
      <c r="W1207" s="2001"/>
      <c r="X1207" s="2001"/>
      <c r="Y1207" s="2001"/>
      <c r="Z1207" s="2001"/>
      <c r="AA1207" s="2001"/>
      <c r="AB1207" s="2001"/>
      <c r="AC1207" s="2001"/>
      <c r="AD1207" s="2001"/>
      <c r="AE1207" s="2001"/>
      <c r="AF1207" s="2001"/>
    </row>
    <row r="1208" spans="1:32" ht="14">
      <c r="A1208" s="1974"/>
      <c r="B1208" s="1973"/>
      <c r="C1208" s="2001"/>
      <c r="D1208" s="1973"/>
      <c r="E1208" s="1974"/>
      <c r="F1208" s="1974"/>
      <c r="G1208" s="2874"/>
      <c r="H1208" s="2874"/>
      <c r="I1208" s="2874"/>
      <c r="J1208" s="2874"/>
      <c r="K1208" s="2874"/>
      <c r="L1208" s="2874"/>
      <c r="M1208" s="1974"/>
      <c r="N1208" s="2001"/>
      <c r="O1208" s="2000"/>
      <c r="P1208" s="2403"/>
      <c r="Q1208" s="2001"/>
      <c r="R1208" s="2001"/>
      <c r="S1208" s="2001"/>
      <c r="T1208" s="2001"/>
      <c r="U1208" s="2001"/>
      <c r="V1208" s="2001"/>
      <c r="W1208" s="1974"/>
      <c r="X1208" s="2408"/>
      <c r="Y1208" s="2408"/>
      <c r="Z1208" s="2408"/>
      <c r="AA1208" s="2408"/>
      <c r="AB1208" s="2408"/>
      <c r="AC1208" s="2408"/>
      <c r="AD1208" s="2408"/>
      <c r="AE1208" s="2408"/>
      <c r="AF1208" s="2408"/>
    </row>
    <row r="1209" spans="1:32" ht="15" customHeight="1">
      <c r="A1209" s="2001"/>
      <c r="B1209" s="2001"/>
      <c r="C1209" s="1973" t="s">
        <v>4699</v>
      </c>
      <c r="D1209" s="1973"/>
      <c r="E1209" s="2001"/>
      <c r="F1209" s="1973" t="s">
        <v>5065</v>
      </c>
      <c r="G1209" s="1973"/>
      <c r="H1209" s="1973" t="str">
        <f>'Part VIII Scoring Criteria'!H15</f>
        <v>Stable Communities</v>
      </c>
      <c r="I1209" s="1973"/>
      <c r="J1209" s="1973"/>
      <c r="K1209" s="1973"/>
      <c r="L1209" s="1973"/>
      <c r="M1209" s="1973"/>
      <c r="N1209" s="1973"/>
      <c r="O1209" s="2003"/>
      <c r="P1209" s="2003"/>
      <c r="Q1209" s="2001"/>
      <c r="R1209" s="2001"/>
      <c r="S1209" s="2001"/>
      <c r="T1209" s="2001"/>
      <c r="U1209" s="2001"/>
      <c r="V1209" s="2001"/>
      <c r="W1209" s="2001"/>
      <c r="X1209" s="2001"/>
      <c r="Y1209" s="2001"/>
      <c r="Z1209" s="2001"/>
      <c r="AA1209" s="1974"/>
      <c r="AB1209" s="1974"/>
      <c r="AC1209" s="1974"/>
      <c r="AD1209" s="1974"/>
      <c r="AE1209" s="1974"/>
      <c r="AF1209" s="2408"/>
    </row>
    <row r="1210" spans="1:32" ht="14">
      <c r="A1210" s="2001"/>
      <c r="B1210" s="2001"/>
      <c r="C1210" s="19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973"/>
      <c r="E1210" s="2001"/>
      <c r="F1210" s="1973"/>
      <c r="G1210" s="1973"/>
      <c r="H1210" s="1973" t="s">
        <v>4917</v>
      </c>
      <c r="I1210" s="1973"/>
      <c r="J1210" s="1973"/>
      <c r="K1210" s="1973"/>
      <c r="L1210" s="1973"/>
      <c r="M1210" s="1973"/>
      <c r="N1210" s="1973"/>
      <c r="O1210" s="2003"/>
      <c r="P1210" s="2003"/>
      <c r="Q1210" s="2001"/>
      <c r="R1210" s="2001"/>
      <c r="S1210" s="2001"/>
      <c r="T1210" s="2001"/>
      <c r="U1210" s="2001"/>
      <c r="V1210" s="2001"/>
      <c r="W1210" s="2001"/>
      <c r="X1210" s="2001"/>
      <c r="Y1210" s="2001"/>
      <c r="Z1210" s="2001"/>
      <c r="AA1210" s="1974"/>
      <c r="AB1210" s="1974"/>
      <c r="AC1210" s="1974"/>
      <c r="AD1210" s="1974"/>
      <c r="AE1210" s="1974"/>
      <c r="AF1210" s="2408"/>
    </row>
    <row r="1211" spans="1:32" ht="14">
      <c r="A1211" s="2001"/>
      <c r="B1211" s="2001"/>
      <c r="C1211" s="1973"/>
      <c r="D1211" s="2001"/>
      <c r="E1211" s="2001"/>
      <c r="F1211" s="2001"/>
      <c r="G1211" s="2001"/>
      <c r="H1211" s="2001"/>
      <c r="I1211" s="2001"/>
      <c r="J1211" s="2001"/>
      <c r="K1211" s="2001"/>
      <c r="L1211" s="2001"/>
      <c r="M1211" s="2001"/>
      <c r="N1211" s="2001"/>
      <c r="O1211" s="2003"/>
      <c r="P1211" s="2003"/>
      <c r="Q1211" s="1974"/>
      <c r="R1211" s="1974"/>
      <c r="S1211" s="1974"/>
      <c r="T1211" s="1974"/>
      <c r="U1211" s="1974"/>
      <c r="V1211" s="1974"/>
      <c r="W1211" s="1974"/>
      <c r="X1211" s="1974"/>
      <c r="Y1211" s="1974"/>
      <c r="Z1211" s="1974"/>
      <c r="AA1211" s="1974"/>
      <c r="AB1211" s="1974"/>
      <c r="AC1211" s="1974"/>
      <c r="AD1211" s="1974"/>
      <c r="AE1211" s="1974"/>
      <c r="AF1211" s="2001"/>
    </row>
    <row r="1212" spans="1:32" ht="47.25" customHeight="1">
      <c r="A1212" s="2001"/>
      <c r="B1212" s="2001"/>
      <c r="C1212" s="2875" t="s">
        <v>5066</v>
      </c>
      <c r="D1212" s="1974" t="s">
        <v>5067</v>
      </c>
      <c r="E1212" s="1974"/>
      <c r="F1212" s="1974"/>
      <c r="G1212" s="1974"/>
      <c r="H1212" s="1974"/>
      <c r="I1212" s="1974"/>
      <c r="J1212" s="1974"/>
      <c r="K1212" s="1974"/>
      <c r="L1212" s="1974"/>
      <c r="M1212" s="1974"/>
      <c r="N1212" s="1974"/>
      <c r="O1212" s="1974"/>
      <c r="P1212" s="1987"/>
      <c r="Q1212" s="1974"/>
      <c r="R1212" s="1974"/>
      <c r="S1212" s="1974"/>
      <c r="T1212" s="1974"/>
      <c r="U1212" s="1974"/>
      <c r="V1212" s="1974"/>
      <c r="W1212" s="1974"/>
      <c r="X1212" s="1974"/>
      <c r="Y1212" s="1974"/>
      <c r="Z1212" s="1974"/>
      <c r="AA1212" s="1974"/>
      <c r="AB1212" s="1974"/>
      <c r="AC1212" s="1974"/>
      <c r="AD1212" s="1974"/>
      <c r="AE1212" s="1974"/>
      <c r="AF1212" s="2001"/>
    </row>
    <row r="1213" spans="1:32" ht="14">
      <c r="A1213" s="2001"/>
      <c r="B1213" s="2001"/>
      <c r="C1213" s="2001"/>
      <c r="D1213" s="2001"/>
      <c r="E1213" s="2001"/>
      <c r="F1213" s="2001"/>
      <c r="G1213" s="2001"/>
      <c r="H1213" s="2001"/>
      <c r="I1213" s="2001"/>
      <c r="J1213" s="2001"/>
      <c r="K1213" s="2001"/>
      <c r="L1213" s="2001"/>
      <c r="M1213" s="2001"/>
      <c r="N1213" s="2001"/>
      <c r="O1213" s="2003"/>
      <c r="P1213" s="2003"/>
      <c r="Q1213" s="1974"/>
      <c r="R1213" s="1974"/>
      <c r="S1213" s="1974"/>
      <c r="T1213" s="1974"/>
      <c r="U1213" s="1974"/>
      <c r="V1213" s="1974"/>
      <c r="W1213" s="1974"/>
      <c r="X1213" s="1974"/>
      <c r="Y1213" s="1974"/>
      <c r="Z1213" s="1974"/>
      <c r="AA1213" s="1974"/>
      <c r="AB1213" s="1974"/>
      <c r="AC1213" s="1974"/>
      <c r="AD1213" s="1974"/>
      <c r="AE1213" s="1974"/>
      <c r="AF1213" s="2001"/>
    </row>
    <row r="1214" spans="1:32" ht="14">
      <c r="A1214" s="2398" t="s">
        <v>690</v>
      </c>
      <c r="B1214" s="2399" t="s">
        <v>2509</v>
      </c>
      <c r="C1214" s="2001"/>
      <c r="D1214" s="2001"/>
      <c r="E1214" s="2001"/>
      <c r="F1214" s="2001"/>
      <c r="G1214" s="2001"/>
      <c r="H1214" s="2004"/>
      <c r="I1214" s="2001"/>
      <c r="J1214" s="1987"/>
      <c r="K1214" s="1974"/>
      <c r="L1214" s="2876" t="s">
        <v>4866</v>
      </c>
      <c r="M1214" s="2403">
        <v>6</v>
      </c>
      <c r="N1214" s="1987"/>
      <c r="O1214" s="2000">
        <f>'Part VIII Scoring Criteria'!O20</f>
        <v>6</v>
      </c>
      <c r="P1214" s="2000">
        <f>'Part VIII Scoring Criteria'!P20</f>
        <v>0</v>
      </c>
      <c r="Q1214" s="2403" t="s">
        <v>415</v>
      </c>
      <c r="R1214" s="2001"/>
      <c r="S1214" s="2001"/>
      <c r="T1214" s="2399"/>
      <c r="U1214" s="2399"/>
      <c r="V1214" s="2001"/>
      <c r="W1214" s="2001"/>
      <c r="X1214" s="2001"/>
      <c r="Y1214" s="2001"/>
      <c r="Z1214" s="2001"/>
      <c r="AA1214" s="2001"/>
      <c r="AB1214" s="2001"/>
      <c r="AC1214" s="2001"/>
      <c r="AD1214" s="2001"/>
      <c r="AE1214" s="2001"/>
      <c r="AF1214" s="2001"/>
    </row>
    <row r="1215" spans="1:32" ht="14">
      <c r="A1215" s="2403" t="s">
        <v>1836</v>
      </c>
      <c r="B1215" s="1973" t="s">
        <v>2060</v>
      </c>
      <c r="C1215" s="1974"/>
      <c r="D1215" s="2877"/>
      <c r="E1215" s="2877"/>
      <c r="F1215" s="1974"/>
      <c r="G1215" s="2001"/>
      <c r="H1215" s="1974"/>
      <c r="I1215" s="1974"/>
      <c r="J1215" s="1974"/>
      <c r="K1215" s="1974"/>
      <c r="L1215" s="2878"/>
      <c r="M1215" s="1987">
        <v>5</v>
      </c>
      <c r="N1215" s="2401"/>
      <c r="O1215" s="2000">
        <f>'Part VIII Scoring Criteria'!O21</f>
        <v>5</v>
      </c>
      <c r="P1215" s="2000">
        <f>'Part VIII Scoring Criteria'!P21</f>
        <v>0</v>
      </c>
      <c r="Q1215" s="2879"/>
      <c r="R1215" s="2880"/>
      <c r="S1215" s="1974"/>
      <c r="T1215" s="2399"/>
      <c r="U1215" s="2399"/>
      <c r="V1215" s="1974"/>
      <c r="W1215" s="1974"/>
      <c r="X1215" s="1974"/>
      <c r="Y1215" s="1974"/>
      <c r="Z1215" s="1974"/>
      <c r="AA1215" s="1974"/>
      <c r="AB1215" s="1974"/>
      <c r="AC1215" s="1974"/>
      <c r="AD1215" s="1974"/>
      <c r="AE1215" s="1974"/>
      <c r="AF1215" s="1974"/>
    </row>
    <row r="1216" spans="1:32" ht="14">
      <c r="A1216" s="2403"/>
      <c r="B1216" s="2881" t="s">
        <v>1839</v>
      </c>
      <c r="C1216" s="2004" t="s">
        <v>4918</v>
      </c>
      <c r="D1216" s="2877"/>
      <c r="E1216" s="2877"/>
      <c r="F1216" s="1974"/>
      <c r="G1216" s="2001"/>
      <c r="H1216" s="1974"/>
      <c r="I1216" s="1974"/>
      <c r="J1216" s="1974"/>
      <c r="K1216" s="1974"/>
      <c r="L1216" s="2878"/>
      <c r="M1216" s="1987">
        <v>5</v>
      </c>
      <c r="N1216" s="2882"/>
      <c r="O1216" s="2403" t="str">
        <f>'Part VIII Scoring Criteria'!O22</f>
        <v>Yes</v>
      </c>
      <c r="P1216" s="2403"/>
      <c r="Q1216" s="2879"/>
      <c r="R1216" s="2880"/>
      <c r="S1216" s="1974"/>
      <c r="T1216" s="2399"/>
      <c r="U1216" s="2399"/>
      <c r="V1216" s="1974"/>
      <c r="W1216" s="1974"/>
      <c r="X1216" s="1974"/>
      <c r="Y1216" s="1974"/>
      <c r="Z1216" s="1974"/>
      <c r="AA1216" s="1974"/>
      <c r="AB1216" s="1974"/>
      <c r="AC1216" s="1974"/>
      <c r="AD1216" s="1974"/>
      <c r="AE1216" s="1974"/>
      <c r="AF1216" s="1974"/>
    </row>
    <row r="1217" spans="1:32" ht="14">
      <c r="A1217" s="2403"/>
      <c r="B1217" s="2883" t="s">
        <v>1841</v>
      </c>
      <c r="C1217" s="2004" t="s">
        <v>4919</v>
      </c>
      <c r="D1217" s="2877"/>
      <c r="E1217" s="2877"/>
      <c r="F1217" s="1974"/>
      <c r="G1217" s="2001"/>
      <c r="H1217" s="1974"/>
      <c r="I1217" s="1974"/>
      <c r="J1217" s="1974"/>
      <c r="K1217" s="1974"/>
      <c r="L1217" s="2878"/>
      <c r="M1217" s="1987">
        <v>3</v>
      </c>
      <c r="N1217" s="2882"/>
      <c r="O1217" s="2403" t="str">
        <f>'Part VIII Scoring Criteria'!O23</f>
        <v>N/a</v>
      </c>
      <c r="P1217" s="2403"/>
      <c r="Q1217" s="2879"/>
      <c r="R1217" s="2880"/>
      <c r="S1217" s="1974"/>
      <c r="T1217" s="2399"/>
      <c r="U1217" s="2399"/>
      <c r="V1217" s="1974"/>
      <c r="W1217" s="1974"/>
      <c r="X1217" s="1974"/>
      <c r="Y1217" s="1974"/>
      <c r="Z1217" s="1974"/>
      <c r="AA1217" s="1974"/>
      <c r="AB1217" s="1974"/>
      <c r="AC1217" s="1974"/>
      <c r="AD1217" s="1974"/>
      <c r="AE1217" s="1974"/>
      <c r="AF1217" s="1974"/>
    </row>
    <row r="1218" spans="1:32" ht="14">
      <c r="A1218" s="2403"/>
      <c r="B1218" s="2883" t="s">
        <v>2326</v>
      </c>
      <c r="C1218" s="2004" t="s">
        <v>4920</v>
      </c>
      <c r="D1218" s="2877"/>
      <c r="E1218" s="2877"/>
      <c r="F1218" s="1974"/>
      <c r="G1218" s="2001"/>
      <c r="H1218" s="1974"/>
      <c r="I1218" s="1974"/>
      <c r="J1218" s="1974"/>
      <c r="K1218" s="2401"/>
      <c r="L1218" s="1974"/>
      <c r="M1218" s="1987">
        <v>1</v>
      </c>
      <c r="N1218" s="2882"/>
      <c r="O1218" s="2403" t="str">
        <f>'Part VIII Scoring Criteria'!O24</f>
        <v>N/a</v>
      </c>
      <c r="P1218" s="2403"/>
      <c r="Q1218" s="1974"/>
      <c r="R1218" s="2001"/>
      <c r="S1218" s="1974"/>
      <c r="T1218" s="2399"/>
      <c r="U1218" s="2399"/>
      <c r="V1218" s="1974"/>
      <c r="W1218" s="1974"/>
      <c r="X1218" s="1974"/>
      <c r="Y1218" s="1974"/>
      <c r="Z1218" s="1974"/>
      <c r="AA1218" s="1974"/>
      <c r="AB1218" s="1974"/>
      <c r="AC1218" s="1974"/>
      <c r="AD1218" s="1974"/>
      <c r="AE1218" s="1974"/>
      <c r="AF1218" s="1974"/>
    </row>
    <row r="1219" spans="1:32" ht="14">
      <c r="A1219" s="2403" t="s">
        <v>1838</v>
      </c>
      <c r="B1219" s="1973" t="s">
        <v>3826</v>
      </c>
      <c r="C1219" s="2001"/>
      <c r="D1219" s="1974"/>
      <c r="E1219" s="2001"/>
      <c r="F1219" s="2001"/>
      <c r="G1219" s="2001"/>
      <c r="H1219" s="2001"/>
      <c r="I1219" s="2001"/>
      <c r="J1219" s="2001"/>
      <c r="K1219" s="1974"/>
      <c r="L1219" s="2878" t="str">
        <f>IF(OR($O1219=$M1219,$O1219=0,$O1219=""),"","* * Check Score! * *")</f>
        <v/>
      </c>
      <c r="M1219" s="1987">
        <v>1</v>
      </c>
      <c r="N1219" s="2401"/>
      <c r="O1219" s="2000">
        <f>'Part VIII Scoring Criteria'!O25</f>
        <v>0</v>
      </c>
      <c r="P1219" s="2000">
        <f>'Part VIII Scoring Criteria'!P25</f>
        <v>0</v>
      </c>
      <c r="Q1219" s="2879" t="str">
        <f>IF(OR($O1219=$M1219,$O1219=0,$O1219=""),"","*CHECK!*")</f>
        <v/>
      </c>
      <c r="R1219" s="2880"/>
      <c r="S1219" s="2001"/>
      <c r="T1219" s="2399"/>
      <c r="U1219" s="2399"/>
      <c r="V1219" s="2001"/>
      <c r="W1219" s="2001"/>
      <c r="X1219" s="2001"/>
      <c r="Y1219" s="2001"/>
      <c r="Z1219" s="2001"/>
      <c r="AA1219" s="2001"/>
      <c r="AB1219" s="2001"/>
      <c r="AC1219" s="2001"/>
      <c r="AD1219" s="2001"/>
      <c r="AE1219" s="2001"/>
      <c r="AF1219" s="2001"/>
    </row>
    <row r="1220" spans="1:32" ht="15" customHeight="1">
      <c r="A1220" s="2884"/>
      <c r="B1220" s="1974" t="s">
        <v>4921</v>
      </c>
      <c r="C1220" s="1974"/>
      <c r="D1220" s="1974"/>
      <c r="E1220" s="1974"/>
      <c r="F1220" s="1974"/>
      <c r="G1220" s="1974"/>
      <c r="H1220" s="1974"/>
      <c r="I1220" s="1974"/>
      <c r="J1220" s="1974"/>
      <c r="K1220" s="1974"/>
      <c r="L1220" s="1974"/>
      <c r="M1220" s="1987"/>
      <c r="N1220" s="2401"/>
      <c r="O1220" s="2403" t="str">
        <f>'Part VIII Scoring Criteria'!O26</f>
        <v>N/a</v>
      </c>
      <c r="P1220" s="2885"/>
      <c r="Q1220" s="2001"/>
      <c r="R1220" s="2878"/>
      <c r="S1220" s="2001"/>
      <c r="T1220" s="2399"/>
      <c r="U1220" s="2399"/>
      <c r="V1220" s="2001"/>
      <c r="W1220" s="2001"/>
      <c r="X1220" s="2001"/>
      <c r="Y1220" s="2001"/>
      <c r="Z1220" s="2001"/>
      <c r="AA1220" s="2001"/>
      <c r="AB1220" s="2001"/>
      <c r="AC1220" s="2001"/>
      <c r="AD1220" s="2001"/>
      <c r="AE1220" s="2001"/>
      <c r="AF1220" s="2001"/>
    </row>
    <row r="1221" spans="1:32" ht="14">
      <c r="A1221" s="2403" t="s">
        <v>697</v>
      </c>
      <c r="B1221" s="1973" t="s">
        <v>5174</v>
      </c>
      <c r="C1221" s="2001"/>
      <c r="D1221" s="1974"/>
      <c r="E1221" s="2001"/>
      <c r="F1221" s="2001"/>
      <c r="G1221" s="2001"/>
      <c r="H1221" s="1974"/>
      <c r="I1221" s="2001"/>
      <c r="J1221" s="2001"/>
      <c r="K1221" s="1974"/>
      <c r="L1221" s="2399"/>
      <c r="M1221" s="1987">
        <v>1</v>
      </c>
      <c r="N1221" s="2401"/>
      <c r="O1221" s="2000">
        <f>'Part VIII Scoring Criteria'!O27</f>
        <v>1</v>
      </c>
      <c r="P1221" s="2000">
        <f>'Part VIII Scoring Criteria'!P27</f>
        <v>0</v>
      </c>
      <c r="Q1221" s="2879" t="str">
        <f>IF(OR($O1221=$M1221,$O1221=0,$O1221=""),"","*CHECK!*")</f>
        <v/>
      </c>
      <c r="R1221" s="2880"/>
      <c r="S1221" s="2001"/>
      <c r="T1221" s="2399"/>
      <c r="U1221" s="2399"/>
      <c r="V1221" s="2001"/>
      <c r="W1221" s="2001"/>
      <c r="X1221" s="2001"/>
      <c r="Y1221" s="2001"/>
      <c r="Z1221" s="2001"/>
      <c r="AA1221" s="2001"/>
      <c r="AB1221" s="2001"/>
      <c r="AC1221" s="2001"/>
      <c r="AD1221" s="2001"/>
      <c r="AE1221" s="2001"/>
      <c r="AF1221" s="2001"/>
    </row>
    <row r="1222" spans="1:32" ht="14.25" customHeight="1">
      <c r="A1222" s="2001"/>
      <c r="B1222" s="2007" t="s">
        <v>5175</v>
      </c>
      <c r="C1222" s="2007"/>
      <c r="D1222" s="2007"/>
      <c r="E1222" s="2007"/>
      <c r="F1222" s="2007"/>
      <c r="G1222" s="2007"/>
      <c r="H1222" s="2007"/>
      <c r="I1222" s="2007"/>
      <c r="J1222" s="2007"/>
      <c r="K1222" s="2007"/>
      <c r="L1222" s="2007"/>
      <c r="M1222" s="1987"/>
      <c r="N1222" s="1987"/>
      <c r="O1222" s="1987"/>
      <c r="P1222" s="1987"/>
      <c r="Q1222" s="2001"/>
      <c r="R1222" s="2878"/>
      <c r="S1222" s="2001"/>
      <c r="T1222" s="2399"/>
      <c r="U1222" s="2399"/>
      <c r="V1222" s="2001"/>
      <c r="W1222" s="2001"/>
      <c r="X1222" s="2001"/>
      <c r="Y1222" s="2001"/>
      <c r="Z1222" s="2001"/>
      <c r="AA1222" s="2001"/>
      <c r="AB1222" s="2001"/>
      <c r="AC1222" s="2001"/>
      <c r="AD1222" s="2001"/>
      <c r="AE1222" s="2001"/>
      <c r="AF1222" s="2001"/>
    </row>
    <row r="1223" spans="1:32" ht="14">
      <c r="A1223" s="2007"/>
      <c r="B1223" s="2886" t="s">
        <v>1839</v>
      </c>
      <c r="C1223" s="2007" t="s">
        <v>4922</v>
      </c>
      <c r="D1223" s="2007"/>
      <c r="E1223" s="2007"/>
      <c r="F1223" s="2007"/>
      <c r="G1223" s="2007"/>
      <c r="H1223" s="2007"/>
      <c r="I1223" s="2007"/>
      <c r="J1223" s="2007"/>
      <c r="K1223" s="2007"/>
      <c r="L1223" s="2007"/>
      <c r="M1223" s="2006"/>
      <c r="N1223" s="2887"/>
      <c r="O1223" s="2403" t="str">
        <f>'Part VIII Scoring Criteria'!O29</f>
        <v>Yes</v>
      </c>
      <c r="P1223" s="2885"/>
      <c r="Q1223" s="2007"/>
      <c r="R1223" s="2888"/>
      <c r="S1223" s="2007"/>
      <c r="T1223" s="2889"/>
      <c r="U1223" s="2889"/>
      <c r="V1223" s="2007"/>
      <c r="W1223" s="2007"/>
      <c r="X1223" s="2007"/>
      <c r="Y1223" s="2007"/>
      <c r="Z1223" s="2007"/>
      <c r="AA1223" s="2007"/>
      <c r="AB1223" s="2007"/>
      <c r="AC1223" s="2007"/>
      <c r="AD1223" s="2007"/>
      <c r="AE1223" s="2007"/>
      <c r="AF1223" s="2007"/>
    </row>
    <row r="1224" spans="1:32" ht="14">
      <c r="A1224" s="2007"/>
      <c r="B1224" s="2883" t="s">
        <v>1841</v>
      </c>
      <c r="C1224" s="2008" t="s">
        <v>4923</v>
      </c>
      <c r="D1224" s="2008"/>
      <c r="E1224" s="2008"/>
      <c r="F1224" s="2008"/>
      <c r="G1224" s="2008"/>
      <c r="H1224" s="2008"/>
      <c r="I1224" s="2008"/>
      <c r="J1224" s="2008"/>
      <c r="K1224" s="2008"/>
      <c r="L1224" s="2008"/>
      <c r="M1224" s="2006"/>
      <c r="N1224" s="2887"/>
      <c r="O1224" s="2403" t="str">
        <f>'Part VIII Scoring Criteria'!O30</f>
        <v>N/a</v>
      </c>
      <c r="P1224" s="2885"/>
      <c r="Q1224" s="2007"/>
      <c r="R1224" s="2888"/>
      <c r="S1224" s="2007"/>
      <c r="T1224" s="2889"/>
      <c r="U1224" s="2889"/>
      <c r="V1224" s="2007"/>
      <c r="W1224" s="2007"/>
      <c r="X1224" s="2007"/>
      <c r="Y1224" s="2007"/>
      <c r="Z1224" s="2007"/>
      <c r="AA1224" s="2007"/>
      <c r="AB1224" s="2007"/>
      <c r="AC1224" s="2007"/>
      <c r="AD1224" s="2007"/>
      <c r="AE1224" s="2007"/>
      <c r="AF1224" s="2007"/>
    </row>
    <row r="1225" spans="1:32" ht="14">
      <c r="A1225" s="2007"/>
      <c r="B1225" s="2007"/>
      <c r="C1225" s="2008" t="s">
        <v>4924</v>
      </c>
      <c r="D1225" s="2008"/>
      <c r="E1225" s="2008"/>
      <c r="F1225" s="2008"/>
      <c r="G1225" s="2008"/>
      <c r="H1225" s="2008"/>
      <c r="I1225" s="2007"/>
      <c r="J1225" s="2004" t="str">
        <f>'Part VIII Scoring Criteria'!J31</f>
        <v>National Church Residences</v>
      </c>
      <c r="K1225" s="1973"/>
      <c r="L1225" s="1973"/>
      <c r="M1225" s="1973"/>
      <c r="N1225" s="1973"/>
      <c r="O1225" s="2887"/>
      <c r="P1225" s="2887"/>
      <c r="Q1225" s="2007"/>
      <c r="R1225" s="2888"/>
      <c r="S1225" s="2007"/>
      <c r="T1225" s="2889"/>
      <c r="U1225" s="2889"/>
      <c r="V1225" s="2007"/>
      <c r="W1225" s="2007"/>
      <c r="X1225" s="2007"/>
      <c r="Y1225" s="2007"/>
      <c r="Z1225" s="2007"/>
      <c r="AA1225" s="2007"/>
      <c r="AB1225" s="2007"/>
      <c r="AC1225" s="2007"/>
      <c r="AD1225" s="2007"/>
      <c r="AE1225" s="2007"/>
      <c r="AF1225" s="2007"/>
    </row>
    <row r="1226" spans="1:32" ht="15" customHeight="1">
      <c r="A1226" s="2007"/>
      <c r="B1226" s="2883" t="s">
        <v>2326</v>
      </c>
      <c r="C1226" s="2007" t="s">
        <v>4925</v>
      </c>
      <c r="D1226" s="2007"/>
      <c r="E1226" s="2007"/>
      <c r="F1226" s="2007"/>
      <c r="G1226" s="2007"/>
      <c r="H1226" s="2007"/>
      <c r="I1226" s="2007"/>
      <c r="J1226" s="2007"/>
      <c r="K1226" s="2007"/>
      <c r="L1226" s="2007"/>
      <c r="M1226" s="2007"/>
      <c r="N1226" s="2007"/>
      <c r="O1226" s="2403" t="str">
        <f>'Part VIII Scoring Criteria'!O32</f>
        <v>Yes</v>
      </c>
      <c r="P1226" s="2885"/>
      <c r="Q1226" s="2007"/>
      <c r="R1226" s="2888"/>
      <c r="S1226" s="2007"/>
      <c r="T1226" s="2889"/>
      <c r="U1226" s="2889"/>
      <c r="V1226" s="2007"/>
      <c r="W1226" s="2007"/>
      <c r="X1226" s="2007"/>
      <c r="Y1226" s="2007"/>
      <c r="Z1226" s="2007"/>
      <c r="AA1226" s="2007"/>
      <c r="AB1226" s="2007"/>
      <c r="AC1226" s="2007"/>
      <c r="AD1226" s="2007"/>
      <c r="AE1226" s="2007"/>
      <c r="AF1226" s="2007"/>
    </row>
    <row r="1227" spans="1:32" ht="14.5">
      <c r="A1227" s="1974"/>
      <c r="B1227" s="2890" t="s">
        <v>1725</v>
      </c>
      <c r="C1227" s="1974"/>
      <c r="D1227" s="2890"/>
      <c r="E1227" s="2007"/>
      <c r="F1227" s="2007"/>
      <c r="G1227" s="2007"/>
      <c r="H1227" s="2007"/>
      <c r="I1227" s="2007"/>
      <c r="J1227" s="2007"/>
      <c r="K1227" s="2007"/>
      <c r="L1227" s="2007"/>
      <c r="M1227" s="2008"/>
      <c r="N1227" s="2006"/>
      <c r="O1227" s="2885"/>
      <c r="P1227" s="2403"/>
      <c r="Q1227" s="2001"/>
      <c r="R1227" s="2001"/>
      <c r="S1227" s="2001"/>
      <c r="T1227" s="2001"/>
      <c r="U1227" s="2001"/>
      <c r="V1227" s="2001"/>
      <c r="W1227" s="2001"/>
      <c r="X1227" s="2001"/>
      <c r="Y1227" s="2001"/>
      <c r="Z1227" s="2001"/>
      <c r="AA1227" s="2001"/>
      <c r="AB1227" s="2001"/>
      <c r="AC1227" s="2001"/>
      <c r="AD1227" s="2001"/>
      <c r="AE1227" s="2001"/>
      <c r="AF1227" s="2001"/>
    </row>
    <row r="1228" spans="1:32" ht="14">
      <c r="A1228" s="2007"/>
      <c r="B1228" s="2007"/>
      <c r="C1228" s="2007"/>
      <c r="D1228" s="2007"/>
      <c r="E1228" s="2007"/>
      <c r="F1228" s="2007"/>
      <c r="G1228" s="2007"/>
      <c r="H1228" s="2007"/>
      <c r="I1228" s="2007"/>
      <c r="J1228" s="2007"/>
      <c r="K1228" s="2007"/>
      <c r="L1228" s="2007"/>
      <c r="M1228" s="2007"/>
      <c r="N1228" s="2007"/>
      <c r="O1228" s="2007"/>
      <c r="P1228" s="2007"/>
      <c r="Q1228" s="1973"/>
      <c r="R1228" s="2001"/>
      <c r="S1228" s="2001"/>
      <c r="T1228" s="2001"/>
      <c r="U1228" s="2001"/>
      <c r="V1228" s="2001"/>
      <c r="W1228" s="2001"/>
      <c r="X1228" s="2001"/>
      <c r="Y1228" s="2001"/>
      <c r="Z1228" s="2001"/>
      <c r="AA1228" s="2001"/>
      <c r="AB1228" s="2001"/>
      <c r="AC1228" s="2001"/>
      <c r="AD1228" s="2001"/>
      <c r="AE1228" s="2001"/>
      <c r="AF1228" s="2001"/>
    </row>
    <row r="1229" spans="1:32" ht="14">
      <c r="A1229" s="1974"/>
      <c r="B1229" s="1973"/>
      <c r="C1229" s="1974"/>
      <c r="D1229" s="1973"/>
      <c r="E1229" s="1974"/>
      <c r="F1229" s="1974"/>
      <c r="G1229" s="2874"/>
      <c r="H1229" s="2874"/>
      <c r="I1229" s="2874"/>
      <c r="J1229" s="2874"/>
      <c r="K1229" s="2874"/>
      <c r="L1229" s="2874"/>
      <c r="M1229" s="1974"/>
      <c r="N1229" s="2001"/>
      <c r="O1229" s="2891"/>
      <c r="P1229" s="1973"/>
      <c r="Q1229" s="2001"/>
      <c r="R1229" s="1974"/>
      <c r="S1229" s="1974"/>
      <c r="T1229" s="1974"/>
      <c r="U1229" s="1974"/>
      <c r="V1229" s="1974"/>
      <c r="W1229" s="1974"/>
      <c r="X1229" s="2408"/>
      <c r="Y1229" s="2408"/>
      <c r="Z1229" s="2408"/>
      <c r="AA1229" s="2408"/>
      <c r="AB1229" s="2408"/>
      <c r="AC1229" s="2408"/>
      <c r="AD1229" s="2408"/>
      <c r="AE1229" s="2408"/>
      <c r="AF1229" s="2408"/>
    </row>
    <row r="1230" spans="1:32" ht="14">
      <c r="A1230" s="2001"/>
      <c r="B1230" s="2001"/>
      <c r="C1230" s="2001"/>
      <c r="D1230" s="2001"/>
      <c r="E1230" s="2001"/>
      <c r="F1230" s="2001"/>
      <c r="G1230" s="2001"/>
      <c r="H1230" s="2001"/>
      <c r="I1230" s="2001"/>
      <c r="J1230" s="2001"/>
      <c r="K1230" s="2001"/>
      <c r="L1230" s="2001"/>
      <c r="M1230" s="2001"/>
      <c r="N1230" s="1992"/>
      <c r="O1230" s="2003"/>
      <c r="P1230" s="2003"/>
      <c r="Q1230" s="2001"/>
      <c r="R1230" s="2001"/>
      <c r="S1230" s="2001"/>
      <c r="T1230" s="2399"/>
      <c r="U1230" s="2399"/>
      <c r="V1230" s="2001"/>
      <c r="W1230" s="2001"/>
      <c r="X1230" s="2001"/>
      <c r="Y1230" s="2001"/>
      <c r="Z1230" s="2001"/>
      <c r="AA1230" s="2001"/>
      <c r="AB1230" s="2001"/>
      <c r="AC1230" s="2001"/>
      <c r="AD1230" s="2001"/>
      <c r="AE1230" s="2001"/>
      <c r="AF1230" s="2001"/>
    </row>
    <row r="1231" spans="1:32" ht="14.5">
      <c r="A1231" s="2398" t="s">
        <v>1661</v>
      </c>
      <c r="B1231" s="2399" t="s">
        <v>4468</v>
      </c>
      <c r="C1231" s="1974"/>
      <c r="D1231" s="2399"/>
      <c r="E1231" s="2399"/>
      <c r="F1231" s="1974"/>
      <c r="G1231" s="2892"/>
      <c r="H1231" s="1974"/>
      <c r="I1231" s="1974"/>
      <c r="J1231" s="1974"/>
      <c r="K1231" s="1974"/>
      <c r="L1231" s="2406" t="str">
        <f>IF(AND(O1238&gt;0,O1240&gt;0), "Choose only one option!","")</f>
        <v/>
      </c>
      <c r="M1231" s="2403">
        <v>2</v>
      </c>
      <c r="N1231" s="1987"/>
      <c r="O1231" s="2000">
        <f>'Part VIII Scoring Criteria'!O37</f>
        <v>2</v>
      </c>
      <c r="P1231" s="2000">
        <f>'Part VIII Scoring Criteria'!P37</f>
        <v>0</v>
      </c>
      <c r="Q1231" s="2403" t="s">
        <v>415</v>
      </c>
      <c r="R1231" s="1973"/>
      <c r="S1231" s="1973"/>
      <c r="T1231" s="1973"/>
      <c r="U1231" s="1973"/>
      <c r="V1231" s="1973"/>
      <c r="W1231" s="1974"/>
      <c r="X1231" s="1974"/>
      <c r="Y1231" s="1974"/>
      <c r="Z1231" s="1974"/>
      <c r="AA1231" s="1974"/>
      <c r="AB1231" s="1974"/>
      <c r="AC1231" s="1974"/>
      <c r="AD1231" s="1974"/>
      <c r="AE1231" s="1974"/>
      <c r="AF1231" s="1974"/>
    </row>
    <row r="1232" spans="1:32" ht="15" customHeight="1">
      <c r="A1232" s="2398"/>
      <c r="B1232" s="1974" t="s">
        <v>4708</v>
      </c>
      <c r="C1232" s="1974"/>
      <c r="D1232" s="2399"/>
      <c r="E1232" s="2399"/>
      <c r="F1232" s="1974"/>
      <c r="G1232" s="1974"/>
      <c r="H1232" s="1974"/>
      <c r="I1232" s="1974"/>
      <c r="J1232" s="2893"/>
      <c r="K1232" s="1974"/>
      <c r="L1232" s="1974"/>
      <c r="M1232" s="2403"/>
      <c r="N1232" s="1974"/>
      <c r="O1232" s="2894" t="s">
        <v>4709</v>
      </c>
      <c r="P1232" s="2894" t="s">
        <v>3067</v>
      </c>
      <c r="Q1232" s="2403"/>
      <c r="R1232" s="1973"/>
      <c r="S1232" s="1973"/>
      <c r="T1232" s="1973"/>
      <c r="U1232" s="1973"/>
      <c r="V1232" s="1973"/>
      <c r="W1232" s="2001"/>
      <c r="X1232" s="2001"/>
      <c r="Y1232" s="1974"/>
      <c r="Z1232" s="1974"/>
      <c r="AA1232" s="1974"/>
      <c r="AB1232" s="1974"/>
      <c r="AC1232" s="1974"/>
      <c r="AD1232" s="1974"/>
      <c r="AE1232" s="1974"/>
      <c r="AF1232" s="1974"/>
    </row>
    <row r="1233" spans="1:32" ht="14">
      <c r="A1233" s="2398"/>
      <c r="B1233" s="1974"/>
      <c r="C1233" s="1974" t="s">
        <v>4576</v>
      </c>
      <c r="D1233" s="1974"/>
      <c r="E1233" s="1974"/>
      <c r="F1233" s="1974"/>
      <c r="G1233" s="1974"/>
      <c r="H1233" s="1974"/>
      <c r="I1233" s="1974"/>
      <c r="J1233" s="2004" t="str">
        <f>'Part VIII Scoring Criteria'!J39</f>
        <v>National Church Residences</v>
      </c>
      <c r="K1233" s="1973"/>
      <c r="L1233" s="1973"/>
      <c r="M1233" s="1973"/>
      <c r="N1233" s="1973"/>
      <c r="O1233" s="2894"/>
      <c r="P1233" s="2894"/>
      <c r="Q1233" s="2403"/>
      <c r="R1233" s="1974"/>
      <c r="S1233" s="1974"/>
      <c r="T1233" s="1974"/>
      <c r="U1233" s="1974"/>
      <c r="V1233" s="1973"/>
      <c r="W1233" s="2001"/>
      <c r="X1233" s="2001"/>
      <c r="Y1233" s="1974"/>
      <c r="Z1233" s="1974"/>
      <c r="AA1233" s="1974"/>
      <c r="AB1233" s="1974"/>
      <c r="AC1233" s="1974"/>
      <c r="AD1233" s="1974"/>
      <c r="AE1233" s="1974"/>
      <c r="AF1233" s="1974"/>
    </row>
    <row r="1234" spans="1:32" ht="14">
      <c r="A1234" s="2398"/>
      <c r="B1234" s="1974"/>
      <c r="C1234" s="1974" t="s">
        <v>4926</v>
      </c>
      <c r="D1234" s="1974"/>
      <c r="E1234" s="1974"/>
      <c r="F1234" s="1974"/>
      <c r="G1234" s="1974"/>
      <c r="H1234" s="1974"/>
      <c r="I1234" s="1974"/>
      <c r="J1234" s="2004" t="str">
        <f>'Part VIII Scoring Criteria'!J40</f>
        <v>Non-Profit</v>
      </c>
      <c r="K1234" s="1973"/>
      <c r="L1234" s="1974"/>
      <c r="M1234" s="1974"/>
      <c r="N1234" s="1974"/>
      <c r="O1234" s="2894"/>
      <c r="P1234" s="2894"/>
      <c r="Q1234" s="2403"/>
      <c r="R1234" s="1974"/>
      <c r="S1234" s="1974"/>
      <c r="T1234" s="1974"/>
      <c r="U1234" s="1974"/>
      <c r="V1234" s="1974"/>
      <c r="W1234" s="1974"/>
      <c r="X1234" s="2001"/>
      <c r="Y1234" s="1974"/>
      <c r="Z1234" s="1974"/>
      <c r="AA1234" s="1974"/>
      <c r="AB1234" s="1974"/>
      <c r="AC1234" s="1974"/>
      <c r="AD1234" s="1974"/>
      <c r="AE1234" s="1974"/>
      <c r="AF1234" s="1974"/>
    </row>
    <row r="1235" spans="1:32" ht="14">
      <c r="A1235" s="2398"/>
      <c r="B1235" s="1974"/>
      <c r="C1235" s="1974" t="s">
        <v>4575</v>
      </c>
      <c r="D1235" s="1974"/>
      <c r="E1235" s="1974"/>
      <c r="F1235" s="1974"/>
      <c r="G1235" s="1974"/>
      <c r="H1235" s="1974"/>
      <c r="I1235" s="1974"/>
      <c r="J1235" s="2004">
        <f>'Part VIII Scoring Criteria'!J41</f>
        <v>531110</v>
      </c>
      <c r="K1235" s="1973"/>
      <c r="L1235" s="1974"/>
      <c r="M1235" s="1974"/>
      <c r="N1235" s="1974"/>
      <c r="O1235" s="2894"/>
      <c r="P1235" s="2894"/>
      <c r="Q1235" s="2403"/>
      <c r="R1235" s="1974"/>
      <c r="S1235" s="1974"/>
      <c r="T1235" s="1974"/>
      <c r="U1235" s="1974"/>
      <c r="V1235" s="1974"/>
      <c r="W1235" s="1974"/>
      <c r="X1235" s="2001"/>
      <c r="Y1235" s="1974"/>
      <c r="Z1235" s="1974"/>
      <c r="AA1235" s="1974"/>
      <c r="AB1235" s="1974"/>
      <c r="AC1235" s="1974"/>
      <c r="AD1235" s="1974"/>
      <c r="AE1235" s="1974"/>
      <c r="AF1235" s="1974"/>
    </row>
    <row r="1236" spans="1:32" ht="15" customHeight="1">
      <c r="A1236" s="2895"/>
      <c r="B1236" s="2401"/>
      <c r="C1236" s="1974" t="s">
        <v>4827</v>
      </c>
      <c r="D1236" s="1974"/>
      <c r="E1236" s="1974"/>
      <c r="F1236" s="1974"/>
      <c r="G1236" s="1974"/>
      <c r="H1236" s="1974"/>
      <c r="I1236" s="1974"/>
      <c r="J1236" s="1974"/>
      <c r="K1236" s="1974"/>
      <c r="L1236" s="1974"/>
      <c r="M1236" s="1974"/>
      <c r="N1236" s="2401"/>
      <c r="O1236" s="2403" t="str">
        <f>'Part VIII Scoring Criteria'!O42</f>
        <v>Yes</v>
      </c>
      <c r="P1236" s="1973"/>
      <c r="Q1236" s="2403"/>
      <c r="R1236" s="1974"/>
      <c r="S1236" s="1974"/>
      <c r="T1236" s="2001"/>
      <c r="U1236" s="2001"/>
      <c r="V1236" s="2001"/>
      <c r="W1236" s="2001"/>
      <c r="X1236" s="2001"/>
      <c r="Y1236" s="2001"/>
      <c r="Z1236" s="2001"/>
      <c r="AA1236" s="2001"/>
      <c r="AB1236" s="2001"/>
      <c r="AC1236" s="2001"/>
      <c r="AD1236" s="2001"/>
      <c r="AE1236" s="2001"/>
      <c r="AF1236" s="2001"/>
    </row>
    <row r="1237" spans="1:32" ht="14">
      <c r="A1237" s="1974"/>
      <c r="B1237" s="2001"/>
      <c r="C1237" s="2001"/>
      <c r="D1237" s="1974"/>
      <c r="E1237" s="1974"/>
      <c r="F1237" s="1973"/>
      <c r="G1237" s="1973"/>
      <c r="H1237" s="1973"/>
      <c r="I1237" s="1973"/>
      <c r="J1237" s="1974"/>
      <c r="K1237" s="1974"/>
      <c r="L1237" s="1974"/>
      <c r="M1237" s="1987"/>
      <c r="N1237" s="2403"/>
      <c r="O1237" s="2003"/>
      <c r="P1237" s="2000"/>
      <c r="Q1237" s="2001"/>
      <c r="R1237" s="2001"/>
      <c r="S1237" s="2001"/>
      <c r="T1237" s="2001"/>
      <c r="U1237" s="2001"/>
      <c r="V1237" s="2001"/>
      <c r="W1237" s="2001"/>
      <c r="X1237" s="2001"/>
      <c r="Y1237" s="2001"/>
      <c r="Z1237" s="2001"/>
      <c r="AA1237" s="2001"/>
      <c r="AB1237" s="2001"/>
      <c r="AC1237" s="2001"/>
      <c r="AD1237" s="2001"/>
      <c r="AE1237" s="2001"/>
      <c r="AF1237" s="2001"/>
    </row>
    <row r="1238" spans="1:32" ht="14">
      <c r="A1238" s="2403" t="s">
        <v>1836</v>
      </c>
      <c r="B1238" s="2896" t="s">
        <v>4469</v>
      </c>
      <c r="C1238" s="2001"/>
      <c r="D1238" s="2008"/>
      <c r="E1238" s="2008"/>
      <c r="F1238" s="2001"/>
      <c r="G1238" s="2001"/>
      <c r="H1238" s="2008"/>
      <c r="I1238" s="2001"/>
      <c r="J1238" s="2001"/>
      <c r="K1238" s="2001"/>
      <c r="L1238" s="2008"/>
      <c r="M1238" s="1992">
        <v>2</v>
      </c>
      <c r="N1238" s="2401"/>
      <c r="O1238" s="2000">
        <f>'Part VIII Scoring Criteria'!O44</f>
        <v>0</v>
      </c>
      <c r="P1238" s="2000">
        <f>'Part VIII Scoring Criteria'!P44</f>
        <v>0</v>
      </c>
      <c r="Q1238" s="2003" t="str">
        <f>IF(OR(O1238=0,O1238="",O1238=$M1238),"","Check!")</f>
        <v/>
      </c>
      <c r="R1238" s="2880"/>
      <c r="S1238" s="1973"/>
      <c r="T1238" s="1973"/>
      <c r="U1238" s="1973"/>
      <c r="V1238" s="1973"/>
      <c r="W1238" s="2001"/>
      <c r="X1238" s="2001"/>
      <c r="Y1238" s="2001"/>
      <c r="Z1238" s="2001"/>
      <c r="AA1238" s="2001"/>
      <c r="AB1238" s="2001"/>
      <c r="AC1238" s="2001"/>
      <c r="AD1238" s="2001"/>
      <c r="AE1238" s="2001"/>
      <c r="AF1238" s="2001"/>
    </row>
    <row r="1239" spans="1:32" ht="14">
      <c r="A1239" s="2897"/>
      <c r="B1239" s="2008" t="s">
        <v>4927</v>
      </c>
      <c r="C1239" s="2007"/>
      <c r="D1239" s="2007"/>
      <c r="E1239" s="2007"/>
      <c r="F1239" s="2007"/>
      <c r="G1239" s="2007"/>
      <c r="H1239" s="2007"/>
      <c r="I1239" s="2007"/>
      <c r="J1239" s="2007"/>
      <c r="K1239" s="2007"/>
      <c r="L1239" s="2007"/>
      <c r="M1239" s="2007"/>
      <c r="N1239" s="2882"/>
      <c r="O1239" s="2403" t="str">
        <f>'Part VIII Scoring Criteria'!O45</f>
        <v>N/a</v>
      </c>
      <c r="P1239" s="2403"/>
      <c r="Q1239" s="2885"/>
      <c r="R1239" s="2007"/>
      <c r="S1239" s="2007"/>
      <c r="T1239" s="2007"/>
      <c r="U1239" s="2007"/>
      <c r="V1239" s="2007"/>
      <c r="W1239" s="2007"/>
      <c r="X1239" s="2007"/>
      <c r="Y1239" s="2007"/>
      <c r="Z1239" s="2007"/>
      <c r="AA1239" s="2007"/>
      <c r="AB1239" s="2007"/>
      <c r="AC1239" s="2007"/>
      <c r="AD1239" s="2007"/>
      <c r="AE1239" s="2007"/>
      <c r="AF1239" s="2007"/>
    </row>
    <row r="1240" spans="1:32" ht="14">
      <c r="A1240" s="2403" t="s">
        <v>1838</v>
      </c>
      <c r="B1240" s="2896" t="s">
        <v>4470</v>
      </c>
      <c r="C1240" s="2001"/>
      <c r="D1240" s="2008"/>
      <c r="E1240" s="2001"/>
      <c r="F1240" s="2001"/>
      <c r="G1240" s="2001"/>
      <c r="H1240" s="2001"/>
      <c r="I1240" s="2001"/>
      <c r="J1240" s="2001"/>
      <c r="K1240" s="2001"/>
      <c r="L1240" s="2008"/>
      <c r="M1240" s="1992">
        <v>2</v>
      </c>
      <c r="N1240" s="2401"/>
      <c r="O1240" s="2000">
        <f>'Part VIII Scoring Criteria'!O46</f>
        <v>2</v>
      </c>
      <c r="P1240" s="2000">
        <f>'Part VIII Scoring Criteria'!P46</f>
        <v>0</v>
      </c>
      <c r="Q1240" s="2003" t="str">
        <f>IF(OR(O1240=0,O1240="",O1240=$M1240),"","Check!")</f>
        <v/>
      </c>
      <c r="R1240" s="2880"/>
      <c r="S1240" s="1973"/>
      <c r="T1240" s="1973"/>
      <c r="U1240" s="1973"/>
      <c r="V1240" s="1973"/>
      <c r="W1240" s="2001"/>
      <c r="X1240" s="2001"/>
      <c r="Y1240" s="2001"/>
      <c r="Z1240" s="2001"/>
      <c r="AA1240" s="2001"/>
      <c r="AB1240" s="2001"/>
      <c r="AC1240" s="2001"/>
      <c r="AD1240" s="2001"/>
      <c r="AE1240" s="2001"/>
      <c r="AF1240" s="2001"/>
    </row>
    <row r="1241" spans="1:32" ht="14">
      <c r="A1241" s="2403"/>
      <c r="B1241" s="1974" t="s">
        <v>4928</v>
      </c>
      <c r="C1241" s="2001"/>
      <c r="D1241" s="2008"/>
      <c r="E1241" s="2001"/>
      <c r="F1241" s="2001"/>
      <c r="G1241" s="2001"/>
      <c r="H1241" s="2001"/>
      <c r="I1241" s="2001"/>
      <c r="J1241" s="2001"/>
      <c r="K1241" s="2001"/>
      <c r="L1241" s="2008"/>
      <c r="M1241" s="1992"/>
      <c r="N1241" s="2401"/>
      <c r="O1241" s="2403" t="str">
        <f>'Part VIII Scoring Criteria'!O47</f>
        <v>Yes</v>
      </c>
      <c r="P1241" s="2403"/>
      <c r="Q1241" s="2003"/>
      <c r="R1241" s="2880"/>
      <c r="S1241" s="1973"/>
      <c r="T1241" s="1973"/>
      <c r="U1241" s="1973"/>
      <c r="V1241" s="1973"/>
      <c r="W1241" s="2001"/>
      <c r="X1241" s="2001"/>
      <c r="Y1241" s="2001"/>
      <c r="Z1241" s="2001"/>
      <c r="AA1241" s="2001"/>
      <c r="AB1241" s="2001"/>
      <c r="AC1241" s="2001"/>
      <c r="AD1241" s="2001"/>
      <c r="AE1241" s="2001"/>
      <c r="AF1241" s="2001"/>
    </row>
    <row r="1242" spans="1:32" ht="15" customHeight="1">
      <c r="A1242" s="2403"/>
      <c r="B1242" s="2007" t="s">
        <v>4828</v>
      </c>
      <c r="C1242" s="2007"/>
      <c r="D1242" s="2007"/>
      <c r="E1242" s="2007"/>
      <c r="F1242" s="2007"/>
      <c r="G1242" s="2007"/>
      <c r="H1242" s="2007"/>
      <c r="I1242" s="2007"/>
      <c r="J1242" s="2007"/>
      <c r="K1242" s="2007"/>
      <c r="L1242" s="2007"/>
      <c r="M1242" s="2007"/>
      <c r="N1242" s="2401"/>
      <c r="O1242" s="2403" t="str">
        <f>'Part VIII Scoring Criteria'!O48</f>
        <v>Yes</v>
      </c>
      <c r="P1242" s="2885"/>
      <c r="Q1242" s="2003"/>
      <c r="R1242" s="2880"/>
      <c r="S1242" s="1973"/>
      <c r="T1242" s="1973"/>
      <c r="U1242" s="1973"/>
      <c r="V1242" s="1973"/>
      <c r="W1242" s="2001"/>
      <c r="X1242" s="2001"/>
      <c r="Y1242" s="2001"/>
      <c r="Z1242" s="2001"/>
      <c r="AA1242" s="2001"/>
      <c r="AB1242" s="2001"/>
      <c r="AC1242" s="2001"/>
      <c r="AD1242" s="2001"/>
      <c r="AE1242" s="2001"/>
      <c r="AF1242" s="2001"/>
    </row>
    <row r="1243" spans="1:32" ht="14.5">
      <c r="A1243" s="1974"/>
      <c r="B1243" s="2872" t="s">
        <v>5176</v>
      </c>
      <c r="C1243" s="1974"/>
      <c r="D1243" s="1974"/>
      <c r="E1243" s="1974"/>
      <c r="F1243" s="1974"/>
      <c r="G1243" s="1974"/>
      <c r="H1243" s="1974"/>
      <c r="I1243" s="1974"/>
      <c r="J1243" s="1974"/>
      <c r="K1243" s="1974"/>
      <c r="L1243" s="2001"/>
      <c r="M1243" s="1974"/>
      <c r="N1243" s="1992"/>
      <c r="O1243" s="2000"/>
      <c r="P1243" s="2003"/>
      <c r="Q1243" s="2001"/>
      <c r="R1243" s="1973"/>
      <c r="S1243" s="1973"/>
      <c r="T1243" s="1973"/>
      <c r="U1243" s="1973"/>
      <c r="V1243" s="1973"/>
      <c r="W1243" s="2001"/>
      <c r="X1243" s="2001"/>
      <c r="Y1243" s="2001"/>
      <c r="Z1243" s="2001"/>
      <c r="AA1243" s="2001"/>
      <c r="AB1243" s="2001"/>
      <c r="AC1243" s="2001"/>
      <c r="AD1243" s="2001"/>
      <c r="AE1243" s="2001"/>
      <c r="AF1243" s="2001"/>
    </row>
    <row r="1244" spans="1:32" ht="14">
      <c r="A1244" s="2008" t="str">
        <f>'Part VIII Scoring Criteria'!A50</f>
        <v>Per 2024-25 QAP, National Church Residences (N^^) is a nonprofit and a Qualified Business, whose board is made up of more than 51% (10 out of 18) women and/or minority membership. These certifications were collected earlier this year for the 9% application round and per the 2024-2025 QAP Q&amp;A, Question ID 1367030458, this data may be utilized in the 4% round if no changes to personnel have occurred. All certifications, the board make up, and cofirmation no changes have been made to the board since the 9% applicaiton can be found in Folder 04 - MWBE.</v>
      </c>
      <c r="B1244" s="2007"/>
      <c r="C1244" s="2007"/>
      <c r="D1244" s="2007"/>
      <c r="E1244" s="2007"/>
      <c r="F1244" s="2007"/>
      <c r="G1244" s="2007"/>
      <c r="H1244" s="2007"/>
      <c r="I1244" s="2007"/>
      <c r="J1244" s="2007"/>
      <c r="K1244" s="2007"/>
      <c r="L1244" s="2007"/>
      <c r="M1244" s="2007"/>
      <c r="N1244" s="2007"/>
      <c r="O1244" s="2007"/>
      <c r="P1244" s="2007"/>
      <c r="Q1244" s="1973"/>
      <c r="R1244" s="2001"/>
      <c r="S1244" s="2001"/>
      <c r="T1244" s="2001"/>
      <c r="U1244" s="2001"/>
      <c r="V1244" s="2001"/>
      <c r="W1244" s="2001"/>
      <c r="X1244" s="2001"/>
      <c r="Y1244" s="2001"/>
      <c r="Z1244" s="2001"/>
      <c r="AA1244" s="2001"/>
      <c r="AB1244" s="2001"/>
      <c r="AC1244" s="2001"/>
      <c r="AD1244" s="2001"/>
      <c r="AE1244" s="2001"/>
      <c r="AF1244" s="2001"/>
    </row>
    <row r="1245" spans="1:32" ht="14.5">
      <c r="A1245" s="1974"/>
      <c r="B1245" s="2890" t="s">
        <v>1725</v>
      </c>
      <c r="C1245" s="1974"/>
      <c r="D1245" s="2890"/>
      <c r="E1245" s="2007"/>
      <c r="F1245" s="2007"/>
      <c r="G1245" s="2007"/>
      <c r="H1245" s="2007"/>
      <c r="I1245" s="2007"/>
      <c r="J1245" s="2007"/>
      <c r="K1245" s="2007"/>
      <c r="L1245" s="2007"/>
      <c r="M1245" s="2007"/>
      <c r="N1245" s="2007"/>
      <c r="O1245" s="2866"/>
      <c r="P1245" s="1973"/>
      <c r="Q1245" s="2001"/>
      <c r="R1245" s="2001"/>
      <c r="S1245" s="2001"/>
      <c r="T1245" s="2001"/>
      <c r="U1245" s="2001"/>
      <c r="V1245" s="2001"/>
      <c r="W1245" s="2001"/>
      <c r="X1245" s="2001"/>
      <c r="Y1245" s="2001"/>
      <c r="Z1245" s="2001"/>
      <c r="AA1245" s="2001"/>
      <c r="AB1245" s="2001"/>
      <c r="AC1245" s="2001"/>
      <c r="AD1245" s="2001"/>
      <c r="AE1245" s="2001"/>
      <c r="AF1245" s="2001"/>
    </row>
    <row r="1246" spans="1:32" ht="14">
      <c r="A1246" s="2007"/>
      <c r="B1246" s="2007"/>
      <c r="C1246" s="2007"/>
      <c r="D1246" s="2007"/>
      <c r="E1246" s="2007"/>
      <c r="F1246" s="2007"/>
      <c r="G1246" s="2007"/>
      <c r="H1246" s="2007"/>
      <c r="I1246" s="2007"/>
      <c r="J1246" s="2007"/>
      <c r="K1246" s="2007"/>
      <c r="L1246" s="2007"/>
      <c r="M1246" s="2007"/>
      <c r="N1246" s="2007"/>
      <c r="O1246" s="2007"/>
      <c r="P1246" s="2007"/>
      <c r="Q1246" s="1973"/>
      <c r="R1246" s="2001"/>
      <c r="S1246" s="2001"/>
      <c r="T1246" s="2001"/>
      <c r="U1246" s="2001"/>
      <c r="V1246" s="2001"/>
      <c r="W1246" s="2001"/>
      <c r="X1246" s="2001"/>
      <c r="Y1246" s="2001"/>
      <c r="Z1246" s="2001"/>
      <c r="AA1246" s="2001"/>
      <c r="AB1246" s="2001"/>
      <c r="AC1246" s="2001"/>
      <c r="AD1246" s="2001"/>
      <c r="AE1246" s="2001"/>
      <c r="AF1246" s="2001"/>
    </row>
    <row r="1247" spans="1:32" ht="14">
      <c r="A1247" s="1974"/>
      <c r="B1247" s="1973"/>
      <c r="C1247" s="1974"/>
      <c r="D1247" s="1973"/>
      <c r="E1247" s="1974"/>
      <c r="F1247" s="1974"/>
      <c r="G1247" s="2874"/>
      <c r="H1247" s="2874"/>
      <c r="I1247" s="2874"/>
      <c r="J1247" s="2874"/>
      <c r="K1247" s="2874"/>
      <c r="L1247" s="2874"/>
      <c r="M1247" s="1974"/>
      <c r="N1247" s="2001"/>
      <c r="O1247" s="2891"/>
      <c r="P1247" s="1973"/>
      <c r="Q1247" s="2001"/>
      <c r="R1247" s="1974"/>
      <c r="S1247" s="1974"/>
      <c r="T1247" s="1974"/>
      <c r="U1247" s="1974"/>
      <c r="V1247" s="1974"/>
      <c r="W1247" s="1974"/>
      <c r="X1247" s="2408"/>
      <c r="Y1247" s="2408"/>
      <c r="Z1247" s="2408"/>
      <c r="AA1247" s="2408"/>
      <c r="AB1247" s="2408"/>
      <c r="AC1247" s="2408"/>
      <c r="AD1247" s="2408"/>
      <c r="AE1247" s="2408"/>
      <c r="AF1247" s="2408"/>
    </row>
    <row r="1248" spans="1:32" ht="14">
      <c r="A1248" s="2001"/>
      <c r="B1248" s="2001"/>
      <c r="C1248" s="2001"/>
      <c r="D1248" s="2001"/>
      <c r="E1248" s="2001"/>
      <c r="F1248" s="2001"/>
      <c r="G1248" s="2001"/>
      <c r="H1248" s="2001"/>
      <c r="I1248" s="2001"/>
      <c r="J1248" s="2001"/>
      <c r="K1248" s="2001"/>
      <c r="L1248" s="2001"/>
      <c r="M1248" s="2001"/>
      <c r="N1248" s="1992"/>
      <c r="O1248" s="2003"/>
      <c r="P1248" s="2003"/>
      <c r="Q1248" s="2001"/>
      <c r="R1248" s="2001"/>
      <c r="S1248" s="2001"/>
      <c r="T1248" s="2399"/>
      <c r="U1248" s="2399"/>
      <c r="V1248" s="2001"/>
      <c r="W1248" s="2001"/>
      <c r="X1248" s="2001"/>
      <c r="Y1248" s="2001"/>
      <c r="Z1248" s="2001"/>
      <c r="AA1248" s="2001"/>
      <c r="AB1248" s="2001"/>
      <c r="AC1248" s="2001"/>
      <c r="AD1248" s="2001"/>
      <c r="AE1248" s="2001"/>
      <c r="AF1248" s="2001"/>
    </row>
    <row r="1249" spans="1:32" ht="14">
      <c r="A1249" s="2398" t="s">
        <v>1663</v>
      </c>
      <c r="B1249" s="2399" t="s">
        <v>3259</v>
      </c>
      <c r="C1249" s="2001"/>
      <c r="D1249" s="2009"/>
      <c r="E1249" s="2009"/>
      <c r="F1249" s="1974"/>
      <c r="G1249" s="1974"/>
      <c r="H1249" s="1974"/>
      <c r="I1249" s="2001"/>
      <c r="J1249" s="2898"/>
      <c r="K1249" s="2403"/>
      <c r="L1249" s="2876" t="s">
        <v>4866</v>
      </c>
      <c r="M1249" s="2000">
        <v>5</v>
      </c>
      <c r="N1249" s="1987"/>
      <c r="O1249" s="2871">
        <f>'Part VIII Scoring Criteria'!O55</f>
        <v>2</v>
      </c>
      <c r="P1249" s="2871">
        <f>'Part VIII Scoring Criteria'!P55</f>
        <v>0</v>
      </c>
      <c r="Q1249" s="2403" t="s">
        <v>415</v>
      </c>
      <c r="R1249" s="2001"/>
      <c r="S1249" s="2001"/>
      <c r="T1249" s="2001"/>
      <c r="U1249" s="2001"/>
      <c r="V1249" s="2001"/>
      <c r="W1249" s="2001"/>
      <c r="X1249" s="2001"/>
      <c r="Y1249" s="2001"/>
      <c r="Z1249" s="2001"/>
      <c r="AA1249" s="2001"/>
      <c r="AB1249" s="2001"/>
      <c r="AC1249" s="2001"/>
      <c r="AD1249" s="2001"/>
      <c r="AE1249" s="2001"/>
      <c r="AF1249" s="2001"/>
    </row>
    <row r="1250" spans="1:32" ht="14">
      <c r="A1250" s="2899" t="s">
        <v>1836</v>
      </c>
      <c r="B1250" s="1973" t="s">
        <v>3260</v>
      </c>
      <c r="C1250" s="2001"/>
      <c r="D1250" s="2001"/>
      <c r="E1250" s="2001"/>
      <c r="F1250" s="2001"/>
      <c r="G1250" s="2001"/>
      <c r="H1250" s="2001"/>
      <c r="I1250" s="2001"/>
      <c r="J1250" s="2001"/>
      <c r="K1250" s="2001"/>
      <c r="L1250" s="2878" t="str">
        <f>IF(O1250&lt;=M1250,"","* * Check Score! * *")</f>
        <v/>
      </c>
      <c r="M1250" s="1987">
        <v>4</v>
      </c>
      <c r="N1250" s="2401"/>
      <c r="O1250" s="2403">
        <f>'Part VIII Scoring Criteria'!O56</f>
        <v>2</v>
      </c>
      <c r="P1250" s="2000"/>
      <c r="Q1250" s="2879" t="str">
        <f>IF(O1250&lt;=M1250,"","*CHECK!*")</f>
        <v/>
      </c>
      <c r="R1250" s="1973"/>
      <c r="S1250" s="1973"/>
      <c r="T1250" s="2866"/>
      <c r="U1250" s="2001"/>
      <c r="V1250" s="2001"/>
      <c r="W1250" s="2001"/>
      <c r="X1250" s="2001"/>
      <c r="Y1250" s="2001"/>
      <c r="Z1250" s="2001"/>
      <c r="AA1250" s="2001"/>
      <c r="AB1250" s="2001"/>
      <c r="AC1250" s="2001"/>
      <c r="AD1250" s="2001"/>
      <c r="AE1250" s="2001"/>
      <c r="AF1250" s="2001"/>
    </row>
    <row r="1251" spans="1:32" ht="15" customHeight="1">
      <c r="A1251" s="2899"/>
      <c r="B1251" s="2895" t="s">
        <v>4831</v>
      </c>
      <c r="C1251" s="2895"/>
      <c r="D1251" s="2895"/>
      <c r="E1251" s="2895"/>
      <c r="F1251" s="2895"/>
      <c r="G1251" s="2895"/>
      <c r="H1251" s="2895"/>
      <c r="I1251" s="2895"/>
      <c r="J1251" s="2895"/>
      <c r="K1251" s="2895"/>
      <c r="L1251" s="2895"/>
      <c r="M1251" s="2001"/>
      <c r="N1251" s="2001"/>
      <c r="O1251" s="2403" t="str">
        <f>'Part VIII Scoring Criteria'!O57</f>
        <v>Yes</v>
      </c>
      <c r="P1251" s="2403"/>
      <c r="Q1251" s="2001"/>
      <c r="R1251" s="1973"/>
      <c r="S1251" s="1973"/>
      <c r="T1251" s="2866"/>
      <c r="U1251" s="2001"/>
      <c r="V1251" s="2001"/>
      <c r="W1251" s="2001"/>
      <c r="X1251" s="2001"/>
      <c r="Y1251" s="2001"/>
      <c r="Z1251" s="2001"/>
      <c r="AA1251" s="2001"/>
      <c r="AB1251" s="2001"/>
      <c r="AC1251" s="2001"/>
      <c r="AD1251" s="2001"/>
      <c r="AE1251" s="2001"/>
      <c r="AF1251" s="2001"/>
    </row>
    <row r="1252" spans="1:32" ht="14.5">
      <c r="A1252" s="2899"/>
      <c r="B1252" s="2900"/>
      <c r="C1252" s="2007"/>
      <c r="D1252" s="2007"/>
      <c r="E1252" s="2007"/>
      <c r="F1252" s="2007"/>
      <c r="G1252" s="2007"/>
      <c r="H1252" s="2007"/>
      <c r="I1252" s="2007"/>
      <c r="J1252" s="2901" t="s">
        <v>1843</v>
      </c>
      <c r="K1252" s="2901"/>
      <c r="L1252" s="2001"/>
      <c r="M1252" s="2901" t="s">
        <v>1843</v>
      </c>
      <c r="N1252" s="2901"/>
      <c r="O1252" s="2901"/>
      <c r="P1252" s="2901"/>
      <c r="Q1252" s="2001"/>
      <c r="R1252" s="2880"/>
      <c r="S1252" s="2880"/>
      <c r="T1252" s="2866"/>
      <c r="U1252" s="2001"/>
      <c r="V1252" s="2001"/>
      <c r="W1252" s="2001"/>
      <c r="X1252" s="2001"/>
      <c r="Y1252" s="2001"/>
      <c r="Z1252" s="2001"/>
      <c r="AA1252" s="2001"/>
      <c r="AB1252" s="2001"/>
      <c r="AC1252" s="2001"/>
      <c r="AD1252" s="2001"/>
      <c r="AE1252" s="2001"/>
      <c r="AF1252" s="2001"/>
    </row>
    <row r="1253" spans="1:32" ht="14">
      <c r="A1253" s="2401"/>
      <c r="B1253" s="2881" t="s">
        <v>1839</v>
      </c>
      <c r="C1253" s="1974" t="s">
        <v>1386</v>
      </c>
      <c r="D1253" s="2001"/>
      <c r="E1253" s="2001"/>
      <c r="F1253" s="2001"/>
      <c r="G1253" s="2001"/>
      <c r="H1253" s="2001"/>
      <c r="I1253" s="2401"/>
      <c r="J1253" s="2902">
        <f>'Part VIII Scoring Criteria'!J59</f>
        <v>0</v>
      </c>
      <c r="K1253" s="2902"/>
      <c r="L1253" s="2401"/>
      <c r="M1253" s="2902"/>
      <c r="N1253" s="2902"/>
      <c r="O1253" s="2902"/>
      <c r="P1253" s="2902"/>
      <c r="Q1253" s="2001"/>
      <c r="R1253" s="2878"/>
      <c r="S1253" s="2001"/>
      <c r="T1253" s="2001"/>
      <c r="U1253" s="2001"/>
      <c r="V1253" s="2001"/>
      <c r="W1253" s="2001"/>
      <c r="X1253" s="2001"/>
      <c r="Y1253" s="2001"/>
      <c r="Z1253" s="2001"/>
      <c r="AA1253" s="2001"/>
      <c r="AB1253" s="2001"/>
      <c r="AC1253" s="2001"/>
      <c r="AD1253" s="2001"/>
      <c r="AE1253" s="2001"/>
      <c r="AF1253" s="2001"/>
    </row>
    <row r="1254" spans="1:32" ht="14">
      <c r="A1254" s="2876"/>
      <c r="B1254" s="2883" t="s">
        <v>1841</v>
      </c>
      <c r="C1254" s="1974" t="s">
        <v>3072</v>
      </c>
      <c r="D1254" s="2001"/>
      <c r="E1254" s="2001"/>
      <c r="F1254" s="2001"/>
      <c r="G1254" s="2001"/>
      <c r="H1254" s="2001"/>
      <c r="I1254" s="2887"/>
      <c r="J1254" s="2902">
        <f>'Part VIII Scoring Criteria'!J60</f>
        <v>0</v>
      </c>
      <c r="K1254" s="2902"/>
      <c r="L1254" s="2887"/>
      <c r="M1254" s="2902"/>
      <c r="N1254" s="2902"/>
      <c r="O1254" s="2902"/>
      <c r="P1254" s="2902"/>
      <c r="Q1254" s="2001"/>
      <c r="R1254" s="2001"/>
      <c r="S1254" s="2001"/>
      <c r="T1254" s="2001"/>
      <c r="U1254" s="2001"/>
      <c r="V1254" s="2001"/>
      <c r="W1254" s="2001"/>
      <c r="X1254" s="2001"/>
      <c r="Y1254" s="2001"/>
      <c r="Z1254" s="2001"/>
      <c r="AA1254" s="2001"/>
      <c r="AB1254" s="2001"/>
      <c r="AC1254" s="2001"/>
      <c r="AD1254" s="2001"/>
      <c r="AE1254" s="2001"/>
      <c r="AF1254" s="2001"/>
    </row>
    <row r="1255" spans="1:32" ht="14">
      <c r="A1255" s="2001"/>
      <c r="B1255" s="2881" t="s">
        <v>2326</v>
      </c>
      <c r="C1255" s="1974" t="s">
        <v>3827</v>
      </c>
      <c r="D1255" s="2001"/>
      <c r="E1255" s="2001"/>
      <c r="F1255" s="2001"/>
      <c r="G1255" s="2001"/>
      <c r="H1255" s="2001"/>
      <c r="I1255" s="2401"/>
      <c r="J1255" s="2902">
        <f>'Part VIII Scoring Criteria'!J61</f>
        <v>0</v>
      </c>
      <c r="K1255" s="2902"/>
      <c r="L1255" s="2401"/>
      <c r="M1255" s="2902"/>
      <c r="N1255" s="2902"/>
      <c r="O1255" s="2902"/>
      <c r="P1255" s="2902"/>
      <c r="Q1255" s="2001"/>
      <c r="R1255" s="2001"/>
      <c r="S1255" s="2001"/>
      <c r="T1255" s="2001"/>
      <c r="U1255" s="2001"/>
      <c r="V1255" s="2001"/>
      <c r="W1255" s="2001"/>
      <c r="X1255" s="2001"/>
      <c r="Y1255" s="2001"/>
      <c r="Z1255" s="2001"/>
      <c r="AA1255" s="2001"/>
      <c r="AB1255" s="2001"/>
      <c r="AC1255" s="2001"/>
      <c r="AD1255" s="2001"/>
      <c r="AE1255" s="2001"/>
      <c r="AF1255" s="2001"/>
    </row>
    <row r="1256" spans="1:32" ht="14">
      <c r="A1256" s="2001"/>
      <c r="B1256" s="2881" t="s">
        <v>1149</v>
      </c>
      <c r="C1256" s="1974" t="s">
        <v>4829</v>
      </c>
      <c r="D1256" s="2001"/>
      <c r="E1256" s="2001"/>
      <c r="F1256" s="2001"/>
      <c r="G1256" s="2001"/>
      <c r="H1256" s="2001"/>
      <c r="I1256" s="2401"/>
      <c r="J1256" s="2902">
        <f>'Part VIII Scoring Criteria'!J62</f>
        <v>0</v>
      </c>
      <c r="K1256" s="2902"/>
      <c r="L1256" s="2401"/>
      <c r="M1256" s="2902"/>
      <c r="N1256" s="2902"/>
      <c r="O1256" s="2902"/>
      <c r="P1256" s="2902"/>
      <c r="Q1256" s="2001"/>
      <c r="R1256" s="2001"/>
      <c r="S1256" s="2001"/>
      <c r="T1256" s="2001"/>
      <c r="U1256" s="2001"/>
      <c r="V1256" s="2001"/>
      <c r="W1256" s="2001"/>
      <c r="X1256" s="2001"/>
      <c r="Y1256" s="2001"/>
      <c r="Z1256" s="2001"/>
      <c r="AA1256" s="2001"/>
      <c r="AB1256" s="2001"/>
      <c r="AC1256" s="2001"/>
      <c r="AD1256" s="2001"/>
      <c r="AE1256" s="2001"/>
      <c r="AF1256" s="2001"/>
    </row>
    <row r="1257" spans="1:32" ht="14">
      <c r="A1257" s="2876"/>
      <c r="B1257" s="2883" t="s">
        <v>1150</v>
      </c>
      <c r="C1257" s="1974" t="s">
        <v>2988</v>
      </c>
      <c r="D1257" s="2001"/>
      <c r="E1257" s="2001"/>
      <c r="F1257" s="2001"/>
      <c r="G1257" s="2001"/>
      <c r="H1257" s="2001"/>
      <c r="I1257" s="2401"/>
      <c r="J1257" s="2902">
        <f>'Part VIII Scoring Criteria'!J63</f>
        <v>0</v>
      </c>
      <c r="K1257" s="2902"/>
      <c r="L1257" s="2401"/>
      <c r="M1257" s="2902"/>
      <c r="N1257" s="2902"/>
      <c r="O1257" s="2902"/>
      <c r="P1257" s="2902"/>
      <c r="Q1257" s="2001"/>
      <c r="R1257" s="2001"/>
      <c r="S1257" s="2001"/>
      <c r="T1257" s="2001"/>
      <c r="U1257" s="2001"/>
      <c r="V1257" s="2001"/>
      <c r="W1257" s="2001"/>
      <c r="X1257" s="2001"/>
      <c r="Y1257" s="2001"/>
      <c r="Z1257" s="2001"/>
      <c r="AA1257" s="2001"/>
      <c r="AB1257" s="2001"/>
      <c r="AC1257" s="2001"/>
      <c r="AD1257" s="2001"/>
      <c r="AE1257" s="2001"/>
      <c r="AF1257" s="2001"/>
    </row>
    <row r="1258" spans="1:32" ht="14">
      <c r="A1258" s="2401"/>
      <c r="B1258" s="2881" t="s">
        <v>1737</v>
      </c>
      <c r="C1258" s="1974" t="s">
        <v>2467</v>
      </c>
      <c r="D1258" s="2001"/>
      <c r="E1258" s="2001"/>
      <c r="F1258" s="2001"/>
      <c r="G1258" s="2001"/>
      <c r="H1258" s="2001"/>
      <c r="I1258" s="2887"/>
      <c r="J1258" s="2902">
        <f>'Part VIII Scoring Criteria'!J64</f>
        <v>1283216</v>
      </c>
      <c r="K1258" s="2902"/>
      <c r="L1258" s="2887"/>
      <c r="M1258" s="2902"/>
      <c r="N1258" s="2902"/>
      <c r="O1258" s="2902"/>
      <c r="P1258" s="2902"/>
      <c r="Q1258" s="2001"/>
      <c r="R1258" s="2001"/>
      <c r="S1258" s="2001"/>
      <c r="T1258" s="2001"/>
      <c r="U1258" s="2001"/>
      <c r="V1258" s="2001"/>
      <c r="W1258" s="2001"/>
      <c r="X1258" s="2001"/>
      <c r="Y1258" s="2001"/>
      <c r="Z1258" s="2001"/>
      <c r="AA1258" s="2001"/>
      <c r="AB1258" s="2001"/>
      <c r="AC1258" s="2001"/>
      <c r="AD1258" s="2001"/>
      <c r="AE1258" s="2001"/>
      <c r="AF1258" s="2001"/>
    </row>
    <row r="1259" spans="1:32" ht="14">
      <c r="A1259" s="2001"/>
      <c r="B1259" s="2881" t="s">
        <v>472</v>
      </c>
      <c r="C1259" s="1974" t="s">
        <v>1385</v>
      </c>
      <c r="D1259" s="2001"/>
      <c r="E1259" s="2001"/>
      <c r="F1259" s="2001"/>
      <c r="G1259" s="2001"/>
      <c r="H1259" s="2001"/>
      <c r="I1259" s="2401"/>
      <c r="J1259" s="2902">
        <f>'Part VIII Scoring Criteria'!J65</f>
        <v>0</v>
      </c>
      <c r="K1259" s="2902"/>
      <c r="L1259" s="2401"/>
      <c r="M1259" s="2902"/>
      <c r="N1259" s="2902"/>
      <c r="O1259" s="2902"/>
      <c r="P1259" s="2902"/>
      <c r="Q1259" s="2001"/>
      <c r="R1259" s="2001"/>
      <c r="S1259" s="2001"/>
      <c r="T1259" s="2001"/>
      <c r="U1259" s="2001"/>
      <c r="V1259" s="2001"/>
      <c r="W1259" s="2001"/>
      <c r="X1259" s="2001"/>
      <c r="Y1259" s="2001"/>
      <c r="Z1259" s="2001"/>
      <c r="AA1259" s="2001"/>
      <c r="AB1259" s="2001"/>
      <c r="AC1259" s="2001"/>
      <c r="AD1259" s="2001"/>
      <c r="AE1259" s="2001"/>
      <c r="AF1259" s="2001"/>
    </row>
    <row r="1260" spans="1:32" ht="14">
      <c r="A1260" s="2001"/>
      <c r="B1260" s="2881" t="s">
        <v>473</v>
      </c>
      <c r="C1260" s="1974" t="s">
        <v>4126</v>
      </c>
      <c r="D1260" s="2001"/>
      <c r="E1260" s="2001"/>
      <c r="F1260" s="2001"/>
      <c r="G1260" s="2001"/>
      <c r="H1260" s="2001"/>
      <c r="I1260" s="2401"/>
      <c r="J1260" s="2902">
        <f>'Part VIII Scoring Criteria'!J66</f>
        <v>0</v>
      </c>
      <c r="K1260" s="2902"/>
      <c r="L1260" s="2401"/>
      <c r="M1260" s="2902"/>
      <c r="N1260" s="2902"/>
      <c r="O1260" s="2902"/>
      <c r="P1260" s="2902"/>
      <c r="Q1260" s="2001"/>
      <c r="R1260" s="2878"/>
      <c r="S1260" s="2001"/>
      <c r="T1260" s="2001"/>
      <c r="U1260" s="2001"/>
      <c r="V1260" s="2001"/>
      <c r="W1260" s="2001"/>
      <c r="X1260" s="2001"/>
      <c r="Y1260" s="2001"/>
      <c r="Z1260" s="2001"/>
      <c r="AA1260" s="2001"/>
      <c r="AB1260" s="2001"/>
      <c r="AC1260" s="2001"/>
      <c r="AD1260" s="2001"/>
      <c r="AE1260" s="2001"/>
      <c r="AF1260" s="2001"/>
    </row>
    <row r="1261" spans="1:32" ht="14">
      <c r="A1261" s="2876"/>
      <c r="B1261" s="2881" t="s">
        <v>3765</v>
      </c>
      <c r="C1261" s="1974" t="s">
        <v>3071</v>
      </c>
      <c r="D1261" s="2001"/>
      <c r="E1261" s="2001"/>
      <c r="F1261" s="2001"/>
      <c r="G1261" s="2001"/>
      <c r="H1261" s="2001"/>
      <c r="I1261" s="2401"/>
      <c r="J1261" s="2902">
        <f>'Part VIII Scoring Criteria'!J67</f>
        <v>0</v>
      </c>
      <c r="K1261" s="2902"/>
      <c r="L1261" s="2401"/>
      <c r="M1261" s="2902"/>
      <c r="N1261" s="2902"/>
      <c r="O1261" s="2902"/>
      <c r="P1261" s="2902"/>
      <c r="Q1261" s="2001"/>
      <c r="R1261" s="2878"/>
      <c r="S1261" s="2001"/>
      <c r="T1261" s="2001"/>
      <c r="U1261" s="2001"/>
      <c r="V1261" s="2001"/>
      <c r="W1261" s="2001"/>
      <c r="X1261" s="2001"/>
      <c r="Y1261" s="2001"/>
      <c r="Z1261" s="2001"/>
      <c r="AA1261" s="2001"/>
      <c r="AB1261" s="2001"/>
      <c r="AC1261" s="2001"/>
      <c r="AD1261" s="2001"/>
      <c r="AE1261" s="2001"/>
      <c r="AF1261" s="2001"/>
    </row>
    <row r="1262" spans="1:32" ht="14">
      <c r="A1262" s="2001"/>
      <c r="B1262" s="2881" t="s">
        <v>4690</v>
      </c>
      <c r="C1262" s="1974" t="s">
        <v>4689</v>
      </c>
      <c r="D1262" s="2001"/>
      <c r="E1262" s="2001"/>
      <c r="F1262" s="2001"/>
      <c r="G1262" s="2001"/>
      <c r="H1262" s="2001"/>
      <c r="I1262" s="2401"/>
      <c r="J1262" s="2902">
        <f>'Part VIII Scoring Criteria'!J68</f>
        <v>0</v>
      </c>
      <c r="K1262" s="2902"/>
      <c r="L1262" s="2401"/>
      <c r="M1262" s="2902"/>
      <c r="N1262" s="2902"/>
      <c r="O1262" s="2902"/>
      <c r="P1262" s="2902"/>
      <c r="Q1262" s="2001"/>
      <c r="R1262" s="2878"/>
      <c r="S1262" s="2001"/>
      <c r="T1262" s="2001"/>
      <c r="U1262" s="2001"/>
      <c r="V1262" s="2001"/>
      <c r="W1262" s="2001"/>
      <c r="X1262" s="2001"/>
      <c r="Y1262" s="2001"/>
      <c r="Z1262" s="2001"/>
      <c r="AA1262" s="2001"/>
      <c r="AB1262" s="2001"/>
      <c r="AC1262" s="2001"/>
      <c r="AD1262" s="2001"/>
      <c r="AE1262" s="2001"/>
      <c r="AF1262" s="2001"/>
    </row>
    <row r="1263" spans="1:32" ht="14">
      <c r="A1263" s="2001"/>
      <c r="B1263" s="2881" t="s">
        <v>4691</v>
      </c>
      <c r="C1263" s="1974" t="s">
        <v>4710</v>
      </c>
      <c r="D1263" s="2001"/>
      <c r="E1263" s="2001"/>
      <c r="F1263" s="2001"/>
      <c r="G1263" s="2001"/>
      <c r="H1263" s="2001"/>
      <c r="I1263" s="2401"/>
      <c r="J1263" s="2902">
        <f>'Part VIII Scoring Criteria'!J69</f>
        <v>0</v>
      </c>
      <c r="K1263" s="2902"/>
      <c r="L1263" s="2401"/>
      <c r="M1263" s="2902"/>
      <c r="N1263" s="2902"/>
      <c r="O1263" s="2902"/>
      <c r="P1263" s="2902"/>
      <c r="Q1263" s="2001"/>
      <c r="R1263" s="2878"/>
      <c r="S1263" s="2001"/>
      <c r="T1263" s="2001"/>
      <c r="U1263" s="2001"/>
      <c r="V1263" s="2001"/>
      <c r="W1263" s="2001"/>
      <c r="X1263" s="2001"/>
      <c r="Y1263" s="2001"/>
      <c r="Z1263" s="2001"/>
      <c r="AA1263" s="2001"/>
      <c r="AB1263" s="2001"/>
      <c r="AC1263" s="2001"/>
      <c r="AD1263" s="2001"/>
      <c r="AE1263" s="2001"/>
      <c r="AF1263" s="2001"/>
    </row>
    <row r="1264" spans="1:32" ht="14">
      <c r="A1264" s="2001"/>
      <c r="B1264" s="2881" t="s">
        <v>4830</v>
      </c>
      <c r="C1264" s="1974" t="s">
        <v>4711</v>
      </c>
      <c r="D1264" s="2001"/>
      <c r="E1264" s="2001"/>
      <c r="F1264" s="2001"/>
      <c r="G1264" s="2001"/>
      <c r="H1264" s="2001"/>
      <c r="I1264" s="2401"/>
      <c r="J1264" s="2902">
        <f>'Part VIII Scoring Criteria'!J70</f>
        <v>0</v>
      </c>
      <c r="K1264" s="2902"/>
      <c r="L1264" s="2401"/>
      <c r="M1264" s="2902"/>
      <c r="N1264" s="2902"/>
      <c r="O1264" s="2902"/>
      <c r="P1264" s="2902"/>
      <c r="Q1264" s="2001"/>
      <c r="R1264" s="2878"/>
      <c r="S1264" s="2001"/>
      <c r="T1264" s="2001"/>
      <c r="U1264" s="2001"/>
      <c r="V1264" s="2001"/>
      <c r="W1264" s="2001"/>
      <c r="X1264" s="2001"/>
      <c r="Y1264" s="2001"/>
      <c r="Z1264" s="2001"/>
      <c r="AA1264" s="2001"/>
      <c r="AB1264" s="2001"/>
      <c r="AC1264" s="2001"/>
      <c r="AD1264" s="2001"/>
      <c r="AE1264" s="2001"/>
      <c r="AF1264" s="2001"/>
    </row>
    <row r="1265" spans="1:32" ht="14">
      <c r="A1265" s="2001"/>
      <c r="B1265" s="1974"/>
      <c r="C1265" s="2001"/>
      <c r="D1265" s="2001"/>
      <c r="E1265" s="2001"/>
      <c r="F1265" s="2001"/>
      <c r="G1265" s="2001"/>
      <c r="H1265" s="2001"/>
      <c r="I1265" s="2406" t="s">
        <v>2406</v>
      </c>
      <c r="J1265" s="2902">
        <f>SUM(J1253:K1264)</f>
        <v>1283216</v>
      </c>
      <c r="K1265" s="2902"/>
      <c r="L1265" s="2001"/>
      <c r="M1265" s="2902">
        <f>SUM($M1253:$M1264)</f>
        <v>0</v>
      </c>
      <c r="N1265" s="2902"/>
      <c r="O1265" s="2902"/>
      <c r="P1265" s="2902"/>
      <c r="Q1265" s="2001"/>
      <c r="R1265" s="2001"/>
      <c r="S1265" s="2001"/>
      <c r="T1265" s="2001"/>
      <c r="U1265" s="2001" t="s">
        <v>4716</v>
      </c>
      <c r="V1265" s="2001"/>
      <c r="W1265" s="2001"/>
      <c r="X1265" s="2001"/>
      <c r="Y1265" s="2001"/>
      <c r="Z1265" s="2001"/>
      <c r="AA1265" s="2001"/>
      <c r="AB1265" s="2001"/>
      <c r="AC1265" s="2001"/>
      <c r="AD1265" s="2001"/>
      <c r="AE1265" s="2001"/>
      <c r="AF1265" s="2001"/>
    </row>
    <row r="1266" spans="1:32" ht="14">
      <c r="A1266" s="2001"/>
      <c r="B1266" s="2001"/>
      <c r="C1266" s="2001"/>
      <c r="D1266" s="2001"/>
      <c r="E1266" s="2001"/>
      <c r="F1266" s="2001"/>
      <c r="G1266" s="2001"/>
      <c r="H1266" s="2001"/>
      <c r="I1266" s="2001"/>
      <c r="J1266" s="2001"/>
      <c r="K1266" s="2001"/>
      <c r="L1266" s="2001"/>
      <c r="M1266" s="1973"/>
      <c r="N1266" s="1973"/>
      <c r="O1266" s="2001"/>
      <c r="P1266" s="1973"/>
      <c r="Q1266" s="2001"/>
      <c r="R1266" s="2001"/>
      <c r="S1266" s="2001"/>
      <c r="T1266" s="2001"/>
      <c r="U1266" s="2903" t="s">
        <v>4714</v>
      </c>
      <c r="V1266" s="2903" t="s">
        <v>4715</v>
      </c>
      <c r="W1266" s="2903" t="s">
        <v>4714</v>
      </c>
      <c r="X1266" s="2903" t="s">
        <v>4715</v>
      </c>
      <c r="Y1266" s="2903" t="s">
        <v>4714</v>
      </c>
      <c r="Z1266" s="2903" t="s">
        <v>4715</v>
      </c>
      <c r="AA1266" s="2001"/>
      <c r="AB1266" s="2001"/>
      <c r="AC1266" s="2001"/>
      <c r="AD1266" s="2001"/>
      <c r="AE1266" s="2001"/>
      <c r="AF1266" s="2001"/>
    </row>
    <row r="1267" spans="1:32" ht="14">
      <c r="A1267" s="1974"/>
      <c r="B1267" s="2881"/>
      <c r="C1267" s="2009" t="s">
        <v>2405</v>
      </c>
      <c r="D1267" s="1974"/>
      <c r="E1267" s="1974"/>
      <c r="F1267" s="2001"/>
      <c r="G1267" s="2001"/>
      <c r="H1267" s="2001"/>
      <c r="I1267" s="2401" t="s">
        <v>4129</v>
      </c>
      <c r="J1267" s="2902">
        <f>'Part V-Revenues &amp; Expenses'!$P$76</f>
        <v>116</v>
      </c>
      <c r="K1267" s="2902"/>
      <c r="L1267" s="1973"/>
      <c r="M1267" s="1973"/>
      <c r="N1267" s="1973"/>
      <c r="O1267" s="2001"/>
      <c r="P1267" s="1973"/>
      <c r="Q1267" s="2001"/>
      <c r="R1267" s="2904" t="s">
        <v>4712</v>
      </c>
      <c r="S1267" s="2001"/>
      <c r="T1267" s="2001"/>
      <c r="U1267" s="2905">
        <v>500000</v>
      </c>
      <c r="V1267" s="2906">
        <v>999999.99</v>
      </c>
      <c r="W1267" s="2905">
        <v>1000000</v>
      </c>
      <c r="X1267" s="2906">
        <v>1999999.99</v>
      </c>
      <c r="Y1267" s="2905">
        <v>2000000</v>
      </c>
      <c r="Z1267" s="2905"/>
      <c r="AA1267" s="2001"/>
      <c r="AB1267" s="2001"/>
      <c r="AC1267" s="2001"/>
      <c r="AD1267" s="2001"/>
      <c r="AE1267" s="2001"/>
      <c r="AF1267" s="2001"/>
    </row>
    <row r="1268" spans="1:32" ht="14">
      <c r="A1268" s="2001"/>
      <c r="B1268" s="2001"/>
      <c r="C1268" s="1974"/>
      <c r="D1268" s="1974"/>
      <c r="E1268" s="1974"/>
      <c r="F1268" s="2001"/>
      <c r="G1268" s="2001"/>
      <c r="H1268" s="2001"/>
      <c r="I1268" s="2876" t="s">
        <v>4130</v>
      </c>
      <c r="J1268" s="2907">
        <f>IF(J1267=0,0,J1265/J1267)</f>
        <v>11062.206896551725</v>
      </c>
      <c r="K1268" s="2907"/>
      <c r="L1268" s="2001"/>
      <c r="M1268" s="2907">
        <f>IF(J1267=0,0,M1265/J1267)</f>
        <v>0</v>
      </c>
      <c r="N1268" s="2907"/>
      <c r="O1268" s="2907"/>
      <c r="P1268" s="2907"/>
      <c r="Q1268" s="2001"/>
      <c r="R1268" s="2904" t="s">
        <v>4713</v>
      </c>
      <c r="S1268" s="2001"/>
      <c r="T1268" s="2001"/>
      <c r="U1268" s="2905">
        <v>10000</v>
      </c>
      <c r="V1268" s="2906">
        <v>19999.990000000002</v>
      </c>
      <c r="W1268" s="2905">
        <v>20000</v>
      </c>
      <c r="X1268" s="2906">
        <v>29999.99</v>
      </c>
      <c r="Y1268" s="2905">
        <v>30000</v>
      </c>
      <c r="Z1268" s="2905"/>
      <c r="AA1268" s="2001"/>
      <c r="AB1268" s="2001"/>
      <c r="AC1268" s="2001"/>
      <c r="AD1268" s="2001"/>
      <c r="AE1268" s="2001"/>
      <c r="AF1268" s="2001"/>
    </row>
    <row r="1269" spans="1:32" ht="14">
      <c r="A1269" s="2001"/>
      <c r="B1269" s="2001"/>
      <c r="C1269" s="1974"/>
      <c r="D1269" s="1974"/>
      <c r="E1269" s="1974"/>
      <c r="F1269" s="2001"/>
      <c r="G1269" s="2001"/>
      <c r="H1269" s="2001"/>
      <c r="I1269" s="2876" t="s">
        <v>4692</v>
      </c>
      <c r="J1269" s="2902">
        <f>'Part VIII Scoring Criteria'!J75</f>
        <v>2</v>
      </c>
      <c r="K1269" s="2902"/>
      <c r="L1269" s="2001"/>
      <c r="M1269" s="2902">
        <f>IF(AND(M1256+M1261&gt;0,M1265&gt;=$Y$73),$Y$75, IF(AND(M1256+M1261=0,M1265&gt;=$Y$73),$Y$76, IF(AND(M1256+M1261&gt;0,M1265&gt;=$W$73),$W$75,IF(AND(M1256+M1261=0,M1265&gt;=$W$73),$W$76, IF(AND(M1256+M1261&gt;0,M1265&gt;=$U$73),$U$75,IF(AND(M1256+M1261=0,M1265&gt;=$U$73),$U$76,0))))))</f>
        <v>0</v>
      </c>
      <c r="N1269" s="2902"/>
      <c r="O1269" s="2902">
        <f>IF(AND(O1256+O1261&gt;0,O1265&gt;=$Y$73),$Y$75, IF(AND(O1256+O1261=0,O1265&gt;=$Y$73),$Y$76, IF(AND(O1256+O1261&gt;0,O1265&gt;=$W$73),$W$75,IF(AND(O1256+O1261=0,O1265&gt;=$W$73),$W$76, IF(AND(O1256+O1261&gt;0,O1265&gt;=$U$73),$U$75,IF(AND(O1256+O1261=0,O1265&gt;=$U$73),$U$76,0))))))</f>
        <v>0</v>
      </c>
      <c r="P1269" s="2902"/>
      <c r="Q1269" s="2001"/>
      <c r="R1269" s="2904" t="s">
        <v>4832</v>
      </c>
      <c r="S1269" s="2001"/>
      <c r="T1269" s="2001"/>
      <c r="U1269" s="1974">
        <v>2</v>
      </c>
      <c r="V1269" s="1974"/>
      <c r="W1269" s="1974">
        <v>3</v>
      </c>
      <c r="X1269" s="1974"/>
      <c r="Y1269" s="1974">
        <v>4</v>
      </c>
      <c r="Z1269" s="1974"/>
      <c r="AA1269" s="2001"/>
      <c r="AB1269" s="2001"/>
      <c r="AC1269" s="2001"/>
      <c r="AD1269" s="2001"/>
      <c r="AE1269" s="2001"/>
      <c r="AF1269" s="2001"/>
    </row>
    <row r="1270" spans="1:32" ht="14">
      <c r="A1270" s="2001"/>
      <c r="B1270" s="2001"/>
      <c r="C1270" s="1974"/>
      <c r="D1270" s="1974"/>
      <c r="E1270" s="1974"/>
      <c r="F1270" s="2001"/>
      <c r="G1270" s="2001"/>
      <c r="H1270" s="2001"/>
      <c r="I1270" s="2876" t="s">
        <v>4131</v>
      </c>
      <c r="J1270" s="2908">
        <f>'Part VIII Scoring Criteria'!J76</f>
        <v>1</v>
      </c>
      <c r="K1270" s="2908"/>
      <c r="L1270" s="1973"/>
      <c r="M1270" s="2908">
        <f>IF(AND(M1256+M1261&gt;0,$M$74&gt;=$Y$74),$Y$75,IF(AND(M1256+M1261=0,$M$74&gt;=$Y$74),$Y$76,IF(AND(M1256+M1261&gt;0,$M$74&gt;=$W$74),$W$75,IF(AND(M1256+M1261=0,$M$74&gt;=$W$74),$W$76,IF(AND(M1256+M1261&gt;0,$M$74&gt;=$U$74),$U$75,IF(AND(M1256+M1261=0,$M$74&gt;=$U$74),$U$76,0))))))</f>
        <v>0</v>
      </c>
      <c r="N1270" s="2908"/>
      <c r="O1270" s="2908">
        <f t="shared" ref="O1270" si="446">IF(AND(O1256+O1261&gt;0,$J$73&gt;=$Y$74),$Y$75, IF(AND(O1256+O1261=0,$J$73&gt;=$Y$74),$Y$76, IF(AND(O1256+O1261&gt;0,$J$73&gt;=$W$74),$W$75,IF(AND(O1256+O1261=0,$J$73&gt;=$W$74),$W$76, IF(AND(O1256+O1261&gt;0,$J$73&gt;=$U$74),$U$75,IF(AND(O1256+O1261=0,$J$73&gt;=$U$74),$U$76,0))))))</f>
        <v>0</v>
      </c>
      <c r="P1270" s="2908"/>
      <c r="Q1270" s="2001"/>
      <c r="R1270" s="2904" t="s">
        <v>4833</v>
      </c>
      <c r="S1270" s="2001"/>
      <c r="T1270" s="2001"/>
      <c r="U1270" s="1974">
        <v>1</v>
      </c>
      <c r="V1270" s="1974"/>
      <c r="W1270" s="1974">
        <v>2</v>
      </c>
      <c r="X1270" s="1974"/>
      <c r="Y1270" s="1974">
        <v>3</v>
      </c>
      <c r="Z1270" s="1974"/>
      <c r="AA1270" s="2001"/>
      <c r="AB1270" s="2001"/>
      <c r="AC1270" s="2001"/>
      <c r="AD1270" s="2001"/>
      <c r="AE1270" s="2001"/>
      <c r="AF1270" s="2001"/>
    </row>
    <row r="1271" spans="1:32" ht="14">
      <c r="A1271" s="2001"/>
      <c r="B1271" s="2001"/>
      <c r="C1271" s="2001"/>
      <c r="D1271" s="2001"/>
      <c r="E1271" s="2001"/>
      <c r="F1271" s="2001"/>
      <c r="G1271" s="2001"/>
      <c r="H1271" s="2001"/>
      <c r="I1271" s="2001"/>
      <c r="J1271" s="2001"/>
      <c r="K1271" s="2001"/>
      <c r="L1271" s="2001"/>
      <c r="M1271" s="2001"/>
      <c r="N1271" s="2001"/>
      <c r="O1271" s="2009"/>
      <c r="P1271" s="2009"/>
      <c r="Q1271" s="2001"/>
      <c r="R1271" s="2001"/>
      <c r="S1271" s="2001"/>
      <c r="T1271" s="2001"/>
      <c r="U1271" s="2001"/>
      <c r="V1271" s="2001"/>
      <c r="W1271" s="2001"/>
      <c r="X1271" s="2001"/>
      <c r="Y1271" s="2001"/>
      <c r="Z1271" s="2001"/>
      <c r="AA1271" s="2001"/>
      <c r="AB1271" s="2001"/>
      <c r="AC1271" s="2001"/>
      <c r="AD1271" s="2001"/>
      <c r="AE1271" s="2001"/>
      <c r="AF1271" s="2001"/>
    </row>
    <row r="1272" spans="1:32" ht="14">
      <c r="A1272" s="2403" t="s">
        <v>1838</v>
      </c>
      <c r="B1272" s="1973" t="s">
        <v>4834</v>
      </c>
      <c r="C1272" s="2001"/>
      <c r="D1272" s="1974"/>
      <c r="E1272" s="2001"/>
      <c r="F1272" s="2909" t="s">
        <v>4838</v>
      </c>
      <c r="G1272" s="2001"/>
      <c r="H1272" s="2001"/>
      <c r="I1272" s="2001"/>
      <c r="J1272" s="2001"/>
      <c r="K1272" s="1974"/>
      <c r="L1272" s="2910" t="s">
        <v>4837</v>
      </c>
      <c r="M1272" s="1987">
        <v>1</v>
      </c>
      <c r="N1272" s="2401"/>
      <c r="O1272" s="2871">
        <f>'Part VIII Scoring Criteria'!O78</f>
        <v>0</v>
      </c>
      <c r="P1272" s="2871">
        <f>'Part VIII Scoring Criteria'!P78</f>
        <v>0</v>
      </c>
      <c r="Q1272" s="2879"/>
      <c r="R1272" s="2880"/>
      <c r="S1272" s="2001"/>
      <c r="T1272" s="2399"/>
      <c r="U1272" s="2399"/>
      <c r="V1272" s="2001"/>
      <c r="W1272" s="2001"/>
      <c r="X1272" s="2001"/>
      <c r="Y1272" s="2001"/>
      <c r="Z1272" s="2001"/>
      <c r="AA1272" s="2001"/>
      <c r="AB1272" s="2001"/>
      <c r="AC1272" s="2001"/>
      <c r="AD1272" s="2001"/>
      <c r="AE1272" s="2001"/>
      <c r="AF1272" s="2001"/>
    </row>
    <row r="1273" spans="1:32" ht="14">
      <c r="A1273" s="2403"/>
      <c r="B1273" s="2881" t="s">
        <v>1839</v>
      </c>
      <c r="C1273" s="2004" t="s">
        <v>4835</v>
      </c>
      <c r="D1273" s="1974"/>
      <c r="E1273" s="1974"/>
      <c r="F1273" s="2911" t="s">
        <v>4836</v>
      </c>
      <c r="G1273" s="1974"/>
      <c r="H1273" s="1974"/>
      <c r="I1273" s="2403"/>
      <c r="J1273" s="2004"/>
      <c r="K1273" s="2004"/>
      <c r="L1273" s="2878" t="str">
        <f>IF(OR($O1273=$M1273,$O1273=0,$O1273=""),"","* * Check Score! * *")</f>
        <v/>
      </c>
      <c r="M1273" s="2912">
        <v>0.5</v>
      </c>
      <c r="N1273" s="2401"/>
      <c r="O1273" s="2403">
        <f>'Part VIII Scoring Criteria'!O79</f>
        <v>0</v>
      </c>
      <c r="P1273" s="2871"/>
      <c r="Q1273" s="2880"/>
      <c r="R1273" s="1974"/>
      <c r="S1273" s="1974"/>
      <c r="T1273" s="1974"/>
      <c r="U1273" s="1974"/>
      <c r="V1273" s="2399"/>
      <c r="W1273" s="1974"/>
      <c r="X1273" s="1974"/>
      <c r="Y1273" s="1974"/>
      <c r="Z1273" s="1974"/>
      <c r="AA1273" s="1974"/>
      <c r="AB1273" s="1974"/>
      <c r="AC1273" s="1974"/>
      <c r="AD1273" s="1974"/>
      <c r="AE1273" s="1974"/>
      <c r="AF1273" s="1974"/>
    </row>
    <row r="1274" spans="1:32" ht="14">
      <c r="A1274" s="2403"/>
      <c r="B1274" s="2883" t="s">
        <v>1841</v>
      </c>
      <c r="C1274" s="2004" t="s">
        <v>3074</v>
      </c>
      <c r="D1274" s="1974"/>
      <c r="E1274" s="1974"/>
      <c r="F1274" s="2403"/>
      <c r="G1274" s="1974"/>
      <c r="H1274" s="1974"/>
      <c r="I1274" s="2403"/>
      <c r="J1274" s="2004"/>
      <c r="K1274" s="2004"/>
      <c r="L1274" s="2878" t="str">
        <f>IF(OR($O1274=$M1274,$O1274=0,$O1274=""),"","* * Check Score! * *")</f>
        <v/>
      </c>
      <c r="M1274" s="2912">
        <v>1</v>
      </c>
      <c r="N1274" s="2401"/>
      <c r="O1274" s="2000">
        <f>'Part VIII Scoring Criteria'!O80</f>
        <v>0</v>
      </c>
      <c r="P1274" s="2000">
        <f>'Part VIII Scoring Criteria'!P80</f>
        <v>0</v>
      </c>
      <c r="Q1274" s="2880"/>
      <c r="R1274" s="1974"/>
      <c r="S1274" s="1974"/>
      <c r="T1274" s="1974"/>
      <c r="U1274" s="1974"/>
      <c r="V1274" s="2399"/>
      <c r="W1274" s="1974"/>
      <c r="X1274" s="1974"/>
      <c r="Y1274" s="1974"/>
      <c r="Z1274" s="1974"/>
      <c r="AA1274" s="1974"/>
      <c r="AB1274" s="1974"/>
      <c r="AC1274" s="1974"/>
      <c r="AD1274" s="1974"/>
      <c r="AE1274" s="1974"/>
      <c r="AF1274" s="1974"/>
    </row>
    <row r="1275" spans="1:32" ht="14">
      <c r="A1275" s="2406"/>
      <c r="B1275" s="2913"/>
      <c r="C1275" s="2008" t="s">
        <v>4927</v>
      </c>
      <c r="D1275" s="2007"/>
      <c r="E1275" s="2007"/>
      <c r="F1275" s="2007"/>
      <c r="G1275" s="2007"/>
      <c r="H1275" s="2007"/>
      <c r="I1275" s="2007"/>
      <c r="J1275" s="2007"/>
      <c r="K1275" s="2007"/>
      <c r="L1275" s="2007"/>
      <c r="M1275" s="2007"/>
      <c r="N1275" s="2914"/>
      <c r="O1275" s="2403" t="str">
        <f>'Part VIII Scoring Criteria'!O81</f>
        <v>N/a</v>
      </c>
      <c r="P1275" s="2885"/>
      <c r="Q1275" s="2001"/>
      <c r="R1275" s="2001"/>
      <c r="S1275" s="2001"/>
      <c r="T1275" s="2001"/>
      <c r="U1275" s="2001"/>
      <c r="V1275" s="2399"/>
      <c r="W1275" s="2001"/>
      <c r="X1275" s="2001"/>
      <c r="Y1275" s="2001"/>
      <c r="Z1275" s="2001"/>
      <c r="AA1275" s="2001"/>
      <c r="AB1275" s="2001"/>
      <c r="AC1275" s="2001"/>
      <c r="AD1275" s="2001"/>
      <c r="AE1275" s="2001"/>
      <c r="AF1275" s="2001"/>
    </row>
    <row r="1276" spans="1:32" ht="14">
      <c r="A1276" s="2406"/>
      <c r="B1276" s="2913"/>
      <c r="C1276" s="1974" t="s">
        <v>4693</v>
      </c>
      <c r="D1276" s="1974"/>
      <c r="E1276" s="1974"/>
      <c r="F1276" s="1974"/>
      <c r="G1276" s="1974"/>
      <c r="H1276" s="1974"/>
      <c r="I1276" s="1974"/>
      <c r="J1276" s="1974"/>
      <c r="K1276" s="1974"/>
      <c r="L1276" s="2001"/>
      <c r="M1276" s="1974"/>
      <c r="N1276" s="2915"/>
      <c r="O1276" s="2403" t="str">
        <f>'Part VIII Scoring Criteria'!O82</f>
        <v>N/a</v>
      </c>
      <c r="P1276" s="2403"/>
      <c r="Q1276" s="2001"/>
      <c r="R1276" s="2001"/>
      <c r="S1276" s="2001"/>
      <c r="T1276" s="2001"/>
      <c r="U1276" s="2001"/>
      <c r="V1276" s="2399"/>
      <c r="W1276" s="2001"/>
      <c r="X1276" s="2001"/>
      <c r="Y1276" s="2001"/>
      <c r="Z1276" s="2001"/>
      <c r="AA1276" s="2001"/>
      <c r="AB1276" s="2001"/>
      <c r="AC1276" s="2001"/>
      <c r="AD1276" s="2001"/>
      <c r="AE1276" s="2001"/>
      <c r="AF1276" s="2001"/>
    </row>
    <row r="1277" spans="1:32" ht="14.5">
      <c r="A1277" s="1974"/>
      <c r="B1277" s="2872" t="s">
        <v>5176</v>
      </c>
      <c r="C1277" s="1974"/>
      <c r="D1277" s="1974"/>
      <c r="E1277" s="1974"/>
      <c r="F1277" s="1974"/>
      <c r="G1277" s="1974"/>
      <c r="H1277" s="1974"/>
      <c r="I1277" s="1974"/>
      <c r="J1277" s="1974"/>
      <c r="K1277" s="1974"/>
      <c r="L1277" s="2001"/>
      <c r="M1277" s="1987"/>
      <c r="N1277" s="1992"/>
      <c r="O1277" s="2000"/>
      <c r="P1277" s="2003"/>
      <c r="Q1277" s="2001"/>
      <c r="R1277" s="2001"/>
      <c r="S1277" s="2001"/>
      <c r="T1277" s="2001"/>
      <c r="U1277" s="2001"/>
      <c r="V1277" s="2001"/>
      <c r="W1277" s="2001"/>
      <c r="X1277" s="2001"/>
      <c r="Y1277" s="2001"/>
      <c r="Z1277" s="2001"/>
      <c r="AA1277" s="2001"/>
      <c r="AB1277" s="2001"/>
      <c r="AC1277" s="2001"/>
      <c r="AD1277" s="2001"/>
      <c r="AE1277" s="2001"/>
      <c r="AF1277" s="2001"/>
    </row>
    <row r="1278" spans="1:32" ht="14">
      <c r="A1278" s="2008" t="str">
        <f>'Part VIII Scoring Criteria'!A84</f>
        <v xml:space="preserve">The proposed project is made up of two buildings, one of which was a former school house that was built in 1927 and adaptively re-used into apartments and community space. The school house is a contributing structure to the College Park Historic District and is deemed historically signficant by GA HPD and NPS, supporting documentation is included in Folder 05 Favorable Financing. </v>
      </c>
      <c r="B1278" s="2007"/>
      <c r="C1278" s="2007"/>
      <c r="D1278" s="2007"/>
      <c r="E1278" s="2007"/>
      <c r="F1278" s="2007"/>
      <c r="G1278" s="2007"/>
      <c r="H1278" s="2007"/>
      <c r="I1278" s="2007"/>
      <c r="J1278" s="2007"/>
      <c r="K1278" s="2007"/>
      <c r="L1278" s="2007"/>
      <c r="M1278" s="2007"/>
      <c r="N1278" s="2007"/>
      <c r="O1278" s="2007"/>
      <c r="P1278" s="2007"/>
      <c r="Q1278" s="1973"/>
      <c r="R1278" s="2001"/>
      <c r="S1278" s="2001"/>
      <c r="T1278" s="2001"/>
      <c r="U1278" s="2001"/>
      <c r="V1278" s="2001"/>
      <c r="W1278" s="2001"/>
      <c r="X1278" s="2001"/>
      <c r="Y1278" s="2001"/>
      <c r="Z1278" s="2001"/>
      <c r="AA1278" s="2001"/>
      <c r="AB1278" s="2001"/>
      <c r="AC1278" s="2001"/>
      <c r="AD1278" s="2001"/>
      <c r="AE1278" s="2001"/>
      <c r="AF1278" s="2001"/>
    </row>
    <row r="1279" spans="1:32" ht="14.5">
      <c r="A1279" s="1974"/>
      <c r="B1279" s="2872" t="s">
        <v>1725</v>
      </c>
      <c r="C1279" s="1974"/>
      <c r="D1279" s="2872"/>
      <c r="E1279" s="1974"/>
      <c r="F1279" s="1974"/>
      <c r="G1279" s="1974"/>
      <c r="H1279" s="1974"/>
      <c r="I1279" s="1974"/>
      <c r="J1279" s="1974"/>
      <c r="K1279" s="1974"/>
      <c r="L1279" s="1974"/>
      <c r="M1279" s="1974"/>
      <c r="N1279" s="1974"/>
      <c r="O1279" s="1973"/>
      <c r="P1279" s="1973"/>
      <c r="Q1279" s="2001"/>
      <c r="R1279" s="1974"/>
      <c r="S1279" s="1974"/>
      <c r="T1279" s="1974"/>
      <c r="U1279" s="1974"/>
      <c r="V1279" s="1974"/>
      <c r="W1279" s="1974"/>
      <c r="X1279" s="1974"/>
      <c r="Y1279" s="1974"/>
      <c r="Z1279" s="1974"/>
      <c r="AA1279" s="1974"/>
      <c r="AB1279" s="1974"/>
      <c r="AC1279" s="1974"/>
      <c r="AD1279" s="1974"/>
      <c r="AE1279" s="1974"/>
      <c r="AF1279" s="1974"/>
    </row>
    <row r="1280" spans="1:32" ht="14">
      <c r="A1280" s="2007"/>
      <c r="B1280" s="2007"/>
      <c r="C1280" s="2007"/>
      <c r="D1280" s="2007"/>
      <c r="E1280" s="2007"/>
      <c r="F1280" s="2007"/>
      <c r="G1280" s="2007"/>
      <c r="H1280" s="2007"/>
      <c r="I1280" s="2007"/>
      <c r="J1280" s="2007"/>
      <c r="K1280" s="2007"/>
      <c r="L1280" s="2007"/>
      <c r="M1280" s="2007"/>
      <c r="N1280" s="2007"/>
      <c r="O1280" s="2007"/>
      <c r="P1280" s="2007"/>
      <c r="Q1280" s="1973"/>
      <c r="R1280" s="2001"/>
      <c r="S1280" s="2001"/>
      <c r="T1280" s="2001"/>
      <c r="U1280" s="2001"/>
      <c r="V1280" s="2001"/>
      <c r="W1280" s="2001"/>
      <c r="X1280" s="2001"/>
      <c r="Y1280" s="2001"/>
      <c r="Z1280" s="2001"/>
      <c r="AA1280" s="2001"/>
      <c r="AB1280" s="2001"/>
      <c r="AC1280" s="2001"/>
      <c r="AD1280" s="2001"/>
      <c r="AE1280" s="2001"/>
      <c r="AF1280" s="2001"/>
    </row>
    <row r="1281" spans="1:32" ht="14">
      <c r="A1281" s="1974"/>
      <c r="B1281" s="1973"/>
      <c r="C1281" s="1974"/>
      <c r="D1281" s="1973"/>
      <c r="E1281" s="1974"/>
      <c r="F1281" s="1974"/>
      <c r="G1281" s="2874"/>
      <c r="H1281" s="2874"/>
      <c r="I1281" s="2874"/>
      <c r="J1281" s="2874"/>
      <c r="K1281" s="2874"/>
      <c r="L1281" s="2874"/>
      <c r="M1281" s="1974"/>
      <c r="N1281" s="2001"/>
      <c r="O1281" s="2891"/>
      <c r="P1281" s="1973"/>
      <c r="Q1281" s="2001"/>
      <c r="R1281" s="1974"/>
      <c r="S1281" s="1974"/>
      <c r="T1281" s="1974"/>
      <c r="U1281" s="1974"/>
      <c r="V1281" s="1974"/>
      <c r="W1281" s="1974"/>
      <c r="X1281" s="2408"/>
      <c r="Y1281" s="2408"/>
      <c r="Z1281" s="2408"/>
      <c r="AA1281" s="2408"/>
      <c r="AB1281" s="2408"/>
      <c r="AC1281" s="2408"/>
      <c r="AD1281" s="2408"/>
      <c r="AE1281" s="2408"/>
      <c r="AF1281" s="2408"/>
    </row>
    <row r="1282" spans="1:32" ht="14">
      <c r="A1282" s="2001"/>
      <c r="B1282" s="2001"/>
      <c r="C1282" s="2001"/>
      <c r="D1282" s="2001"/>
      <c r="E1282" s="2001"/>
      <c r="F1282" s="2001"/>
      <c r="G1282" s="2001"/>
      <c r="H1282" s="2001"/>
      <c r="I1282" s="2001"/>
      <c r="J1282" s="2001"/>
      <c r="K1282" s="2001"/>
      <c r="L1282" s="2001"/>
      <c r="M1282" s="2001"/>
      <c r="N1282" s="1992"/>
      <c r="O1282" s="2003"/>
      <c r="P1282" s="2003"/>
      <c r="Q1282" s="2001"/>
      <c r="R1282" s="2001"/>
      <c r="S1282" s="2001"/>
      <c r="T1282" s="2399"/>
      <c r="U1282" s="2399"/>
      <c r="V1282" s="2001"/>
      <c r="W1282" s="2001"/>
      <c r="X1282" s="2001"/>
      <c r="Y1282" s="2001"/>
      <c r="Z1282" s="2001"/>
      <c r="AA1282" s="2001"/>
      <c r="AB1282" s="2001"/>
      <c r="AC1282" s="2001"/>
      <c r="AD1282" s="2001"/>
      <c r="AE1282" s="2001"/>
      <c r="AF1282" s="2001"/>
    </row>
    <row r="1283" spans="1:32" ht="14">
      <c r="A1283" s="2916" t="s">
        <v>495</v>
      </c>
      <c r="B1283" s="2399" t="s">
        <v>3905</v>
      </c>
      <c r="C1283" s="1974"/>
      <c r="D1283" s="2399"/>
      <c r="E1283" s="2399"/>
      <c r="F1283" s="1974"/>
      <c r="G1283" s="1974"/>
      <c r="H1283" s="1974"/>
      <c r="I1283" s="1974"/>
      <c r="J1283" s="1974"/>
      <c r="K1283" s="2878"/>
      <c r="L1283" s="2876" t="s">
        <v>4866</v>
      </c>
      <c r="M1283" s="2403">
        <v>10</v>
      </c>
      <c r="N1283" s="1987"/>
      <c r="O1283" s="2000">
        <f>'Part VIII Scoring Criteria'!O89</f>
        <v>10</v>
      </c>
      <c r="P1283" s="2000">
        <f>'Part VIII Scoring Criteria'!P89</f>
        <v>10</v>
      </c>
      <c r="Q1283" s="2403" t="s">
        <v>415</v>
      </c>
      <c r="R1283" s="1974"/>
      <c r="S1283" s="1974"/>
      <c r="T1283" s="1974"/>
      <c r="U1283" s="1974"/>
      <c r="V1283" s="1974"/>
      <c r="W1283" s="1974"/>
      <c r="X1283" s="1974"/>
      <c r="Y1283" s="1974"/>
      <c r="Z1283" s="1974"/>
      <c r="AA1283" s="1974"/>
      <c r="AB1283" s="1974"/>
      <c r="AC1283" s="1974"/>
      <c r="AD1283" s="1974"/>
      <c r="AE1283" s="1974"/>
      <c r="AF1283" s="1974"/>
    </row>
    <row r="1284" spans="1:32" ht="14">
      <c r="A1284" s="2916"/>
      <c r="B1284" s="2399"/>
      <c r="C1284" s="1974"/>
      <c r="D1284" s="2399"/>
      <c r="E1284" s="2399"/>
      <c r="F1284" s="1974"/>
      <c r="G1284" s="1974"/>
      <c r="H1284" s="1974"/>
      <c r="I1284" s="1974"/>
      <c r="J1284" s="1974"/>
      <c r="K1284" s="1974"/>
      <c r="L1284" s="2878"/>
      <c r="M1284" s="2403"/>
      <c r="N1284" s="1987"/>
      <c r="O1284" s="1987"/>
      <c r="P1284" s="1987"/>
      <c r="Q1284" s="2403"/>
      <c r="R1284" s="1974"/>
      <c r="S1284" s="1974"/>
      <c r="T1284" s="1974"/>
      <c r="U1284" s="1974"/>
      <c r="V1284" s="1974"/>
      <c r="W1284" s="1974"/>
      <c r="X1284" s="1974"/>
      <c r="Y1284" s="1974"/>
      <c r="Z1284" s="1974"/>
      <c r="AA1284" s="1974"/>
      <c r="AB1284" s="1974"/>
      <c r="AC1284" s="1974"/>
      <c r="AD1284" s="1974"/>
      <c r="AE1284" s="1974"/>
      <c r="AF1284" s="1974"/>
    </row>
    <row r="1285" spans="1:32" ht="14">
      <c r="A1285" s="2916"/>
      <c r="B1285" s="1973" t="s">
        <v>3094</v>
      </c>
      <c r="C1285" s="1974"/>
      <c r="D1285" s="2399"/>
      <c r="E1285" s="2399"/>
      <c r="F1285" s="1974"/>
      <c r="G1285" s="1974"/>
      <c r="H1285" s="1974"/>
      <c r="I1285" s="1974"/>
      <c r="J1285" s="1974"/>
      <c r="K1285" s="1974"/>
      <c r="L1285" s="2878"/>
      <c r="M1285" s="2403"/>
      <c r="N1285" s="1987"/>
      <c r="O1285" s="2000">
        <v>10</v>
      </c>
      <c r="P1285" s="2000">
        <v>10</v>
      </c>
      <c r="Q1285" s="2403"/>
      <c r="R1285" s="1974"/>
      <c r="S1285" s="1974"/>
      <c r="T1285" s="1974"/>
      <c r="U1285" s="1974"/>
      <c r="V1285" s="1974"/>
      <c r="W1285" s="1974"/>
      <c r="X1285" s="1974"/>
      <c r="Y1285" s="1974"/>
      <c r="Z1285" s="1974"/>
      <c r="AA1285" s="1974"/>
      <c r="AB1285" s="1974"/>
      <c r="AC1285" s="1974"/>
      <c r="AD1285" s="1974"/>
      <c r="AE1285" s="1974"/>
      <c r="AF1285" s="1974"/>
    </row>
    <row r="1286" spans="1:32" ht="14">
      <c r="A1286" s="2403" t="s">
        <v>1836</v>
      </c>
      <c r="B1286" s="1973" t="s">
        <v>4728</v>
      </c>
      <c r="C1286" s="1974"/>
      <c r="D1286" s="2399"/>
      <c r="E1286" s="2399"/>
      <c r="F1286" s="1974"/>
      <c r="G1286" s="1974"/>
      <c r="H1286" s="1974"/>
      <c r="I1286" s="1974"/>
      <c r="J1286" s="1974"/>
      <c r="K1286" s="1974"/>
      <c r="L1286" s="2878"/>
      <c r="M1286" s="2403"/>
      <c r="N1286" s="1987"/>
      <c r="O1286" s="2000">
        <f>'Part VIII Scoring Criteria'!O92</f>
        <v>0</v>
      </c>
      <c r="P1286" s="2000">
        <f>'Part VIII Scoring Criteria'!P92</f>
        <v>0</v>
      </c>
      <c r="Q1286" s="2403"/>
      <c r="R1286" s="1974"/>
      <c r="S1286" s="1974"/>
      <c r="T1286" s="1974"/>
      <c r="U1286" s="1974"/>
      <c r="V1286" s="1974"/>
      <c r="W1286" s="1974"/>
      <c r="X1286" s="1974"/>
      <c r="Y1286" s="1974"/>
      <c r="Z1286" s="1974"/>
      <c r="AA1286" s="1974"/>
      <c r="AB1286" s="1974"/>
      <c r="AC1286" s="1974"/>
      <c r="AD1286" s="1974"/>
      <c r="AE1286" s="1974"/>
      <c r="AF1286" s="1974"/>
    </row>
    <row r="1287" spans="1:32" ht="14">
      <c r="A1287" s="2403"/>
      <c r="B1287" s="2881" t="s">
        <v>1839</v>
      </c>
      <c r="C1287" s="1974" t="s">
        <v>4908</v>
      </c>
      <c r="D1287" s="2399"/>
      <c r="E1287" s="2399"/>
      <c r="F1287" s="1974"/>
      <c r="G1287" s="1974"/>
      <c r="H1287" s="1974"/>
      <c r="I1287" s="1974"/>
      <c r="J1287" s="1974"/>
      <c r="K1287" s="1974"/>
      <c r="L1287" s="2878"/>
      <c r="M1287" s="2917"/>
      <c r="N1287" s="1987"/>
      <c r="O1287" s="2403">
        <f>'Part VIII Scoring Criteria'!O93</f>
        <v>0</v>
      </c>
      <c r="P1287" s="2000"/>
      <c r="Q1287" s="2403"/>
      <c r="R1287" s="1974"/>
      <c r="S1287" s="1974"/>
      <c r="T1287" s="1974"/>
      <c r="U1287" s="1974"/>
      <c r="V1287" s="1974"/>
      <c r="W1287" s="1974"/>
      <c r="X1287" s="1974"/>
      <c r="Y1287" s="1974"/>
      <c r="Z1287" s="1974"/>
      <c r="AA1287" s="1974"/>
      <c r="AB1287" s="1974"/>
      <c r="AC1287" s="1974"/>
      <c r="AD1287" s="1974"/>
      <c r="AE1287" s="1974"/>
      <c r="AF1287" s="1974"/>
    </row>
    <row r="1288" spans="1:32" ht="14">
      <c r="A1288" s="2403"/>
      <c r="B1288" s="2883" t="s">
        <v>1841</v>
      </c>
      <c r="C1288" s="1974" t="s">
        <v>4909</v>
      </c>
      <c r="D1288" s="2399"/>
      <c r="E1288" s="2399"/>
      <c r="F1288" s="1974"/>
      <c r="G1288" s="1974"/>
      <c r="H1288" s="1974"/>
      <c r="I1288" s="1974"/>
      <c r="J1288" s="1974"/>
      <c r="K1288" s="1974"/>
      <c r="L1288" s="2878"/>
      <c r="M1288" s="2917"/>
      <c r="N1288" s="1987"/>
      <c r="O1288" s="2403">
        <f>'Part VIII Scoring Criteria'!O94</f>
        <v>0</v>
      </c>
      <c r="P1288" s="2000"/>
      <c r="Q1288" s="2403"/>
      <c r="R1288" s="1974"/>
      <c r="S1288" s="1974"/>
      <c r="T1288" s="1974"/>
      <c r="U1288" s="1974"/>
      <c r="V1288" s="1974"/>
      <c r="W1288" s="1974"/>
      <c r="X1288" s="1974"/>
      <c r="Y1288" s="1974"/>
      <c r="Z1288" s="1974"/>
      <c r="AA1288" s="1974"/>
      <c r="AB1288" s="1974"/>
      <c r="AC1288" s="1974"/>
      <c r="AD1288" s="1974"/>
      <c r="AE1288" s="1974"/>
      <c r="AF1288" s="1974"/>
    </row>
    <row r="1289" spans="1:32" ht="14">
      <c r="A1289" s="2403" t="s">
        <v>1838</v>
      </c>
      <c r="B1289" s="1973" t="s">
        <v>4729</v>
      </c>
      <c r="C1289" s="1974"/>
      <c r="D1289" s="2399"/>
      <c r="E1289" s="2399"/>
      <c r="F1289" s="1974"/>
      <c r="G1289" s="1974"/>
      <c r="H1289" s="1974"/>
      <c r="I1289" s="1974"/>
      <c r="J1289" s="1974"/>
      <c r="K1289" s="1974"/>
      <c r="L1289" s="2878"/>
      <c r="M1289" s="2403"/>
      <c r="N1289" s="1987"/>
      <c r="O1289" s="2403">
        <f>'Part VIII Scoring Criteria'!O95</f>
        <v>0</v>
      </c>
      <c r="P1289" s="2000"/>
      <c r="Q1289" s="2403"/>
      <c r="R1289" s="1974"/>
      <c r="S1289" s="1974"/>
      <c r="T1289" s="1974"/>
      <c r="U1289" s="1974"/>
      <c r="V1289" s="1974"/>
      <c r="W1289" s="1974"/>
      <c r="X1289" s="1974"/>
      <c r="Y1289" s="1974"/>
      <c r="Z1289" s="1974"/>
      <c r="AA1289" s="1974"/>
      <c r="AB1289" s="1974"/>
      <c r="AC1289" s="1974"/>
      <c r="AD1289" s="1974"/>
      <c r="AE1289" s="1974"/>
      <c r="AF1289" s="1974"/>
    </row>
    <row r="1290" spans="1:32" ht="14.5">
      <c r="A1290" s="2872"/>
      <c r="B1290" s="2872" t="s">
        <v>1725</v>
      </c>
      <c r="C1290" s="1974"/>
      <c r="D1290" s="2872"/>
      <c r="E1290" s="2004"/>
      <c r="F1290" s="2004"/>
      <c r="G1290" s="2004"/>
      <c r="H1290" s="2004"/>
      <c r="I1290" s="2004"/>
      <c r="J1290" s="1974" t="s">
        <v>5001</v>
      </c>
      <c r="K1290" s="2004"/>
      <c r="L1290" s="2004"/>
      <c r="M1290" s="2004"/>
      <c r="N1290" s="1987"/>
      <c r="O1290" s="2403"/>
      <c r="P1290" s="2403"/>
      <c r="Q1290" s="1974"/>
      <c r="R1290" s="1974"/>
      <c r="S1290" s="1974"/>
      <c r="T1290" s="1974"/>
      <c r="U1290" s="1974"/>
      <c r="V1290" s="1974"/>
      <c r="W1290" s="1974"/>
      <c r="X1290" s="1974"/>
      <c r="Y1290" s="1974"/>
      <c r="Z1290" s="1974"/>
      <c r="AA1290" s="1974"/>
      <c r="AB1290" s="1974"/>
      <c r="AC1290" s="1974"/>
      <c r="AD1290" s="1974"/>
      <c r="AE1290" s="1974"/>
      <c r="AF1290" s="1974"/>
    </row>
    <row r="1291" spans="1:32" ht="14">
      <c r="A1291" s="2007"/>
      <c r="B1291" s="2007"/>
      <c r="C1291" s="2007"/>
      <c r="D1291" s="2007"/>
      <c r="E1291" s="2007"/>
      <c r="F1291" s="2007"/>
      <c r="G1291" s="2007"/>
      <c r="H1291" s="2007"/>
      <c r="I1291" s="2007"/>
      <c r="J1291" s="2007"/>
      <c r="K1291" s="2007"/>
      <c r="L1291" s="2007"/>
      <c r="M1291" s="2007"/>
      <c r="N1291" s="2007"/>
      <c r="O1291" s="2007"/>
      <c r="P1291" s="2007"/>
      <c r="Q1291" s="1973"/>
      <c r="R1291" s="1973"/>
      <c r="S1291" s="2001"/>
      <c r="T1291" s="2001"/>
      <c r="U1291" s="2001"/>
      <c r="V1291" s="2001"/>
      <c r="W1291" s="2001"/>
      <c r="X1291" s="2001"/>
      <c r="Y1291" s="2001"/>
      <c r="Z1291" s="2001"/>
      <c r="AA1291" s="2001"/>
      <c r="AB1291" s="2001"/>
      <c r="AC1291" s="2001"/>
      <c r="AD1291" s="2001"/>
      <c r="AE1291" s="2001"/>
      <c r="AF1291" s="2001"/>
    </row>
    <row r="1292" spans="1:32" ht="14">
      <c r="A1292" s="1974"/>
      <c r="B1292" s="1973"/>
      <c r="C1292" s="1974"/>
      <c r="D1292" s="1973"/>
      <c r="E1292" s="1974"/>
      <c r="F1292" s="1974"/>
      <c r="G1292" s="2874"/>
      <c r="H1292" s="2874"/>
      <c r="I1292" s="2874"/>
      <c r="J1292" s="2874"/>
      <c r="K1292" s="2874"/>
      <c r="L1292" s="2874"/>
      <c r="M1292" s="1974"/>
      <c r="N1292" s="2001"/>
      <c r="O1292" s="2891"/>
      <c r="P1292" s="1973"/>
      <c r="Q1292" s="2001"/>
      <c r="R1292" s="1974"/>
      <c r="S1292" s="1974"/>
      <c r="T1292" s="1974"/>
      <c r="U1292" s="1974"/>
      <c r="V1292" s="1974"/>
      <c r="W1292" s="1974"/>
      <c r="X1292" s="2408"/>
      <c r="Y1292" s="2408"/>
      <c r="Z1292" s="2408"/>
      <c r="AA1292" s="2408"/>
      <c r="AB1292" s="2408"/>
      <c r="AC1292" s="2408"/>
      <c r="AD1292" s="2408"/>
      <c r="AE1292" s="2408"/>
      <c r="AF1292" s="2408"/>
    </row>
    <row r="1293" spans="1:32" ht="14">
      <c r="A1293" s="2001"/>
      <c r="B1293" s="2001"/>
      <c r="C1293" s="2001"/>
      <c r="D1293" s="2001"/>
      <c r="E1293" s="2001"/>
      <c r="F1293" s="2001"/>
      <c r="G1293" s="2001"/>
      <c r="H1293" s="2001"/>
      <c r="I1293" s="2001"/>
      <c r="J1293" s="2001"/>
      <c r="K1293" s="2001"/>
      <c r="L1293" s="2001"/>
      <c r="M1293" s="2001"/>
      <c r="N1293" s="1992"/>
      <c r="O1293" s="2003"/>
      <c r="P1293" s="2003"/>
      <c r="Q1293" s="2001"/>
      <c r="R1293" s="2001"/>
      <c r="S1293" s="2001"/>
      <c r="T1293" s="2399"/>
      <c r="U1293" s="2399"/>
      <c r="V1293" s="2001"/>
      <c r="W1293" s="2001"/>
      <c r="X1293" s="2001"/>
      <c r="Y1293" s="2001"/>
      <c r="Z1293" s="2001"/>
      <c r="AA1293" s="2001"/>
      <c r="AB1293" s="2001"/>
      <c r="AC1293" s="2001"/>
      <c r="AD1293" s="2001"/>
      <c r="AE1293" s="2001"/>
      <c r="AF1293" s="2001"/>
    </row>
    <row r="1294" spans="1:32" ht="14">
      <c r="A1294" s="2916" t="s">
        <v>719</v>
      </c>
      <c r="B1294" s="2399" t="s">
        <v>4495</v>
      </c>
      <c r="C1294" s="2008"/>
      <c r="D1294" s="2008"/>
      <c r="E1294" s="2008"/>
      <c r="F1294" s="2008"/>
      <c r="G1294" s="2918" t="s">
        <v>4843</v>
      </c>
      <c r="H1294" s="2008"/>
      <c r="I1294" s="2001"/>
      <c r="J1294" s="2001"/>
      <c r="K1294" s="2008"/>
      <c r="L1294" s="2876" t="s">
        <v>4866</v>
      </c>
      <c r="M1294" s="2403">
        <v>5</v>
      </c>
      <c r="N1294" s="2006"/>
      <c r="O1294" s="2000">
        <f>'Part VIII Scoring Criteria'!O100</f>
        <v>4</v>
      </c>
      <c r="P1294" s="2000">
        <f>'Part VIII Scoring Criteria'!P100</f>
        <v>2</v>
      </c>
      <c r="Q1294" s="2403" t="s">
        <v>415</v>
      </c>
      <c r="R1294" s="2880"/>
      <c r="S1294" s="2001"/>
      <c r="T1294" s="2001"/>
      <c r="U1294" s="2001"/>
      <c r="V1294" s="2001"/>
      <c r="W1294" s="2001"/>
      <c r="X1294" s="2001"/>
      <c r="Y1294" s="2001"/>
      <c r="Z1294" s="2001"/>
      <c r="AA1294" s="2001"/>
      <c r="AB1294" s="2001"/>
      <c r="AC1294" s="2001"/>
      <c r="AD1294" s="2001"/>
      <c r="AE1294" s="2001"/>
      <c r="AF1294" s="2001"/>
    </row>
    <row r="1295" spans="1:32" ht="14">
      <c r="A1295" s="2403" t="s">
        <v>1836</v>
      </c>
      <c r="B1295" s="1973" t="s">
        <v>4840</v>
      </c>
      <c r="C1295" s="1974"/>
      <c r="D1295" s="1974"/>
      <c r="E1295" s="1973"/>
      <c r="F1295" s="1974"/>
      <c r="G1295" s="2909"/>
      <c r="H1295" s="1974"/>
      <c r="I1295" s="1974"/>
      <c r="J1295" s="1974"/>
      <c r="K1295" s="1987"/>
      <c r="L1295" s="2401"/>
      <c r="M1295" s="1987">
        <v>3</v>
      </c>
      <c r="N1295" s="2401"/>
      <c r="O1295" s="2000">
        <f>IF(AND(O1297&gt;0,O1298&gt;0),"1or2?",MIN($M1295,SUM(O1297,O1298)))</f>
        <v>2</v>
      </c>
      <c r="P1295" s="2000">
        <f>IF(AND(P1297&gt;0,P1298&gt;0),"1or2?",MIN($M1295,SUM(P1297,P1298)))</f>
        <v>0</v>
      </c>
      <c r="Q1295" s="2879"/>
      <c r="R1295" s="2880"/>
      <c r="S1295" s="2001"/>
      <c r="T1295" s="2001"/>
      <c r="U1295" s="2001"/>
      <c r="V1295" s="2001"/>
      <c r="W1295" s="2001"/>
      <c r="X1295" s="2001"/>
      <c r="Y1295" s="2001"/>
      <c r="Z1295" s="2001"/>
      <c r="AA1295" s="2001"/>
      <c r="AB1295" s="2001"/>
      <c r="AC1295" s="2001"/>
      <c r="AD1295" s="2001"/>
      <c r="AE1295" s="2001"/>
      <c r="AF1295" s="2001"/>
    </row>
    <row r="1296" spans="1:32" ht="15" customHeight="1">
      <c r="A1296" s="2403"/>
      <c r="B1296" s="1974" t="s">
        <v>4976</v>
      </c>
      <c r="C1296" s="1974"/>
      <c r="D1296" s="1974"/>
      <c r="E1296" s="1974"/>
      <c r="F1296" s="1974"/>
      <c r="G1296" s="1974"/>
      <c r="H1296" s="1974"/>
      <c r="I1296" s="1974"/>
      <c r="J1296" s="1974"/>
      <c r="K1296" s="1974"/>
      <c r="L1296" s="1974"/>
      <c r="M1296" s="1987"/>
      <c r="N1296" s="1987"/>
      <c r="O1296" s="1987"/>
      <c r="P1296" s="1987"/>
      <c r="Q1296" s="2879"/>
      <c r="R1296" s="2880"/>
      <c r="S1296" s="2001"/>
      <c r="T1296" s="2001"/>
      <c r="U1296" s="2001"/>
      <c r="V1296" s="2001"/>
      <c r="W1296" s="2001"/>
      <c r="X1296" s="2001"/>
      <c r="Y1296" s="2001"/>
      <c r="Z1296" s="2001"/>
      <c r="AA1296" s="2001"/>
      <c r="AB1296" s="2001"/>
      <c r="AC1296" s="2001"/>
      <c r="AD1296" s="2001"/>
      <c r="AE1296" s="2001"/>
      <c r="AF1296" s="2001"/>
    </row>
    <row r="1297" spans="1:32" ht="14">
      <c r="A1297" s="2403"/>
      <c r="B1297" s="2919" t="s">
        <v>1839</v>
      </c>
      <c r="C1297" s="1974" t="s">
        <v>4841</v>
      </c>
      <c r="D1297" s="1974"/>
      <c r="E1297" s="1974"/>
      <c r="F1297" s="1974"/>
      <c r="G1297" s="1974"/>
      <c r="H1297" s="1974"/>
      <c r="I1297" s="1974"/>
      <c r="J1297" s="2920" t="s">
        <v>4665</v>
      </c>
      <c r="K1297" s="2920"/>
      <c r="L1297" s="1974"/>
      <c r="M1297" s="2912">
        <v>2</v>
      </c>
      <c r="N1297" s="2917"/>
      <c r="O1297" s="2403">
        <f>'Part VIII Scoring Criteria'!O103</f>
        <v>2</v>
      </c>
      <c r="P1297" s="2000"/>
      <c r="Q1297" s="2879" t="str">
        <f>IF(OR($O1297=$M1297,$O1297=0,$O1297=""),"","*CHECK!*")</f>
        <v/>
      </c>
      <c r="R1297" s="2880"/>
      <c r="S1297" s="2007"/>
      <c r="T1297" s="2007"/>
      <c r="U1297" s="2007"/>
      <c r="V1297" s="2007"/>
      <c r="W1297" s="2007"/>
      <c r="X1297" s="2007"/>
      <c r="Y1297" s="2007"/>
      <c r="Z1297" s="2007"/>
      <c r="AA1297" s="2007"/>
      <c r="AB1297" s="2007"/>
      <c r="AC1297" s="2007"/>
      <c r="AD1297" s="2007"/>
      <c r="AE1297" s="2007"/>
      <c r="AF1297" s="2007"/>
    </row>
    <row r="1298" spans="1:32" ht="14">
      <c r="A1298" s="2403"/>
      <c r="B1298" s="2883" t="s">
        <v>1841</v>
      </c>
      <c r="C1298" s="1974" t="s">
        <v>4842</v>
      </c>
      <c r="D1298" s="1974"/>
      <c r="E1298" s="1974"/>
      <c r="F1298" s="1974"/>
      <c r="G1298" s="1974"/>
      <c r="H1298" s="1974"/>
      <c r="I1298" s="2007"/>
      <c r="J1298" s="2921" t="s">
        <v>4666</v>
      </c>
      <c r="K1298" s="2922" t="s">
        <v>4987</v>
      </c>
      <c r="L1298" s="2923"/>
      <c r="M1298" s="2912">
        <v>3</v>
      </c>
      <c r="N1298" s="2917"/>
      <c r="O1298" s="2403">
        <f>'Part VIII Scoring Criteria'!O104</f>
        <v>0</v>
      </c>
      <c r="P1298" s="2000"/>
      <c r="Q1298" s="2879" t="str">
        <f>IF(OR($O1298=$M1298,$O1298=0,$O1298=""),"","*CHECK!*")</f>
        <v/>
      </c>
      <c r="R1298" s="2880"/>
      <c r="S1298" s="2007"/>
      <c r="T1298" s="2007"/>
      <c r="U1298" s="2007"/>
      <c r="V1298" s="2007"/>
      <c r="W1298" s="2007"/>
      <c r="X1298" s="2007"/>
      <c r="Y1298" s="2007"/>
      <c r="Z1298" s="2007"/>
      <c r="AA1298" s="2007"/>
      <c r="AB1298" s="2007"/>
      <c r="AC1298" s="2007"/>
      <c r="AD1298" s="2007"/>
      <c r="AE1298" s="2007"/>
      <c r="AF1298" s="2007"/>
    </row>
    <row r="1299" spans="1:32" ht="14">
      <c r="A1299" s="2001"/>
      <c r="B1299" s="2001"/>
      <c r="C1299" s="2001" t="s">
        <v>4975</v>
      </c>
      <c r="D1299" s="2001"/>
      <c r="E1299" s="2001"/>
      <c r="F1299" s="2001"/>
      <c r="G1299" s="2001"/>
      <c r="H1299" s="2876"/>
      <c r="I1299" s="2001"/>
      <c r="J1299" s="2003">
        <f>'Part VIII Scoring Criteria'!J105</f>
        <v>11.600000000000001</v>
      </c>
      <c r="K1299" s="2924">
        <v>0.1</v>
      </c>
      <c r="L1299" s="2001"/>
      <c r="M1299" s="2001"/>
      <c r="N1299" s="2876" t="s">
        <v>5046</v>
      </c>
      <c r="O1299" s="2403">
        <f>'Part VIII Scoring Criteria'!O105</f>
        <v>12</v>
      </c>
      <c r="P1299" s="2000"/>
      <c r="Q1299" s="2001"/>
      <c r="R1299" s="2001"/>
      <c r="S1299" s="2001"/>
      <c r="T1299" s="2399"/>
      <c r="U1299" s="2399"/>
      <c r="V1299" s="2001"/>
      <c r="W1299" s="2001"/>
      <c r="X1299" s="2001"/>
      <c r="Y1299" s="2001"/>
      <c r="Z1299" s="2001"/>
      <c r="AA1299" s="2001"/>
      <c r="AB1299" s="2001"/>
      <c r="AC1299" s="2001"/>
      <c r="AD1299" s="2001"/>
      <c r="AE1299" s="2001"/>
      <c r="AF1299" s="2001"/>
    </row>
    <row r="1300" spans="1:32" ht="15" customHeight="1">
      <c r="A1300" s="2001"/>
      <c r="B1300" s="2001"/>
      <c r="C1300" s="1974" t="s">
        <v>5177</v>
      </c>
      <c r="D1300" s="1974"/>
      <c r="E1300" s="1974"/>
      <c r="F1300" s="1974"/>
      <c r="G1300" s="1974"/>
      <c r="H1300" s="1974"/>
      <c r="I1300" s="1974"/>
      <c r="J1300" s="1974"/>
      <c r="K1300" s="1974"/>
      <c r="L1300" s="1974"/>
      <c r="M1300" s="2001"/>
      <c r="N1300" s="1992"/>
      <c r="O1300" s="2403" t="str">
        <f>'Part VIII Scoring Criteria'!O106</f>
        <v>Yes</v>
      </c>
      <c r="P1300" s="2885"/>
      <c r="Q1300" s="2001"/>
      <c r="R1300" s="2001"/>
      <c r="S1300" s="2001"/>
      <c r="T1300" s="2399"/>
      <c r="U1300" s="2399"/>
      <c r="V1300" s="2001"/>
      <c r="W1300" s="2001"/>
      <c r="X1300" s="2001"/>
      <c r="Y1300" s="2001"/>
      <c r="Z1300" s="2001"/>
      <c r="AA1300" s="2001"/>
      <c r="AB1300" s="2001"/>
      <c r="AC1300" s="2001"/>
      <c r="AD1300" s="2001"/>
      <c r="AE1300" s="2001"/>
      <c r="AF1300" s="2001"/>
    </row>
    <row r="1301" spans="1:32" ht="14">
      <c r="A1301" s="2403" t="s">
        <v>1838</v>
      </c>
      <c r="B1301" s="1973" t="s">
        <v>4132</v>
      </c>
      <c r="C1301" s="1974"/>
      <c r="D1301" s="1974"/>
      <c r="E1301" s="1974"/>
      <c r="F1301" s="1974"/>
      <c r="G1301" s="1974"/>
      <c r="H1301" s="1974"/>
      <c r="I1301" s="1974"/>
      <c r="J1301" s="1974"/>
      <c r="K1301" s="1974"/>
      <c r="L1301" s="1974"/>
      <c r="M1301" s="1987">
        <v>1</v>
      </c>
      <c r="N1301" s="2401"/>
      <c r="O1301" s="2403">
        <f>'Part VIII Scoring Criteria'!O107</f>
        <v>0</v>
      </c>
      <c r="P1301" s="2000"/>
      <c r="Q1301" s="2879" t="str">
        <f>IF(OR($O1301=$M1301,$O1301=0,$O1301=""),"","*CHECK!*")</f>
        <v/>
      </c>
      <c r="R1301" s="2880"/>
      <c r="S1301" s="2001"/>
      <c r="T1301" s="2001"/>
      <c r="U1301" s="2001"/>
      <c r="V1301" s="2001"/>
      <c r="W1301" s="2001"/>
      <c r="X1301" s="2001"/>
      <c r="Y1301" s="2001"/>
      <c r="Z1301" s="2001"/>
      <c r="AA1301" s="2001"/>
      <c r="AB1301" s="2001"/>
      <c r="AC1301" s="2001"/>
      <c r="AD1301" s="2001"/>
      <c r="AE1301" s="2001"/>
      <c r="AF1301" s="2001"/>
    </row>
    <row r="1302" spans="1:32" ht="14">
      <c r="A1302" s="2403" t="s">
        <v>697</v>
      </c>
      <c r="B1302" s="1973" t="s">
        <v>4839</v>
      </c>
      <c r="C1302" s="1974"/>
      <c r="D1302" s="1974"/>
      <c r="E1302" s="1974"/>
      <c r="F1302" s="1974"/>
      <c r="G1302" s="2903" t="s">
        <v>4844</v>
      </c>
      <c r="H1302" s="1974"/>
      <c r="I1302" s="1974"/>
      <c r="J1302" s="1974"/>
      <c r="K1302" s="1974"/>
      <c r="L1302" s="1974"/>
      <c r="M1302" s="1987">
        <v>2</v>
      </c>
      <c r="N1302" s="2401"/>
      <c r="O1302" s="2000">
        <f>O1303-O1304</f>
        <v>2</v>
      </c>
      <c r="P1302" s="2000">
        <f>P1303-P1304</f>
        <v>2</v>
      </c>
      <c r="Q1302" s="2879" t="str">
        <f>IF(OR($O1302=$M1302,$O1302=0,$O1302=""),"","*CHECK!*")</f>
        <v/>
      </c>
      <c r="R1302" s="1974"/>
      <c r="S1302" s="1974"/>
      <c r="T1302" s="1974"/>
      <c r="U1302" s="1974"/>
      <c r="V1302" s="1974"/>
      <c r="W1302" s="1974"/>
      <c r="X1302" s="1974"/>
      <c r="Y1302" s="1974"/>
      <c r="Z1302" s="1974"/>
      <c r="AA1302" s="1974"/>
      <c r="AB1302" s="1974"/>
      <c r="AC1302" s="1974"/>
      <c r="AD1302" s="1974"/>
      <c r="AE1302" s="1974"/>
      <c r="AF1302" s="1974"/>
    </row>
    <row r="1303" spans="1:32" ht="14">
      <c r="A1303" s="2916"/>
      <c r="B1303" s="1974"/>
      <c r="C1303" s="1973" t="s">
        <v>3094</v>
      </c>
      <c r="D1303" s="2399"/>
      <c r="E1303" s="2399"/>
      <c r="F1303" s="1974"/>
      <c r="G1303" s="1974"/>
      <c r="H1303" s="1974"/>
      <c r="I1303" s="1974"/>
      <c r="J1303" s="1974"/>
      <c r="K1303" s="1974"/>
      <c r="L1303" s="2878"/>
      <c r="M1303" s="2403"/>
      <c r="N1303" s="1987"/>
      <c r="O1303" s="2000">
        <v>2</v>
      </c>
      <c r="P1303" s="2000">
        <v>2</v>
      </c>
      <c r="Q1303" s="2403"/>
      <c r="R1303" s="1974"/>
      <c r="S1303" s="1974"/>
      <c r="T1303" s="1974"/>
      <c r="U1303" s="1974"/>
      <c r="V1303" s="1974"/>
      <c r="W1303" s="1974"/>
      <c r="X1303" s="1974"/>
      <c r="Y1303" s="1974"/>
      <c r="Z1303" s="1974"/>
      <c r="AA1303" s="1974"/>
      <c r="AB1303" s="1974"/>
      <c r="AC1303" s="1974"/>
      <c r="AD1303" s="1974"/>
      <c r="AE1303" s="1974"/>
      <c r="AF1303" s="1974"/>
    </row>
    <row r="1304" spans="1:32" ht="14">
      <c r="A1304" s="2916"/>
      <c r="B1304" s="1974"/>
      <c r="C1304" s="1973" t="s">
        <v>3095</v>
      </c>
      <c r="D1304" s="2399"/>
      <c r="E1304" s="2399"/>
      <c r="F1304" s="1974"/>
      <c r="G1304" s="1974"/>
      <c r="H1304" s="1974"/>
      <c r="I1304" s="1974"/>
      <c r="J1304" s="1974"/>
      <c r="K1304" s="1974"/>
      <c r="L1304" s="2878"/>
      <c r="M1304" s="2403"/>
      <c r="N1304" s="1987"/>
      <c r="O1304" s="2403">
        <f>'Part VIII Scoring Criteria'!O110</f>
        <v>0</v>
      </c>
      <c r="P1304" s="2000"/>
      <c r="Q1304" s="2403"/>
      <c r="R1304" s="2880"/>
      <c r="S1304" s="1974"/>
      <c r="T1304" s="1974"/>
      <c r="U1304" s="1974"/>
      <c r="V1304" s="1974"/>
      <c r="W1304" s="1974"/>
      <c r="X1304" s="1974"/>
      <c r="Y1304" s="1974"/>
      <c r="Z1304" s="1974"/>
      <c r="AA1304" s="1974"/>
      <c r="AB1304" s="1974"/>
      <c r="AC1304" s="1974"/>
      <c r="AD1304" s="1974"/>
      <c r="AE1304" s="1974"/>
      <c r="AF1304" s="1974"/>
    </row>
    <row r="1305" spans="1:32" ht="14.5">
      <c r="A1305" s="1974"/>
      <c r="B1305" s="2872" t="s">
        <v>5176</v>
      </c>
      <c r="C1305" s="1974"/>
      <c r="D1305" s="1974"/>
      <c r="E1305" s="1974"/>
      <c r="F1305" s="1974"/>
      <c r="G1305" s="1974"/>
      <c r="H1305" s="1974"/>
      <c r="I1305" s="1974"/>
      <c r="J1305" s="1974"/>
      <c r="K1305" s="1974"/>
      <c r="L1305" s="2001"/>
      <c r="M1305" s="1987"/>
      <c r="N1305" s="1992"/>
      <c r="O1305" s="2000"/>
      <c r="P1305" s="2000"/>
      <c r="Q1305" s="2001"/>
      <c r="R1305" s="2001"/>
      <c r="S1305" s="2001"/>
      <c r="T1305" s="2001"/>
      <c r="U1305" s="2001"/>
      <c r="V1305" s="2001"/>
      <c r="W1305" s="2001"/>
      <c r="X1305" s="2001"/>
      <c r="Y1305" s="2001"/>
      <c r="Z1305" s="2001"/>
      <c r="AA1305" s="2001"/>
      <c r="AB1305" s="2001"/>
      <c r="AC1305" s="2001"/>
      <c r="AD1305" s="2001"/>
      <c r="AE1305" s="2001"/>
      <c r="AF1305" s="2001"/>
    </row>
    <row r="1306" spans="1:32" ht="14">
      <c r="A1306" s="2008" t="str">
        <f>'Part VIII Scoring Criteria'!A112</f>
        <v xml:space="preserve">Princeton Court does not currently have a Project-Based Rental Assistance Contract because the College Park Housing Authority does not currently have authority to administer the program and although we applied for PBVs with Georgia DCA, this property was not awarded. We have had initial conversations with Grady Health's HSP program, a certified DCA entity for seniors 55+, to accept referrals for ISH units. N^^ and Grady Health have long-standing relationships to support resident health and well-being at many of our Atlanta portfolio sites and if awarded intend to continue this partnership by entering into an MOU for referrals. </v>
      </c>
      <c r="B1306" s="2007"/>
      <c r="C1306" s="2007"/>
      <c r="D1306" s="2007"/>
      <c r="E1306" s="2007"/>
      <c r="F1306" s="2007"/>
      <c r="G1306" s="2007"/>
      <c r="H1306" s="2007"/>
      <c r="I1306" s="2007"/>
      <c r="J1306" s="2007"/>
      <c r="K1306" s="2007"/>
      <c r="L1306" s="2007"/>
      <c r="M1306" s="2007"/>
      <c r="N1306" s="2007"/>
      <c r="O1306" s="2007"/>
      <c r="P1306" s="2007"/>
      <c r="Q1306" s="1973"/>
      <c r="R1306" s="1973"/>
      <c r="S1306" s="2001"/>
      <c r="T1306" s="2001"/>
      <c r="U1306" s="2001"/>
      <c r="V1306" s="2001"/>
      <c r="W1306" s="2001"/>
      <c r="X1306" s="2001"/>
      <c r="Y1306" s="2001"/>
      <c r="Z1306" s="2001"/>
      <c r="AA1306" s="2001"/>
      <c r="AB1306" s="2001"/>
      <c r="AC1306" s="2001"/>
      <c r="AD1306" s="2001"/>
      <c r="AE1306" s="2001"/>
      <c r="AF1306" s="2001"/>
    </row>
    <row r="1307" spans="1:32" ht="14.5">
      <c r="A1307" s="2001"/>
      <c r="B1307" s="2890" t="s">
        <v>1725</v>
      </c>
      <c r="C1307" s="1974"/>
      <c r="D1307" s="2890"/>
      <c r="E1307" s="2007"/>
      <c r="F1307" s="2007"/>
      <c r="G1307" s="2007"/>
      <c r="H1307" s="2007"/>
      <c r="I1307" s="2007"/>
      <c r="J1307" s="2007"/>
      <c r="K1307" s="2007"/>
      <c r="L1307" s="2007"/>
      <c r="M1307" s="2007"/>
      <c r="N1307" s="2007"/>
      <c r="O1307" s="2866"/>
      <c r="P1307" s="1973"/>
      <c r="Q1307" s="2001"/>
      <c r="R1307" s="2001"/>
      <c r="S1307" s="2001"/>
      <c r="T1307" s="2001"/>
      <c r="U1307" s="2001"/>
      <c r="V1307" s="2001"/>
      <c r="W1307" s="2001"/>
      <c r="X1307" s="2001"/>
      <c r="Y1307" s="2001"/>
      <c r="Z1307" s="2001"/>
      <c r="AA1307" s="2001"/>
      <c r="AB1307" s="2001"/>
      <c r="AC1307" s="2001"/>
      <c r="AD1307" s="2001"/>
      <c r="AE1307" s="2001"/>
      <c r="AF1307" s="2001"/>
    </row>
    <row r="1308" spans="1:32" ht="14">
      <c r="A1308" s="2007"/>
      <c r="B1308" s="2007"/>
      <c r="C1308" s="2007"/>
      <c r="D1308" s="2007"/>
      <c r="E1308" s="2007"/>
      <c r="F1308" s="2007"/>
      <c r="G1308" s="2007"/>
      <c r="H1308" s="2007"/>
      <c r="I1308" s="2007"/>
      <c r="J1308" s="2007"/>
      <c r="K1308" s="2007"/>
      <c r="L1308" s="2007"/>
      <c r="M1308" s="2007"/>
      <c r="N1308" s="2007"/>
      <c r="O1308" s="2007"/>
      <c r="P1308" s="2007"/>
      <c r="Q1308" s="1973"/>
      <c r="R1308" s="2001"/>
      <c r="S1308" s="2001"/>
      <c r="T1308" s="2001"/>
      <c r="U1308" s="2001"/>
      <c r="V1308" s="2001"/>
      <c r="W1308" s="2001"/>
      <c r="X1308" s="2001"/>
      <c r="Y1308" s="2001"/>
      <c r="Z1308" s="2001"/>
      <c r="AA1308" s="2001"/>
      <c r="AB1308" s="2001"/>
      <c r="AC1308" s="2001"/>
      <c r="AD1308" s="2001"/>
      <c r="AE1308" s="2001"/>
      <c r="AF1308" s="2001"/>
    </row>
    <row r="1309" spans="1:32" ht="14">
      <c r="A1309" s="2398"/>
      <c r="B1309" s="1974"/>
      <c r="C1309" s="2007"/>
      <c r="D1309" s="2007"/>
      <c r="E1309" s="2007"/>
      <c r="F1309" s="2007"/>
      <c r="G1309" s="2007"/>
      <c r="H1309" s="2007"/>
      <c r="I1309" s="2007"/>
      <c r="J1309" s="2007"/>
      <c r="K1309" s="2007"/>
      <c r="L1309" s="2007"/>
      <c r="M1309" s="2007"/>
      <c r="N1309" s="2007"/>
      <c r="O1309" s="2866"/>
      <c r="P1309" s="1973"/>
      <c r="Q1309" s="2001"/>
      <c r="R1309" s="2001"/>
      <c r="S1309" s="2001"/>
      <c r="T1309" s="2001"/>
      <c r="U1309" s="2001"/>
      <c r="V1309" s="2001"/>
      <c r="W1309" s="2001"/>
      <c r="X1309" s="2001"/>
      <c r="Y1309" s="2001"/>
      <c r="Z1309" s="2001"/>
      <c r="AA1309" s="2001"/>
      <c r="AB1309" s="2001"/>
      <c r="AC1309" s="2001"/>
      <c r="AD1309" s="2001"/>
      <c r="AE1309" s="2001"/>
      <c r="AF1309" s="2001"/>
    </row>
    <row r="1310" spans="1:32" ht="14">
      <c r="A1310" s="2916"/>
      <c r="B1310" s="1974"/>
      <c r="C1310" s="2008"/>
      <c r="D1310" s="2008"/>
      <c r="E1310" s="2008"/>
      <c r="F1310" s="2008"/>
      <c r="G1310" s="2008"/>
      <c r="H1310" s="2008"/>
      <c r="I1310" s="2008"/>
      <c r="J1310" s="2008"/>
      <c r="K1310" s="2008"/>
      <c r="L1310" s="2008"/>
      <c r="M1310" s="2008"/>
      <c r="N1310" s="2006"/>
      <c r="O1310" s="2885"/>
      <c r="P1310" s="2403"/>
      <c r="Q1310" s="2001"/>
      <c r="R1310" s="2001"/>
      <c r="S1310" s="2001"/>
      <c r="T1310" s="2001"/>
      <c r="U1310" s="2001"/>
      <c r="V1310" s="2001"/>
      <c r="W1310" s="2001"/>
      <c r="X1310" s="2001"/>
      <c r="Y1310" s="2001"/>
      <c r="Z1310" s="2001"/>
      <c r="AA1310" s="2001"/>
      <c r="AB1310" s="2001"/>
      <c r="AC1310" s="2001"/>
      <c r="AD1310" s="2001"/>
      <c r="AE1310" s="2001"/>
      <c r="AF1310" s="2001"/>
    </row>
    <row r="1311" spans="1:32" ht="14">
      <c r="A1311" s="2916" t="s">
        <v>280</v>
      </c>
      <c r="B1311" s="2399" t="s">
        <v>4818</v>
      </c>
      <c r="C1311" s="1974"/>
      <c r="D1311" s="2399"/>
      <c r="E1311" s="2399"/>
      <c r="F1311" s="1974"/>
      <c r="G1311" s="1974"/>
      <c r="H1311" s="1974"/>
      <c r="I1311" s="1974"/>
      <c r="J1311" s="1974"/>
      <c r="K1311" s="1974"/>
      <c r="L1311" s="2876" t="s">
        <v>4866</v>
      </c>
      <c r="M1311" s="2403">
        <v>13</v>
      </c>
      <c r="N1311" s="1987"/>
      <c r="O1311" s="2000">
        <f>'Part VIII Scoring Criteria'!O117</f>
        <v>13</v>
      </c>
      <c r="P1311" s="2000">
        <f>'Part VIII Scoring Criteria'!P117</f>
        <v>0</v>
      </c>
      <c r="Q1311" s="2403" t="s">
        <v>415</v>
      </c>
      <c r="R1311" s="2880"/>
      <c r="S1311" s="1974"/>
      <c r="T1311" s="1974"/>
      <c r="U1311" s="1974"/>
      <c r="V1311" s="1974"/>
      <c r="W1311" s="1974"/>
      <c r="X1311" s="1974"/>
      <c r="Y1311" s="1974"/>
      <c r="Z1311" s="1974"/>
      <c r="AA1311" s="1974"/>
      <c r="AB1311" s="1974"/>
      <c r="AC1311" s="1974"/>
      <c r="AD1311" s="1974"/>
      <c r="AE1311" s="1974"/>
      <c r="AF1311" s="1974"/>
    </row>
    <row r="1312" spans="1:32" ht="14">
      <c r="A1312" s="2403" t="s">
        <v>1836</v>
      </c>
      <c r="B1312" s="1973" t="s">
        <v>4861</v>
      </c>
      <c r="C1312" s="1973"/>
      <c r="D1312" s="1973"/>
      <c r="E1312" s="1974"/>
      <c r="F1312" s="2925"/>
      <c r="G1312" s="1974"/>
      <c r="H1312" s="2401"/>
      <c r="I1312" s="1973"/>
      <c r="J1312" s="1973"/>
      <c r="K1312" s="1973"/>
      <c r="L1312" s="1973"/>
      <c r="M1312" s="1973"/>
      <c r="N1312" s="1973"/>
      <c r="O1312" s="1973"/>
      <c r="P1312" s="1973"/>
      <c r="Q1312" s="2877"/>
      <c r="R1312" s="2880"/>
      <c r="S1312" s="1974"/>
      <c r="T1312" s="1974"/>
      <c r="U1312" s="1974"/>
      <c r="V1312" s="1974"/>
      <c r="W1312" s="1974"/>
      <c r="X1312" s="1974"/>
      <c r="Y1312" s="1974"/>
      <c r="Z1312" s="1974"/>
      <c r="AA1312" s="1974"/>
      <c r="AB1312" s="1974"/>
      <c r="AC1312" s="1974"/>
      <c r="AD1312" s="1974"/>
      <c r="AE1312" s="1974"/>
      <c r="AF1312" s="1974"/>
    </row>
    <row r="1313" spans="1:32" ht="14">
      <c r="A1313" s="2403"/>
      <c r="B1313" s="1974" t="s">
        <v>4931</v>
      </c>
      <c r="C1313" s="1973"/>
      <c r="D1313" s="1973"/>
      <c r="E1313" s="1974"/>
      <c r="F1313" s="2925"/>
      <c r="G1313" s="1974"/>
      <c r="H1313" s="2401"/>
      <c r="I1313" s="1973"/>
      <c r="J1313" s="1973"/>
      <c r="K1313" s="1973"/>
      <c r="L1313" s="1973"/>
      <c r="M1313" s="1973"/>
      <c r="N1313" s="1973"/>
      <c r="O1313" s="1973"/>
      <c r="P1313" s="1973"/>
      <c r="Q1313" s="2877"/>
      <c r="R1313" s="2880"/>
      <c r="S1313" s="1974"/>
      <c r="T1313" s="1974"/>
      <c r="U1313" s="1974"/>
      <c r="V1313" s="1974"/>
      <c r="W1313" s="1974"/>
      <c r="X1313" s="1974"/>
      <c r="Y1313" s="1974"/>
      <c r="Z1313" s="1974"/>
      <c r="AA1313" s="1974"/>
      <c r="AB1313" s="1974"/>
      <c r="AC1313" s="1974"/>
      <c r="AD1313" s="1974"/>
      <c r="AE1313" s="1974"/>
      <c r="AF1313" s="1974"/>
    </row>
    <row r="1314" spans="1:32" ht="14">
      <c r="A1314" s="2403"/>
      <c r="B1314" s="1974"/>
      <c r="C1314" s="1973" t="s">
        <v>4935</v>
      </c>
      <c r="D1314" s="1973"/>
      <c r="E1314" s="1974"/>
      <c r="F1314" s="2925"/>
      <c r="G1314" s="1974"/>
      <c r="H1314" s="2401"/>
      <c r="I1314" s="1973"/>
      <c r="J1314" s="1973"/>
      <c r="K1314" s="1973"/>
      <c r="L1314" s="1973"/>
      <c r="M1314" s="1973"/>
      <c r="N1314" s="1973"/>
      <c r="O1314" s="1973"/>
      <c r="P1314" s="1973"/>
      <c r="Q1314" s="2877"/>
      <c r="R1314" s="2880"/>
      <c r="S1314" s="1974"/>
      <c r="T1314" s="1974"/>
      <c r="U1314" s="1974"/>
      <c r="V1314" s="1974"/>
      <c r="W1314" s="1974"/>
      <c r="X1314" s="1974"/>
      <c r="Y1314" s="1974"/>
      <c r="Z1314" s="1974"/>
      <c r="AA1314" s="1974"/>
      <c r="AB1314" s="1974"/>
      <c r="AC1314" s="1974"/>
      <c r="AD1314" s="1974"/>
      <c r="AE1314" s="1974"/>
      <c r="AF1314" s="1974"/>
    </row>
    <row r="1315" spans="1:32" ht="14">
      <c r="A1315" s="2403"/>
      <c r="B1315" s="2881"/>
      <c r="C1315" s="2880" t="s">
        <v>4929</v>
      </c>
      <c r="D1315" s="1974"/>
      <c r="E1315" s="1974"/>
      <c r="F1315" s="2403"/>
      <c r="G1315" s="1974"/>
      <c r="H1315" s="1974"/>
      <c r="I1315" s="2403"/>
      <c r="J1315" s="1987" t="s">
        <v>4930</v>
      </c>
      <c r="K1315" s="1974"/>
      <c r="L1315" s="2878"/>
      <c r="M1315" s="2912">
        <v>5</v>
      </c>
      <c r="N1315" s="2401"/>
      <c r="O1315" s="2926">
        <f>'Part VIII Scoring Criteria'!O121</f>
        <v>5</v>
      </c>
      <c r="P1315" s="2926">
        <f>'Part VIII Scoring Criteria'!P121</f>
        <v>0</v>
      </c>
      <c r="Q1315" s="2880"/>
      <c r="R1315" s="1974"/>
      <c r="S1315" s="1974"/>
      <c r="T1315" s="1974"/>
      <c r="U1315" s="1974"/>
      <c r="V1315" s="2399"/>
      <c r="W1315" s="1974"/>
      <c r="X1315" s="1974"/>
      <c r="Y1315" s="1974"/>
      <c r="Z1315" s="1974"/>
      <c r="AA1315" s="1974"/>
      <c r="AB1315" s="1974"/>
      <c r="AC1315" s="1974"/>
      <c r="AD1315" s="1974"/>
      <c r="AE1315" s="1974"/>
      <c r="AF1315" s="1974"/>
    </row>
    <row r="1316" spans="1:32" ht="14">
      <c r="A1316" s="2403"/>
      <c r="B1316" s="2882"/>
      <c r="C1316" s="1973"/>
      <c r="D1316" s="2004" t="s">
        <v>4932</v>
      </c>
      <c r="E1316" s="1974"/>
      <c r="F1316" s="2403"/>
      <c r="G1316" s="1974"/>
      <c r="H1316" s="1974"/>
      <c r="I1316" s="2403"/>
      <c r="J1316" s="1987" t="str">
        <f>'Part VIII Scoring Criteria'!J122</f>
        <v>N/A</v>
      </c>
      <c r="K1316" s="1974"/>
      <c r="L1316" s="1974"/>
      <c r="M1316" s="2912"/>
      <c r="N1316" s="2401"/>
      <c r="O1316" s="2403" t="str">
        <f>IF(OR($J1316="Submitted",$J1316="N/A"), "Yes","")</f>
        <v>Yes</v>
      </c>
      <c r="P1316" s="2403"/>
      <c r="Q1316" s="2401"/>
      <c r="R1316" s="1974"/>
      <c r="S1316" s="1974"/>
      <c r="T1316" s="1974"/>
      <c r="U1316" s="1974"/>
      <c r="V1316" s="2399"/>
      <c r="W1316" s="1974"/>
      <c r="X1316" s="1974"/>
      <c r="Y1316" s="1974"/>
      <c r="Z1316" s="1974"/>
      <c r="AA1316" s="1974"/>
      <c r="AB1316" s="1974"/>
      <c r="AC1316" s="1974"/>
      <c r="AD1316" s="1974"/>
      <c r="AE1316" s="1974"/>
      <c r="AF1316" s="1974"/>
    </row>
    <row r="1317" spans="1:32" ht="14">
      <c r="A1317" s="2403"/>
      <c r="B1317" s="2882"/>
      <c r="C1317" s="1973"/>
      <c r="D1317" s="2004" t="s">
        <v>4933</v>
      </c>
      <c r="E1317" s="1974"/>
      <c r="F1317" s="2927"/>
      <c r="G1317" s="1974"/>
      <c r="H1317" s="1974"/>
      <c r="I1317" s="2403"/>
      <c r="J1317" s="1987" t="str">
        <f>'Part VIII Scoring Criteria'!J123</f>
        <v>N/A</v>
      </c>
      <c r="K1317" s="2401"/>
      <c r="L1317" s="1974"/>
      <c r="M1317" s="2912"/>
      <c r="N1317" s="2401"/>
      <c r="O1317" s="2403" t="str">
        <f>IF(OR($J1317="Submitted",$J1317="N/A"), "Yes","")</f>
        <v>Yes</v>
      </c>
      <c r="P1317" s="2885"/>
      <c r="Q1317" s="2401"/>
      <c r="R1317" s="1974"/>
      <c r="S1317" s="1974"/>
      <c r="T1317" s="1974"/>
      <c r="U1317" s="1974"/>
      <c r="V1317" s="2399"/>
      <c r="W1317" s="1974"/>
      <c r="X1317" s="1974"/>
      <c r="Y1317" s="1974"/>
      <c r="Z1317" s="1974"/>
      <c r="AA1317" s="1974"/>
      <c r="AB1317" s="1974"/>
      <c r="AC1317" s="1974"/>
      <c r="AD1317" s="1974"/>
      <c r="AE1317" s="1974"/>
      <c r="AF1317" s="1974"/>
    </row>
    <row r="1318" spans="1:32" ht="14">
      <c r="A1318" s="2403"/>
      <c r="B1318" s="2882"/>
      <c r="C1318" s="2004" t="s">
        <v>4863</v>
      </c>
      <c r="D1318" s="1973"/>
      <c r="E1318" s="1974"/>
      <c r="F1318" s="2403"/>
      <c r="G1318" s="1974"/>
      <c r="H1318" s="1974"/>
      <c r="I1318" s="2403"/>
      <c r="J1318" s="1987" t="str">
        <f>'Part VIII Scoring Criteria'!J124</f>
        <v>N/A</v>
      </c>
      <c r="K1318" s="2004"/>
      <c r="L1318" s="2878" t="str">
        <f t="shared" ref="L1318:L1326" si="447">IF(OR($O1318=$M1318,$O1318=0,$O1318=""),"","* * Check Score! * *")</f>
        <v/>
      </c>
      <c r="M1318" s="2912">
        <v>1</v>
      </c>
      <c r="N1318" s="2401"/>
      <c r="O1318" s="2403">
        <f>IF(OR($J1318="Submitted",$J1318="N/A"),1,"")</f>
        <v>1</v>
      </c>
      <c r="P1318" s="2000"/>
      <c r="Q1318" s="2401"/>
      <c r="R1318" s="1974"/>
      <c r="S1318" s="1974"/>
      <c r="T1318" s="1974"/>
      <c r="U1318" s="1974"/>
      <c r="V1318" s="2399"/>
      <c r="W1318" s="1974"/>
      <c r="X1318" s="1974"/>
      <c r="Y1318" s="1974"/>
      <c r="Z1318" s="1974"/>
      <c r="AA1318" s="1974"/>
      <c r="AB1318" s="1974"/>
      <c r="AC1318" s="1974"/>
      <c r="AD1318" s="1974"/>
      <c r="AE1318" s="1974"/>
      <c r="AF1318" s="1974"/>
    </row>
    <row r="1319" spans="1:32" ht="14">
      <c r="A1319" s="2403"/>
      <c r="B1319" s="2882"/>
      <c r="C1319" s="2004" t="s">
        <v>4864</v>
      </c>
      <c r="D1319" s="1973"/>
      <c r="E1319" s="1974"/>
      <c r="F1319" s="2403"/>
      <c r="G1319" s="1974"/>
      <c r="H1319" s="1974"/>
      <c r="I1319" s="2403"/>
      <c r="J1319" s="1987" t="str">
        <f>'Part VIII Scoring Criteria'!J125</f>
        <v>N/A</v>
      </c>
      <c r="K1319" s="2004"/>
      <c r="L1319" s="2888" t="str">
        <f t="shared" si="447"/>
        <v/>
      </c>
      <c r="M1319" s="2912">
        <v>1</v>
      </c>
      <c r="N1319" s="2401"/>
      <c r="O1319" s="2403">
        <f t="shared" ref="O1319:O1320" si="448">IF(OR($J1319="Submitted",$J1319="N/A"),1,"")</f>
        <v>1</v>
      </c>
      <c r="P1319" s="2000"/>
      <c r="Q1319" s="2880"/>
      <c r="R1319" s="1974"/>
      <c r="S1319" s="1974"/>
      <c r="T1319" s="1974"/>
      <c r="U1319" s="1974"/>
      <c r="V1319" s="2399"/>
      <c r="W1319" s="1974"/>
      <c r="X1319" s="1974"/>
      <c r="Y1319" s="1974"/>
      <c r="Z1319" s="1974"/>
      <c r="AA1319" s="1974"/>
      <c r="AB1319" s="1974"/>
      <c r="AC1319" s="1974"/>
      <c r="AD1319" s="1974"/>
      <c r="AE1319" s="1974"/>
      <c r="AF1319" s="1974"/>
    </row>
    <row r="1320" spans="1:32" ht="14">
      <c r="A1320" s="2403"/>
      <c r="B1320" s="2881"/>
      <c r="C1320" s="2004" t="s">
        <v>4934</v>
      </c>
      <c r="D1320" s="1973"/>
      <c r="E1320" s="1974"/>
      <c r="F1320" s="2403"/>
      <c r="G1320" s="1974"/>
      <c r="H1320" s="1974"/>
      <c r="I1320" s="2403"/>
      <c r="J1320" s="1987" t="str">
        <f>'Part VIII Scoring Criteria'!J126</f>
        <v>Submitted</v>
      </c>
      <c r="K1320" s="2004"/>
      <c r="L1320" s="2878" t="str">
        <f t="shared" si="447"/>
        <v/>
      </c>
      <c r="M1320" s="2912">
        <v>1</v>
      </c>
      <c r="N1320" s="2401"/>
      <c r="O1320" s="2403">
        <f t="shared" si="448"/>
        <v>1</v>
      </c>
      <c r="P1320" s="2000"/>
      <c r="Q1320" s="2880"/>
      <c r="R1320" s="1974"/>
      <c r="S1320" s="1974"/>
      <c r="T1320" s="1974"/>
      <c r="U1320" s="1974"/>
      <c r="V1320" s="2399"/>
      <c r="W1320" s="1974"/>
      <c r="X1320" s="1974"/>
      <c r="Y1320" s="1974"/>
      <c r="Z1320" s="1974"/>
      <c r="AA1320" s="1974"/>
      <c r="AB1320" s="1974"/>
      <c r="AC1320" s="1974"/>
      <c r="AD1320" s="1974"/>
      <c r="AE1320" s="1974"/>
      <c r="AF1320" s="1974"/>
    </row>
    <row r="1321" spans="1:32" ht="14">
      <c r="A1321" s="2403"/>
      <c r="B1321" s="2881"/>
      <c r="C1321" s="2880" t="s">
        <v>4966</v>
      </c>
      <c r="D1321" s="1973"/>
      <c r="E1321" s="1974"/>
      <c r="F1321" s="2403"/>
      <c r="G1321" s="1974"/>
      <c r="H1321" s="1974"/>
      <c r="I1321" s="1974"/>
      <c r="J1321" s="1974"/>
      <c r="K1321" s="1974"/>
      <c r="L1321" s="1974"/>
      <c r="M1321" s="1974"/>
      <c r="N1321" s="1974"/>
      <c r="O1321" s="1974"/>
      <c r="P1321" s="1974"/>
      <c r="Q1321" s="1974"/>
      <c r="R1321" s="1974"/>
      <c r="S1321" s="1974"/>
      <c r="T1321" s="1974"/>
      <c r="U1321" s="1974"/>
      <c r="V1321" s="2399"/>
      <c r="W1321" s="1974"/>
      <c r="X1321" s="1974"/>
      <c r="Y1321" s="1974"/>
      <c r="Z1321" s="1974"/>
      <c r="AA1321" s="1974"/>
      <c r="AB1321" s="1974"/>
      <c r="AC1321" s="1974"/>
      <c r="AD1321" s="1974"/>
      <c r="AE1321" s="1974"/>
      <c r="AF1321" s="1974"/>
    </row>
    <row r="1322" spans="1:32" ht="14">
      <c r="A1322" s="2403"/>
      <c r="B1322" s="2883"/>
      <c r="C1322" s="2004" t="s">
        <v>4967</v>
      </c>
      <c r="D1322" s="1974"/>
      <c r="E1322" s="1974"/>
      <c r="F1322" s="1987"/>
      <c r="G1322" s="1974"/>
      <c r="H1322" s="1974"/>
      <c r="I1322" s="1987"/>
      <c r="J1322" s="1987" t="str">
        <f>'Part VIII Scoring Criteria'!J128</f>
        <v>Submitted</v>
      </c>
      <c r="K1322" s="2004"/>
      <c r="L1322" s="2878" t="str">
        <f t="shared" si="447"/>
        <v/>
      </c>
      <c r="M1322" s="2912">
        <v>1</v>
      </c>
      <c r="N1322" s="2401"/>
      <c r="O1322" s="2403">
        <f>IF(OR($J1322="Submitted",$J1322="N/A"),1,"")</f>
        <v>1</v>
      </c>
      <c r="P1322" s="2000"/>
      <c r="Q1322" s="2880"/>
      <c r="R1322" s="1974"/>
      <c r="S1322" s="1974"/>
      <c r="T1322" s="1974"/>
      <c r="U1322" s="1974"/>
      <c r="V1322" s="2399"/>
      <c r="W1322" s="1974"/>
      <c r="X1322" s="1974"/>
      <c r="Y1322" s="1974"/>
      <c r="Z1322" s="1974"/>
      <c r="AA1322" s="1974"/>
      <c r="AB1322" s="1974"/>
      <c r="AC1322" s="1974"/>
      <c r="AD1322" s="1974"/>
      <c r="AE1322" s="1974"/>
      <c r="AF1322" s="1974"/>
    </row>
    <row r="1323" spans="1:32" ht="14">
      <c r="A1323" s="2403"/>
      <c r="B1323" s="2883"/>
      <c r="C1323" s="2007" t="s">
        <v>4936</v>
      </c>
      <c r="D1323" s="2007"/>
      <c r="E1323" s="2007"/>
      <c r="F1323" s="2007"/>
      <c r="G1323" s="2007"/>
      <c r="H1323" s="2007"/>
      <c r="I1323" s="2007"/>
      <c r="J1323" s="1987" t="str">
        <f>'Part VIII Scoring Criteria'!J129</f>
        <v>Submitted</v>
      </c>
      <c r="K1323" s="2007"/>
      <c r="L1323" s="2878" t="str">
        <f t="shared" si="447"/>
        <v/>
      </c>
      <c r="M1323" s="2928">
        <v>1</v>
      </c>
      <c r="N1323" s="2887"/>
      <c r="O1323" s="2403">
        <f t="shared" ref="O1323:O1326" si="449">IF(OR($J1323="Submitted",$J1323="N/A"),1,"")</f>
        <v>1</v>
      </c>
      <c r="P1323" s="2929"/>
      <c r="Q1323" s="2880"/>
      <c r="R1323" s="1974"/>
      <c r="S1323" s="1974"/>
      <c r="T1323" s="1974"/>
      <c r="U1323" s="1974"/>
      <c r="V1323" s="2399"/>
      <c r="W1323" s="1974"/>
      <c r="X1323" s="1974"/>
      <c r="Y1323" s="1974"/>
      <c r="Z1323" s="1974"/>
      <c r="AA1323" s="1974"/>
      <c r="AB1323" s="1974"/>
      <c r="AC1323" s="1974"/>
      <c r="AD1323" s="1974"/>
      <c r="AE1323" s="1974"/>
      <c r="AF1323" s="1974"/>
    </row>
    <row r="1324" spans="1:32" ht="14">
      <c r="A1324" s="2403"/>
      <c r="B1324" s="2883"/>
      <c r="C1324" s="2004" t="s">
        <v>4937</v>
      </c>
      <c r="D1324" s="1974"/>
      <c r="E1324" s="1974"/>
      <c r="F1324" s="2403"/>
      <c r="G1324" s="1974"/>
      <c r="H1324" s="1974"/>
      <c r="I1324" s="2403"/>
      <c r="J1324" s="1987" t="str">
        <f>'Part VIII Scoring Criteria'!J130</f>
        <v>Submitted</v>
      </c>
      <c r="K1324" s="2004"/>
      <c r="L1324" s="2878" t="str">
        <f t="shared" si="447"/>
        <v/>
      </c>
      <c r="M1324" s="2912">
        <v>1</v>
      </c>
      <c r="N1324" s="2401"/>
      <c r="O1324" s="2403">
        <f t="shared" si="449"/>
        <v>1</v>
      </c>
      <c r="P1324" s="2000"/>
      <c r="Q1324" s="2880"/>
      <c r="R1324" s="1974"/>
      <c r="S1324" s="1974"/>
      <c r="T1324" s="1974"/>
      <c r="U1324" s="1974"/>
      <c r="V1324" s="2399"/>
      <c r="W1324" s="1974"/>
      <c r="X1324" s="1974"/>
      <c r="Y1324" s="1974"/>
      <c r="Z1324" s="1974"/>
      <c r="AA1324" s="1974"/>
      <c r="AB1324" s="1974"/>
      <c r="AC1324" s="1974"/>
      <c r="AD1324" s="1974"/>
      <c r="AE1324" s="1974"/>
      <c r="AF1324" s="1974"/>
    </row>
    <row r="1325" spans="1:32" ht="14">
      <c r="A1325" s="2403"/>
      <c r="B1325" s="2881"/>
      <c r="C1325" s="2004" t="s">
        <v>4865</v>
      </c>
      <c r="D1325" s="1974"/>
      <c r="E1325" s="1974"/>
      <c r="F1325" s="2403"/>
      <c r="G1325" s="1974"/>
      <c r="H1325" s="1974"/>
      <c r="I1325" s="2403"/>
      <c r="J1325" s="1987" t="str">
        <f>'Part VIII Scoring Criteria'!J131</f>
        <v>Submitted</v>
      </c>
      <c r="K1325" s="2004"/>
      <c r="L1325" s="2878" t="str">
        <f t="shared" si="447"/>
        <v/>
      </c>
      <c r="M1325" s="2912">
        <v>1</v>
      </c>
      <c r="N1325" s="2401"/>
      <c r="O1325" s="2403">
        <f t="shared" si="449"/>
        <v>1</v>
      </c>
      <c r="P1325" s="2000"/>
      <c r="Q1325" s="2880"/>
      <c r="R1325" s="1974"/>
      <c r="S1325" s="1974"/>
      <c r="T1325" s="1974"/>
      <c r="U1325" s="1974"/>
      <c r="V1325" s="2399"/>
      <c r="W1325" s="1974"/>
      <c r="X1325" s="1974"/>
      <c r="Y1325" s="1974"/>
      <c r="Z1325" s="1974"/>
      <c r="AA1325" s="1974"/>
      <c r="AB1325" s="1974"/>
      <c r="AC1325" s="1974"/>
      <c r="AD1325" s="1974"/>
      <c r="AE1325" s="1974"/>
      <c r="AF1325" s="1974"/>
    </row>
    <row r="1326" spans="1:32" ht="14">
      <c r="A1326" s="2403"/>
      <c r="B1326" s="2883"/>
      <c r="C1326" s="2004" t="s">
        <v>4938</v>
      </c>
      <c r="D1326" s="1974"/>
      <c r="E1326" s="1974"/>
      <c r="F1326" s="2403"/>
      <c r="G1326" s="1974"/>
      <c r="H1326" s="1974"/>
      <c r="I1326" s="2403"/>
      <c r="J1326" s="1987" t="str">
        <f>'Part VIII Scoring Criteria'!J132</f>
        <v>Submitted</v>
      </c>
      <c r="K1326" s="2004"/>
      <c r="L1326" s="2878" t="str">
        <f t="shared" si="447"/>
        <v/>
      </c>
      <c r="M1326" s="2912">
        <v>1</v>
      </c>
      <c r="N1326" s="2401"/>
      <c r="O1326" s="2403">
        <f t="shared" si="449"/>
        <v>1</v>
      </c>
      <c r="P1326" s="2000"/>
      <c r="Q1326" s="2880"/>
      <c r="R1326" s="1974"/>
      <c r="S1326" s="1974"/>
      <c r="T1326" s="1974"/>
      <c r="U1326" s="1974"/>
      <c r="V1326" s="2399"/>
      <c r="W1326" s="1974"/>
      <c r="X1326" s="1974"/>
      <c r="Y1326" s="1974"/>
      <c r="Z1326" s="1974"/>
      <c r="AA1326" s="1974"/>
      <c r="AB1326" s="1974"/>
      <c r="AC1326" s="1974"/>
      <c r="AD1326" s="1974"/>
      <c r="AE1326" s="1974"/>
      <c r="AF1326" s="1974"/>
    </row>
    <row r="1327" spans="1:32" ht="14">
      <c r="A1327" s="2403" t="s">
        <v>1838</v>
      </c>
      <c r="B1327" s="1973" t="s">
        <v>4862</v>
      </c>
      <c r="C1327" s="1974"/>
      <c r="D1327" s="1974"/>
      <c r="E1327" s="1974"/>
      <c r="F1327" s="2903" t="s">
        <v>5045</v>
      </c>
      <c r="G1327" s="1974"/>
      <c r="H1327" s="2401"/>
      <c r="I1327" s="1974"/>
      <c r="J1327" s="1973"/>
      <c r="K1327" s="1973"/>
      <c r="L1327" s="1973"/>
      <c r="M1327" s="1987"/>
      <c r="N1327" s="1987"/>
      <c r="O1327" s="1987"/>
      <c r="P1327" s="1987"/>
      <c r="Q1327" s="1987"/>
      <c r="R1327" s="2880"/>
      <c r="S1327" s="1974"/>
      <c r="T1327" s="1974"/>
      <c r="U1327" s="1974"/>
      <c r="V1327" s="1974"/>
      <c r="W1327" s="1974"/>
      <c r="X1327" s="1974"/>
      <c r="Y1327" s="1974"/>
      <c r="Z1327" s="1974"/>
      <c r="AA1327" s="1974"/>
      <c r="AB1327" s="1974"/>
      <c r="AC1327" s="1974"/>
      <c r="AD1327" s="1974"/>
      <c r="AE1327" s="1974"/>
      <c r="AF1327" s="1974"/>
    </row>
    <row r="1328" spans="1:32" ht="14">
      <c r="A1328" s="2001"/>
      <c r="B1328" s="2004" t="str">
        <f>'Part VIII Scoring Criteria'!B134</f>
        <v>A.	The proposed project is National Church Residences only application in this round.
B.	National Church Residences is a CORES certified service provider claiming points under the enriched property services category.
C.	Readiness to Proceed:
Princeton Court is well positioned to proceed with construction after receiving a 4% LIHTC award, due to the current operating status and the scoping that has already been developed for this property.
The property has been operating as a senior affordable housing community since 2005, and therefore already zoned with utilities, including sewer and water, running to the building. The project team has submitted Princeton Court in the two previous LIHTC rounds, and alongside the architect, Goode Van Slyke, and historic tax credit advisor, Ryan LLC, have developed a work scope inclusive of accessibility and architectural needs across both buildings as well as the historic nature of the former Samuel R. Young Elementary School. The property is aging and is outside of the 15-year compliance period with major systems beginning to fail. As a result, the National Church Residences Operations, Asset Management, Development, and Capital Planning teams spent the last year evaluating the capital needs at this property, prioritizing life and safety and code concerns to execute short term repairs. This work has included repair and replacement of a portion of residential and common are HVAC systems, replacement of the fire panel in the 2005 building, the impending replacement of the roof over the 1927 building, scoping and investigation of water infiltration at the basement of the former school building, remediation of units near trash compactor rooms, and elevator system and HVAC repair. The team has collaborated with trusted local vendors and local code enforcement to address resident concerns. However, these repairs have revealed the ever-increasing need for full-scale renovation. As you will see in the PNA included in folder 08, a number of major systems are nearing the end of their useful life and will need to be replaced to ensure the continued level of operations on site. Critical systems include elevators, which have had short-term repairs put into place but will need modernization for continual operation, and roofing on the 2005 building. The 1927 building roof is being replaced to ensure resident health and safety in advance of full-scale renovations. However, the 2005 building’s roof is noted as being in fair to poor physical condition and will need replacement along with fascia, soffits, gutters and downspouts. Hot water heating systems and heat pumps are at the end of their useful life. Currently these systems are being replaced upon failure at the site. 
The project team is prepared and experienced in acting quickly to complete the kind of renovations cited in the scope of work along with a highly responsive in-house relocation team.
D. Preservation application:
The proposed project is in year 20 of the extended compliance period.
Additionally, rent values as outlined in the core application are based on existing rents on site are 5%-15% below 2025 60% LIHTC rents and present a significant rent advantage.</v>
      </c>
      <c r="C1328" s="2930"/>
      <c r="D1328" s="2930"/>
      <c r="E1328" s="2930"/>
      <c r="F1328" s="2930"/>
      <c r="G1328" s="2930"/>
      <c r="H1328" s="2930"/>
      <c r="I1328" s="2930"/>
      <c r="J1328" s="2930"/>
      <c r="K1328" s="2930"/>
      <c r="L1328" s="2930"/>
      <c r="M1328" s="2930"/>
      <c r="N1328" s="2930"/>
      <c r="O1328" s="2930"/>
      <c r="P1328" s="2930"/>
      <c r="Q1328" s="1973"/>
      <c r="R1328" s="1973"/>
      <c r="S1328" s="2001"/>
      <c r="T1328" s="2001"/>
      <c r="U1328" s="2001"/>
      <c r="V1328" s="2001"/>
      <c r="W1328" s="2001"/>
      <c r="X1328" s="2001"/>
      <c r="Y1328" s="2001"/>
      <c r="Z1328" s="2001"/>
      <c r="AA1328" s="2001"/>
      <c r="AB1328" s="2001"/>
      <c r="AC1328" s="2001"/>
      <c r="AD1328" s="2001"/>
      <c r="AE1328" s="2001"/>
      <c r="AF1328" s="2001"/>
    </row>
    <row r="1329" spans="1:32" ht="14.5">
      <c r="A1329" s="1974"/>
      <c r="B1329" s="2872" t="s">
        <v>5176</v>
      </c>
      <c r="C1329" s="1974"/>
      <c r="D1329" s="1974"/>
      <c r="E1329" s="1974"/>
      <c r="F1329" s="1974"/>
      <c r="G1329" s="1974"/>
      <c r="H1329" s="1974"/>
      <c r="I1329" s="1974"/>
      <c r="J1329" s="1974"/>
      <c r="K1329" s="1974"/>
      <c r="L1329" s="2001"/>
      <c r="M1329" s="1974"/>
      <c r="N1329" s="2001"/>
      <c r="O1329" s="2891"/>
      <c r="P1329" s="2009"/>
      <c r="Q1329" s="2001"/>
      <c r="R1329" s="2001"/>
      <c r="S1329" s="2001"/>
      <c r="T1329" s="2001"/>
      <c r="U1329" s="2001"/>
      <c r="V1329" s="2001"/>
      <c r="W1329" s="2001"/>
      <c r="X1329" s="2001"/>
      <c r="Y1329" s="2001"/>
      <c r="Z1329" s="2001"/>
      <c r="AA1329" s="2001"/>
      <c r="AB1329" s="2001"/>
      <c r="AC1329" s="2001"/>
      <c r="AD1329" s="2001"/>
      <c r="AE1329" s="2001"/>
      <c r="AF1329" s="2001"/>
    </row>
    <row r="1330" spans="1:32" ht="14">
      <c r="A1330" s="2008" t="str">
        <f>'Part VIII Scoring Criteria'!A136</f>
        <v xml:space="preserve">Princeton Court is a preservation project and does not require Site Zoning documentation. Per the DCA Scoring Manager, "submitted" should be selected to acurately reflect points. </v>
      </c>
      <c r="B1330" s="2007"/>
      <c r="C1330" s="2007"/>
      <c r="D1330" s="2007"/>
      <c r="E1330" s="2007"/>
      <c r="F1330" s="2007"/>
      <c r="G1330" s="2007"/>
      <c r="H1330" s="2007"/>
      <c r="I1330" s="2007"/>
      <c r="J1330" s="2007"/>
      <c r="K1330" s="2007"/>
      <c r="L1330" s="2007"/>
      <c r="M1330" s="2007"/>
      <c r="N1330" s="2007"/>
      <c r="O1330" s="2007"/>
      <c r="P1330" s="2007"/>
      <c r="Q1330" s="1973"/>
      <c r="R1330" s="1973"/>
      <c r="S1330" s="2001"/>
      <c r="T1330" s="2001"/>
      <c r="U1330" s="2001"/>
      <c r="V1330" s="2001"/>
      <c r="W1330" s="2001"/>
      <c r="X1330" s="2001"/>
      <c r="Y1330" s="2001"/>
      <c r="Z1330" s="2001"/>
      <c r="AA1330" s="2001"/>
      <c r="AB1330" s="2001"/>
      <c r="AC1330" s="2001"/>
      <c r="AD1330" s="2001"/>
      <c r="AE1330" s="2001"/>
      <c r="AF1330" s="2001"/>
    </row>
    <row r="1331" spans="1:32" ht="14.5">
      <c r="A1331" s="2872"/>
      <c r="B1331" s="2872" t="s">
        <v>1725</v>
      </c>
      <c r="C1331" s="1974"/>
      <c r="D1331" s="2872"/>
      <c r="E1331" s="1974"/>
      <c r="F1331" s="1974"/>
      <c r="G1331" s="1974"/>
      <c r="H1331" s="1974"/>
      <c r="I1331" s="1974"/>
      <c r="J1331" s="1974"/>
      <c r="K1331" s="1974"/>
      <c r="L1331" s="1974"/>
      <c r="M1331" s="1974"/>
      <c r="N1331" s="1974"/>
      <c r="O1331" s="1973"/>
      <c r="P1331" s="1973"/>
      <c r="Q1331" s="1974"/>
      <c r="R1331" s="1974"/>
      <c r="S1331" s="1974"/>
      <c r="T1331" s="1974"/>
      <c r="U1331" s="1974"/>
      <c r="V1331" s="1974"/>
      <c r="W1331" s="1974"/>
      <c r="X1331" s="1974"/>
      <c r="Y1331" s="1974"/>
      <c r="Z1331" s="1974"/>
      <c r="AA1331" s="1974"/>
      <c r="AB1331" s="1974"/>
      <c r="AC1331" s="1974"/>
      <c r="AD1331" s="1974"/>
      <c r="AE1331" s="1974"/>
      <c r="AF1331" s="1974"/>
    </row>
    <row r="1332" spans="1:32" ht="14">
      <c r="A1332" s="2007"/>
      <c r="B1332" s="2007"/>
      <c r="C1332" s="2007"/>
      <c r="D1332" s="2007"/>
      <c r="E1332" s="2007"/>
      <c r="F1332" s="2007"/>
      <c r="G1332" s="2007"/>
      <c r="H1332" s="2007"/>
      <c r="I1332" s="2007"/>
      <c r="J1332" s="2007"/>
      <c r="K1332" s="2007"/>
      <c r="L1332" s="2007"/>
      <c r="M1332" s="2007"/>
      <c r="N1332" s="2007"/>
      <c r="O1332" s="2007"/>
      <c r="P1332" s="2007"/>
      <c r="Q1332" s="1973"/>
      <c r="R1332" s="1973"/>
      <c r="S1332" s="2001"/>
      <c r="T1332" s="2001"/>
      <c r="U1332" s="2001"/>
      <c r="V1332" s="2001"/>
      <c r="W1332" s="2001"/>
      <c r="X1332" s="2001"/>
      <c r="Y1332" s="2001"/>
      <c r="Z1332" s="2001"/>
      <c r="AA1332" s="2001"/>
      <c r="AB1332" s="2001"/>
      <c r="AC1332" s="2001"/>
      <c r="AD1332" s="2001"/>
      <c r="AE1332" s="2001"/>
      <c r="AF1332" s="2001"/>
    </row>
    <row r="1333" spans="1:32" ht="14">
      <c r="A1333" s="2398"/>
      <c r="B1333" s="1974"/>
      <c r="C1333" s="2007"/>
      <c r="D1333" s="2007"/>
      <c r="E1333" s="2007"/>
      <c r="F1333" s="2007"/>
      <c r="G1333" s="2007"/>
      <c r="H1333" s="2007"/>
      <c r="I1333" s="2007"/>
      <c r="J1333" s="2007"/>
      <c r="K1333" s="2007"/>
      <c r="L1333" s="2007"/>
      <c r="M1333" s="2007"/>
      <c r="N1333" s="2007"/>
      <c r="O1333" s="2866"/>
      <c r="P1333" s="1973"/>
      <c r="Q1333" s="2001"/>
      <c r="R1333" s="2001"/>
      <c r="S1333" s="2001"/>
      <c r="T1333" s="2001"/>
      <c r="U1333" s="2001"/>
      <c r="V1333" s="2001"/>
      <c r="W1333" s="2001"/>
      <c r="X1333" s="2001"/>
      <c r="Y1333" s="2001"/>
      <c r="Z1333" s="2001"/>
      <c r="AA1333" s="2001"/>
      <c r="AB1333" s="2001"/>
      <c r="AC1333" s="2001"/>
      <c r="AD1333" s="2001"/>
      <c r="AE1333" s="2001"/>
      <c r="AF1333" s="2001"/>
    </row>
    <row r="1334" spans="1:32" ht="14">
      <c r="A1334" s="2001"/>
      <c r="B1334" s="2001"/>
      <c r="C1334" s="2001"/>
      <c r="D1334" s="1974"/>
      <c r="E1334" s="1974"/>
      <c r="F1334" s="2403"/>
      <c r="G1334" s="2403"/>
      <c r="H1334" s="2403"/>
      <c r="I1334" s="2403"/>
      <c r="J1334" s="2004"/>
      <c r="K1334" s="2004"/>
      <c r="L1334" s="2004"/>
      <c r="M1334" s="1987"/>
      <c r="N1334" s="2403"/>
      <c r="O1334" s="2003"/>
      <c r="P1334" s="2000"/>
      <c r="Q1334" s="2001"/>
      <c r="R1334" s="2001"/>
      <c r="S1334" s="2001"/>
      <c r="T1334" s="2001"/>
      <c r="U1334" s="2001"/>
      <c r="V1334" s="2001"/>
      <c r="W1334" s="2001"/>
      <c r="X1334" s="2001"/>
      <c r="Y1334" s="2001"/>
      <c r="Z1334" s="2001"/>
      <c r="AA1334" s="2001"/>
      <c r="AB1334" s="2001"/>
      <c r="AC1334" s="2001"/>
      <c r="AD1334" s="2001"/>
      <c r="AE1334" s="2001"/>
      <c r="AF1334" s="2001"/>
    </row>
    <row r="1335" spans="1:32" ht="14">
      <c r="A1335" s="2398" t="s">
        <v>400</v>
      </c>
      <c r="B1335" s="2399" t="s">
        <v>3065</v>
      </c>
      <c r="C1335" s="1974"/>
      <c r="D1335" s="1974"/>
      <c r="E1335" s="1974"/>
      <c r="F1335" s="1974"/>
      <c r="G1335" s="1973"/>
      <c r="H1335" s="1974"/>
      <c r="I1335" s="1973"/>
      <c r="J1335" s="2403"/>
      <c r="K1335" s="2931" t="s">
        <v>4910</v>
      </c>
      <c r="L1335" s="2876" t="s">
        <v>4866</v>
      </c>
      <c r="M1335" s="2403">
        <v>3</v>
      </c>
      <c r="N1335" s="1987"/>
      <c r="O1335" s="2000">
        <f>'Part VIII Scoring Criteria'!O141</f>
        <v>0</v>
      </c>
      <c r="P1335" s="2000">
        <f>'Part VIII Scoring Criteria'!P141</f>
        <v>0</v>
      </c>
      <c r="Q1335" s="2403" t="s">
        <v>415</v>
      </c>
      <c r="R1335" s="2403">
        <f>$C$16</f>
        <v>0</v>
      </c>
      <c r="S1335" s="2009"/>
      <c r="T1335" s="1974"/>
      <c r="U1335" s="1974"/>
      <c r="V1335" s="1974"/>
      <c r="W1335" s="1974"/>
      <c r="X1335" s="1974"/>
      <c r="Y1335" s="1974"/>
      <c r="Z1335" s="1974"/>
      <c r="AA1335" s="1974"/>
      <c r="AB1335" s="1974"/>
      <c r="AC1335" s="1974"/>
      <c r="AD1335" s="1974"/>
      <c r="AE1335" s="1974"/>
      <c r="AF1335" s="1974"/>
    </row>
    <row r="1336" spans="1:32" ht="14">
      <c r="A1336" s="2932"/>
      <c r="B1336" s="2933"/>
      <c r="C1336" s="2001"/>
      <c r="D1336" s="2001"/>
      <c r="E1336" s="1974"/>
      <c r="F1336" s="2001" t="s">
        <v>3694</v>
      </c>
      <c r="G1336" s="2009"/>
      <c r="H1336" s="1974"/>
      <c r="I1336" s="2399"/>
      <c r="J1336" s="2001"/>
      <c r="K1336" s="2876"/>
      <c r="L1336" s="2934"/>
      <c r="M1336" s="2403"/>
      <c r="N1336" s="1987"/>
      <c r="O1336" s="2000"/>
      <c r="P1336" s="2000"/>
      <c r="Q1336" s="2403"/>
      <c r="R1336" s="2878"/>
      <c r="S1336" s="2001"/>
      <c r="T1336" s="2001"/>
      <c r="U1336" s="2001"/>
      <c r="V1336" s="2001"/>
      <c r="W1336" s="2001"/>
      <c r="X1336" s="2001"/>
      <c r="Y1336" s="2001"/>
      <c r="Z1336" s="2001"/>
      <c r="AA1336" s="2001"/>
      <c r="AB1336" s="2001"/>
      <c r="AC1336" s="2001"/>
      <c r="AD1336" s="2001"/>
      <c r="AE1336" s="2001"/>
      <c r="AF1336" s="2001"/>
    </row>
    <row r="1337" spans="1:32" ht="14">
      <c r="A1337" s="2403" t="s">
        <v>1836</v>
      </c>
      <c r="B1337" s="2880" t="s">
        <v>4695</v>
      </c>
      <c r="C1337" s="1974"/>
      <c r="D1337" s="1974"/>
      <c r="E1337" s="1974"/>
      <c r="F1337" s="1974"/>
      <c r="G1337" s="2935"/>
      <c r="H1337" s="2001" t="s">
        <v>4535</v>
      </c>
      <c r="I1337" s="1974"/>
      <c r="J1337" s="2891" t="str">
        <f>'Part V-Revenues &amp; Expenses'!$O$62</f>
        <v>40% of Units at 60% of AMI</v>
      </c>
      <c r="K1337" s="1974"/>
      <c r="L1337" s="1974"/>
      <c r="M1337" s="2403">
        <v>2</v>
      </c>
      <c r="N1337" s="2913"/>
      <c r="O1337" s="2870">
        <f>'Part VIII Scoring Criteria'!O143</f>
        <v>0</v>
      </c>
      <c r="P1337" s="2870">
        <f>'Part VIII Scoring Criteria'!P143</f>
        <v>0</v>
      </c>
      <c r="Q1337" s="1974"/>
      <c r="R1337" s="1974"/>
      <c r="S1337" s="1974"/>
      <c r="T1337" s="1974"/>
      <c r="U1337" s="1974"/>
      <c r="V1337" s="1974"/>
      <c r="W1337" s="1974"/>
      <c r="X1337" s="1974"/>
      <c r="Y1337" s="1974"/>
      <c r="Z1337" s="1974"/>
      <c r="AA1337" s="1974"/>
      <c r="AB1337" s="1974"/>
      <c r="AC1337" s="1974"/>
      <c r="AD1337" s="1974"/>
      <c r="AE1337" s="1974"/>
      <c r="AF1337" s="1974"/>
    </row>
    <row r="1338" spans="1:32" ht="14">
      <c r="A1338" s="2403"/>
      <c r="B1338" s="2881" t="s">
        <v>1839</v>
      </c>
      <c r="C1338" s="2936" t="s">
        <v>3689</v>
      </c>
      <c r="D1338" s="1974"/>
      <c r="E1338" s="1974"/>
      <c r="F1338" s="1974"/>
      <c r="G1338" s="1974"/>
      <c r="H1338" s="1974" t="s">
        <v>3690</v>
      </c>
      <c r="I1338" s="1974"/>
      <c r="J1338" s="1974"/>
      <c r="K1338" s="2937">
        <f>'Part V-Revenues &amp; Expenses'!$B$59</f>
        <v>57.129629629629626</v>
      </c>
      <c r="L1338" s="2878" t="str">
        <f t="shared" ref="L1338:L1339" si="450">IF(OR($O1338=$M1338,$O1338=0,$O1338=""),"","* * Check Score! * *")</f>
        <v/>
      </c>
      <c r="M1338" s="1987">
        <v>2</v>
      </c>
      <c r="N1338" s="2882"/>
      <c r="O1338" s="2403">
        <f>'Part VIII Scoring Criteria'!O144</f>
        <v>0</v>
      </c>
      <c r="P1338" s="2000"/>
      <c r="Q1338" s="2877" t="str">
        <f>IF(OR($O1338=$M1338,$O1338=0,$O1338=""),"","*CHECK!*")</f>
        <v/>
      </c>
      <c r="R1338" s="2880"/>
      <c r="S1338" s="1974"/>
      <c r="T1338" s="1974"/>
      <c r="U1338" s="1974"/>
      <c r="V1338" s="1974"/>
      <c r="W1338" s="1974"/>
      <c r="X1338" s="1974"/>
      <c r="Y1338" s="1974"/>
      <c r="Z1338" s="1974"/>
      <c r="AA1338" s="1974"/>
      <c r="AB1338" s="1974"/>
      <c r="AC1338" s="1974"/>
      <c r="AD1338" s="1974"/>
      <c r="AE1338" s="1974"/>
      <c r="AF1338" s="1974"/>
    </row>
    <row r="1339" spans="1:32" ht="14">
      <c r="A1339" s="2403"/>
      <c r="B1339" s="2883" t="s">
        <v>1841</v>
      </c>
      <c r="C1339" s="2936" t="s">
        <v>3691</v>
      </c>
      <c r="D1339" s="1974"/>
      <c r="E1339" s="1974"/>
      <c r="F1339" s="1974"/>
      <c r="G1339" s="1974"/>
      <c r="H1339" s="1974"/>
      <c r="I1339" s="1974"/>
      <c r="J1339" s="1974"/>
      <c r="K1339" s="2001"/>
      <c r="L1339" s="2878" t="str">
        <f t="shared" si="450"/>
        <v/>
      </c>
      <c r="M1339" s="1987">
        <v>2</v>
      </c>
      <c r="N1339" s="2882"/>
      <c r="O1339" s="2403">
        <f>'Part VIII Scoring Criteria'!O145</f>
        <v>0</v>
      </c>
      <c r="P1339" s="2000"/>
      <c r="Q1339" s="2877" t="str">
        <f>IF(OR($O1339=$M1339,$O1339=0,$O1339=""),"","*CHECK!*")</f>
        <v/>
      </c>
      <c r="R1339" s="2880"/>
      <c r="S1339" s="1974"/>
      <c r="T1339" s="1974"/>
      <c r="U1339" s="1974"/>
      <c r="V1339" s="1974"/>
      <c r="W1339" s="1974"/>
      <c r="X1339" s="1974"/>
      <c r="Y1339" s="1974"/>
      <c r="Z1339" s="1974"/>
      <c r="AA1339" s="1974"/>
      <c r="AB1339" s="1974"/>
      <c r="AC1339" s="1974"/>
      <c r="AD1339" s="1974"/>
      <c r="AE1339" s="1974"/>
      <c r="AF1339" s="1974"/>
    </row>
    <row r="1340" spans="1:32" ht="14">
      <c r="A1340" s="2403"/>
      <c r="B1340" s="2938"/>
      <c r="C1340" s="2939"/>
      <c r="D1340" s="2007"/>
      <c r="E1340" s="2001"/>
      <c r="F1340" s="2001"/>
      <c r="G1340" s="2001"/>
      <c r="H1340" s="2001"/>
      <c r="I1340" s="2001"/>
      <c r="J1340" s="2001"/>
      <c r="K1340" s="2940"/>
      <c r="L1340" s="2940"/>
      <c r="M1340" s="1987"/>
      <c r="N1340" s="2913"/>
      <c r="O1340" s="2870"/>
      <c r="P1340" s="2870"/>
      <c r="Q1340" s="2001"/>
      <c r="R1340" s="2001"/>
      <c r="S1340" s="2001"/>
      <c r="T1340" s="2001"/>
      <c r="U1340" s="2001"/>
      <c r="V1340" s="2001"/>
      <c r="W1340" s="2001"/>
      <c r="X1340" s="2001"/>
      <c r="Y1340" s="2001"/>
      <c r="Z1340" s="2001"/>
      <c r="AA1340" s="2001"/>
      <c r="AB1340" s="2001"/>
      <c r="AC1340" s="2001"/>
      <c r="AD1340" s="2001"/>
      <c r="AE1340" s="2001"/>
      <c r="AF1340" s="2001"/>
    </row>
    <row r="1341" spans="1:32" ht="14">
      <c r="A1341" s="2403" t="s">
        <v>1838</v>
      </c>
      <c r="B1341" s="2880" t="s">
        <v>4698</v>
      </c>
      <c r="C1341" s="2001"/>
      <c r="D1341" s="2001"/>
      <c r="E1341" s="2001"/>
      <c r="F1341" s="2001"/>
      <c r="G1341" s="2001"/>
      <c r="H1341" s="2002" t="s">
        <v>4679</v>
      </c>
      <c r="I1341" s="1974"/>
      <c r="J1341" s="2001"/>
      <c r="K1341" s="2940">
        <f>IF(OR('Part V-Revenues &amp; Expenses'!$P$74="", 'Part V-Revenues &amp; Expenses'!$P$74=0),0,'Part V-Revenues &amp; Expenses'!$P$109/'Part V-Revenues &amp; Expenses'!$P$74)</f>
        <v>0</v>
      </c>
      <c r="L1341" s="2001"/>
      <c r="M1341" s="2403">
        <v>3</v>
      </c>
      <c r="N1341" s="2887"/>
      <c r="O1341" s="2403">
        <f>'Part VIII Scoring Criteria'!O147</f>
        <v>0</v>
      </c>
      <c r="P1341" s="2000"/>
      <c r="Q1341" s="2001"/>
      <c r="R1341" s="2001"/>
      <c r="S1341" s="2001"/>
      <c r="T1341" s="2001"/>
      <c r="U1341" s="2001"/>
      <c r="V1341" s="2001"/>
      <c r="W1341" s="2001"/>
      <c r="X1341" s="2001"/>
      <c r="Y1341" s="2001"/>
      <c r="Z1341" s="2001"/>
      <c r="AA1341" s="2001"/>
      <c r="AB1341" s="2001"/>
      <c r="AC1341" s="2001"/>
      <c r="AD1341" s="2001"/>
      <c r="AE1341" s="2001"/>
      <c r="AF1341" s="2001"/>
    </row>
    <row r="1342" spans="1:32" ht="14.5">
      <c r="A1342" s="1974"/>
      <c r="B1342" s="2872" t="s">
        <v>1725</v>
      </c>
      <c r="C1342" s="2001"/>
      <c r="D1342" s="2890"/>
      <c r="E1342" s="2008"/>
      <c r="F1342" s="2008"/>
      <c r="G1342" s="2008"/>
      <c r="H1342" s="2008"/>
      <c r="I1342" s="2008"/>
      <c r="J1342" s="2008"/>
      <c r="K1342" s="2008"/>
      <c r="L1342" s="2008"/>
      <c r="M1342" s="2008"/>
      <c r="N1342" s="2006"/>
      <c r="O1342" s="2885"/>
      <c r="P1342" s="2403"/>
      <c r="Q1342" s="2001"/>
      <c r="R1342" s="2001"/>
      <c r="S1342" s="2001"/>
      <c r="T1342" s="2001"/>
      <c r="U1342" s="2001"/>
      <c r="V1342" s="2001"/>
      <c r="W1342" s="2001"/>
      <c r="X1342" s="2001"/>
      <c r="Y1342" s="2001"/>
      <c r="Z1342" s="2001"/>
      <c r="AA1342" s="2001"/>
      <c r="AB1342" s="2001"/>
      <c r="AC1342" s="2001"/>
      <c r="AD1342" s="2001"/>
      <c r="AE1342" s="2001"/>
      <c r="AF1342" s="2001"/>
    </row>
    <row r="1343" spans="1:32" ht="14">
      <c r="A1343" s="2007"/>
      <c r="B1343" s="2007"/>
      <c r="C1343" s="2007"/>
      <c r="D1343" s="2007"/>
      <c r="E1343" s="2007"/>
      <c r="F1343" s="2007"/>
      <c r="G1343" s="2007"/>
      <c r="H1343" s="2007"/>
      <c r="I1343" s="2007"/>
      <c r="J1343" s="2007"/>
      <c r="K1343" s="2007"/>
      <c r="L1343" s="2007"/>
      <c r="M1343" s="2007"/>
      <c r="N1343" s="2007"/>
      <c r="O1343" s="2007"/>
      <c r="P1343" s="2007"/>
      <c r="Q1343" s="1973"/>
      <c r="R1343" s="2001"/>
      <c r="S1343" s="2001"/>
      <c r="T1343" s="2001"/>
      <c r="U1343" s="2001"/>
      <c r="V1343" s="2001"/>
      <c r="W1343" s="2001"/>
      <c r="X1343" s="2001"/>
      <c r="Y1343" s="2001"/>
      <c r="Z1343" s="2001"/>
      <c r="AA1343" s="2001"/>
      <c r="AB1343" s="2001"/>
      <c r="AC1343" s="2001"/>
      <c r="AD1343" s="2001"/>
      <c r="AE1343" s="2001"/>
      <c r="AF1343" s="2001"/>
    </row>
    <row r="1344" spans="1:32" ht="14">
      <c r="A1344" s="1974"/>
      <c r="B1344" s="1973"/>
      <c r="C1344" s="1974"/>
      <c r="D1344" s="1973"/>
      <c r="E1344" s="1974"/>
      <c r="F1344" s="1974"/>
      <c r="G1344" s="2874"/>
      <c r="H1344" s="2874"/>
      <c r="I1344" s="2874"/>
      <c r="J1344" s="2874"/>
      <c r="K1344" s="2874"/>
      <c r="L1344" s="2874"/>
      <c r="M1344" s="1974"/>
      <c r="N1344" s="2001"/>
      <c r="O1344" s="2891"/>
      <c r="P1344" s="1973"/>
      <c r="Q1344" s="2001"/>
      <c r="R1344" s="1974"/>
      <c r="S1344" s="1974"/>
      <c r="T1344" s="1974"/>
      <c r="U1344" s="1974"/>
      <c r="V1344" s="1974"/>
      <c r="W1344" s="1974"/>
      <c r="X1344" s="2408"/>
      <c r="Y1344" s="2408"/>
      <c r="Z1344" s="2408"/>
      <c r="AA1344" s="2408"/>
      <c r="AB1344" s="2408"/>
      <c r="AC1344" s="2408"/>
      <c r="AD1344" s="2408"/>
      <c r="AE1344" s="2408"/>
      <c r="AF1344" s="2408"/>
    </row>
    <row r="1345" spans="1:32" ht="14">
      <c r="A1345" s="2001"/>
      <c r="B1345" s="2001"/>
      <c r="C1345" s="2001"/>
      <c r="D1345" s="2001"/>
      <c r="E1345" s="2001"/>
      <c r="F1345" s="2001"/>
      <c r="G1345" s="2001"/>
      <c r="H1345" s="2001"/>
      <c r="I1345" s="2001"/>
      <c r="J1345" s="2001"/>
      <c r="K1345" s="2001"/>
      <c r="L1345" s="2001"/>
      <c r="M1345" s="2001"/>
      <c r="N1345" s="1992"/>
      <c r="O1345" s="2003"/>
      <c r="P1345" s="2003"/>
      <c r="Q1345" s="2001"/>
      <c r="R1345" s="2001"/>
      <c r="S1345" s="2001"/>
      <c r="T1345" s="2399"/>
      <c r="U1345" s="2399"/>
      <c r="V1345" s="2001"/>
      <c r="W1345" s="2001"/>
      <c r="X1345" s="2001"/>
      <c r="Y1345" s="2001"/>
      <c r="Z1345" s="2001"/>
      <c r="AA1345" s="2001"/>
      <c r="AB1345" s="2001"/>
      <c r="AC1345" s="2001"/>
      <c r="AD1345" s="2001"/>
      <c r="AE1345" s="2001"/>
      <c r="AF1345" s="2001"/>
    </row>
    <row r="1346" spans="1:32" ht="14.5">
      <c r="A1346" s="2916" t="s">
        <v>342</v>
      </c>
      <c r="B1346" s="2399" t="s">
        <v>4819</v>
      </c>
      <c r="C1346" s="1974"/>
      <c r="D1346" s="2399"/>
      <c r="E1346" s="2399"/>
      <c r="F1346" s="1974"/>
      <c r="G1346" s="1974"/>
      <c r="H1346" s="1974"/>
      <c r="I1346" s="1974"/>
      <c r="J1346" s="1974"/>
      <c r="K1346" s="1974"/>
      <c r="L1346" s="2941"/>
      <c r="M1346" s="2403">
        <v>2</v>
      </c>
      <c r="N1346" s="1987"/>
      <c r="O1346" s="2000">
        <f>'Part VIII Scoring Criteria'!O152</f>
        <v>2</v>
      </c>
      <c r="P1346" s="2000">
        <f>'Part VIII Scoring Criteria'!P152</f>
        <v>0</v>
      </c>
      <c r="Q1346" s="2403" t="s">
        <v>415</v>
      </c>
      <c r="R1346" s="2403"/>
      <c r="S1346" s="1974"/>
      <c r="T1346" s="1974"/>
      <c r="U1346" s="1974"/>
      <c r="V1346" s="1974"/>
      <c r="W1346" s="1974"/>
      <c r="X1346" s="1974"/>
      <c r="Y1346" s="1974"/>
      <c r="Z1346" s="1974"/>
      <c r="AA1346" s="1974"/>
      <c r="AB1346" s="1974"/>
      <c r="AC1346" s="1974"/>
      <c r="AD1346" s="1974"/>
      <c r="AE1346" s="1974"/>
      <c r="AF1346" s="1974"/>
    </row>
    <row r="1347" spans="1:32" ht="14">
      <c r="A1347" s="2001"/>
      <c r="B1347" s="2942" t="s">
        <v>4939</v>
      </c>
      <c r="C1347" s="1974"/>
      <c r="D1347" s="1974"/>
      <c r="E1347" s="1974"/>
      <c r="F1347" s="1974"/>
      <c r="G1347" s="1974"/>
      <c r="H1347" s="1974"/>
      <c r="I1347" s="1974"/>
      <c r="J1347" s="1974"/>
      <c r="K1347" s="1974"/>
      <c r="L1347" s="2001"/>
      <c r="M1347" s="1987"/>
      <c r="N1347" s="1992"/>
      <c r="O1347" s="2403" t="str">
        <f>'Part VIII Scoring Criteria'!O153</f>
        <v>Yes</v>
      </c>
      <c r="P1347" s="2403"/>
      <c r="Q1347" s="2001"/>
      <c r="R1347" s="2001"/>
      <c r="S1347" s="2001"/>
      <c r="T1347" s="2001"/>
      <c r="U1347" s="2001"/>
      <c r="V1347" s="2001"/>
      <c r="W1347" s="2001"/>
      <c r="X1347" s="2001"/>
      <c r="Y1347" s="2001"/>
      <c r="Z1347" s="2001"/>
      <c r="AA1347" s="2001"/>
      <c r="AB1347" s="2001"/>
      <c r="AC1347" s="2001"/>
      <c r="AD1347" s="2001"/>
      <c r="AE1347" s="2001"/>
      <c r="AF1347" s="2001"/>
    </row>
    <row r="1348" spans="1:32" ht="14.5">
      <c r="A1348" s="1974"/>
      <c r="B1348" s="2872" t="s">
        <v>5176</v>
      </c>
      <c r="C1348" s="1974"/>
      <c r="D1348" s="1974"/>
      <c r="E1348" s="1974"/>
      <c r="F1348" s="1974"/>
      <c r="G1348" s="1974"/>
      <c r="H1348" s="1974"/>
      <c r="I1348" s="1974"/>
      <c r="J1348" s="1974"/>
      <c r="K1348" s="1974"/>
      <c r="L1348" s="2001"/>
      <c r="M1348" s="1987"/>
      <c r="N1348" s="1992"/>
      <c r="O1348" s="2000"/>
      <c r="P1348" s="2003"/>
      <c r="Q1348" s="2001"/>
      <c r="R1348" s="2001"/>
      <c r="S1348" s="2001"/>
      <c r="T1348" s="2001"/>
      <c r="U1348" s="2001"/>
      <c r="V1348" s="2001"/>
      <c r="W1348" s="2001"/>
      <c r="X1348" s="2001"/>
      <c r="Y1348" s="2001"/>
      <c r="Z1348" s="2001"/>
      <c r="AA1348" s="2001"/>
      <c r="AB1348" s="2001"/>
      <c r="AC1348" s="2001"/>
      <c r="AD1348" s="2001"/>
      <c r="AE1348" s="2001"/>
      <c r="AF1348" s="2001"/>
    </row>
    <row r="1349" spans="1:32" ht="14">
      <c r="A1349" s="2008" t="str">
        <f>'Part VIII Scoring Criteria'!A155</f>
        <v xml:space="preserve">Princeton Court is currently registered as a participating landlord with the local HCV administrator, College Park Housing Authoirty. Evidence of this will be submitted at Final Allocation, per 2024-2025 QAP requirements. </v>
      </c>
      <c r="B1349" s="2007"/>
      <c r="C1349" s="2007"/>
      <c r="D1349" s="2007"/>
      <c r="E1349" s="2007"/>
      <c r="F1349" s="2007"/>
      <c r="G1349" s="2007"/>
      <c r="H1349" s="2007"/>
      <c r="I1349" s="2007"/>
      <c r="J1349" s="2007"/>
      <c r="K1349" s="2007"/>
      <c r="L1349" s="2007"/>
      <c r="M1349" s="2007"/>
      <c r="N1349" s="2007"/>
      <c r="O1349" s="2007"/>
      <c r="P1349" s="2007"/>
      <c r="Q1349" s="1973"/>
      <c r="R1349" s="1973"/>
      <c r="S1349" s="2001"/>
      <c r="T1349" s="2001"/>
      <c r="U1349" s="2001"/>
      <c r="V1349" s="2001"/>
      <c r="W1349" s="2001"/>
      <c r="X1349" s="2001"/>
      <c r="Y1349" s="2001"/>
      <c r="Z1349" s="2001"/>
      <c r="AA1349" s="2001"/>
      <c r="AB1349" s="2001"/>
      <c r="AC1349" s="2001"/>
      <c r="AD1349" s="2001"/>
      <c r="AE1349" s="2001"/>
      <c r="AF1349" s="2001"/>
    </row>
    <row r="1350" spans="1:32" ht="14.5">
      <c r="A1350" s="2872"/>
      <c r="B1350" s="2872" t="s">
        <v>1725</v>
      </c>
      <c r="C1350" s="1974"/>
      <c r="D1350" s="2872"/>
      <c r="E1350" s="1974"/>
      <c r="F1350" s="1974"/>
      <c r="G1350" s="1974"/>
      <c r="H1350" s="1974"/>
      <c r="I1350" s="1974"/>
      <c r="J1350" s="1974"/>
      <c r="K1350" s="1974"/>
      <c r="L1350" s="1974"/>
      <c r="M1350" s="1974"/>
      <c r="N1350" s="1974"/>
      <c r="O1350" s="1973"/>
      <c r="P1350" s="1973"/>
      <c r="Q1350" s="1974"/>
      <c r="R1350" s="1974"/>
      <c r="S1350" s="1974"/>
      <c r="T1350" s="1974"/>
      <c r="U1350" s="1974"/>
      <c r="V1350" s="1974"/>
      <c r="W1350" s="1974"/>
      <c r="X1350" s="1974"/>
      <c r="Y1350" s="1974"/>
      <c r="Z1350" s="1974"/>
      <c r="AA1350" s="1974"/>
      <c r="AB1350" s="1974"/>
      <c r="AC1350" s="1974"/>
      <c r="AD1350" s="1974"/>
      <c r="AE1350" s="1974"/>
      <c r="AF1350" s="1974"/>
    </row>
    <row r="1351" spans="1:32" ht="14">
      <c r="A1351" s="2007"/>
      <c r="B1351" s="2007"/>
      <c r="C1351" s="2007"/>
      <c r="D1351" s="2007"/>
      <c r="E1351" s="2007"/>
      <c r="F1351" s="2007"/>
      <c r="G1351" s="2007"/>
      <c r="H1351" s="2007"/>
      <c r="I1351" s="2007"/>
      <c r="J1351" s="2007"/>
      <c r="K1351" s="2007"/>
      <c r="L1351" s="2007"/>
      <c r="M1351" s="2007"/>
      <c r="N1351" s="2007"/>
      <c r="O1351" s="2007"/>
      <c r="P1351" s="2007"/>
      <c r="Q1351" s="1973"/>
      <c r="R1351" s="1973"/>
      <c r="S1351" s="2001"/>
      <c r="T1351" s="2001"/>
      <c r="U1351" s="2001"/>
      <c r="V1351" s="2001"/>
      <c r="W1351" s="2001"/>
      <c r="X1351" s="2001"/>
      <c r="Y1351" s="2001"/>
      <c r="Z1351" s="2001"/>
      <c r="AA1351" s="2001"/>
      <c r="AB1351" s="2001"/>
      <c r="AC1351" s="2001"/>
      <c r="AD1351" s="2001"/>
      <c r="AE1351" s="2001"/>
      <c r="AF1351" s="2001"/>
    </row>
    <row r="1352" spans="1:32" ht="14">
      <c r="A1352" s="2398"/>
      <c r="B1352" s="1974"/>
      <c r="C1352" s="2007"/>
      <c r="D1352" s="2007"/>
      <c r="E1352" s="2007"/>
      <c r="F1352" s="2007"/>
      <c r="G1352" s="2007"/>
      <c r="H1352" s="2007"/>
      <c r="I1352" s="2007"/>
      <c r="J1352" s="2007"/>
      <c r="K1352" s="2007"/>
      <c r="L1352" s="2007"/>
      <c r="M1352" s="2007"/>
      <c r="N1352" s="2007"/>
      <c r="O1352" s="2866"/>
      <c r="P1352" s="1973"/>
      <c r="Q1352" s="2001"/>
      <c r="R1352" s="2001"/>
      <c r="S1352" s="2001"/>
      <c r="T1352" s="2001"/>
      <c r="U1352" s="2001"/>
      <c r="V1352" s="2001"/>
      <c r="W1352" s="2001"/>
      <c r="X1352" s="2001"/>
      <c r="Y1352" s="2001"/>
      <c r="Z1352" s="2001"/>
      <c r="AA1352" s="2001"/>
      <c r="AB1352" s="2001"/>
      <c r="AC1352" s="2001"/>
      <c r="AD1352" s="2001"/>
      <c r="AE1352" s="2001"/>
      <c r="AF1352" s="2001"/>
    </row>
    <row r="1353" spans="1:32" ht="14">
      <c r="A1353" s="2001"/>
      <c r="B1353" s="2001"/>
      <c r="C1353" s="2001"/>
      <c r="D1353" s="2001"/>
      <c r="E1353" s="2001"/>
      <c r="F1353" s="2001"/>
      <c r="G1353" s="2001"/>
      <c r="H1353" s="2001"/>
      <c r="I1353" s="2001"/>
      <c r="J1353" s="2001"/>
      <c r="K1353" s="2001"/>
      <c r="L1353" s="2001"/>
      <c r="M1353" s="2001"/>
      <c r="N1353" s="1992"/>
      <c r="O1353" s="2003"/>
      <c r="P1353" s="2003"/>
      <c r="Q1353" s="2001"/>
      <c r="R1353" s="2001"/>
      <c r="S1353" s="2001"/>
      <c r="T1353" s="2001"/>
      <c r="U1353" s="2001"/>
      <c r="V1353" s="2001"/>
      <c r="W1353" s="2001"/>
      <c r="X1353" s="2001"/>
      <c r="Y1353" s="2001"/>
      <c r="Z1353" s="2001"/>
      <c r="AA1353" s="2001"/>
      <c r="AB1353" s="2001"/>
      <c r="AC1353" s="2001"/>
      <c r="AD1353" s="2001"/>
      <c r="AE1353" s="2001"/>
      <c r="AF1353" s="2001"/>
    </row>
    <row r="1354" spans="1:32" ht="14">
      <c r="A1354" s="2398" t="s">
        <v>343</v>
      </c>
      <c r="B1354" s="2399" t="s">
        <v>3280</v>
      </c>
      <c r="C1354" s="2001"/>
      <c r="D1354" s="2001"/>
      <c r="E1354" s="2001"/>
      <c r="F1354" s="2001"/>
      <c r="G1354" s="2001"/>
      <c r="H1354" s="2001"/>
      <c r="I1354" s="2001"/>
      <c r="J1354" s="2001"/>
      <c r="K1354" s="2001"/>
      <c r="L1354" s="2876" t="s">
        <v>4866</v>
      </c>
      <c r="M1354" s="2403">
        <v>20</v>
      </c>
      <c r="N1354" s="2401"/>
      <c r="O1354" s="2871">
        <f>'Part VIII Scoring Criteria'!O160</f>
        <v>0</v>
      </c>
      <c r="P1354" s="2871">
        <f>'Part VIII Scoring Criteria'!P160</f>
        <v>0</v>
      </c>
      <c r="Q1354" s="2403" t="s">
        <v>415</v>
      </c>
      <c r="R1354" s="2403">
        <f>$C$16</f>
        <v>0</v>
      </c>
      <c r="S1354" s="2001"/>
      <c r="T1354" s="2001"/>
      <c r="U1354" s="2001"/>
      <c r="V1354" s="2001"/>
      <c r="W1354" s="2001"/>
      <c r="X1354" s="2001"/>
      <c r="Y1354" s="2001"/>
      <c r="Z1354" s="2001"/>
      <c r="AA1354" s="2001"/>
      <c r="AB1354" s="2001"/>
      <c r="AC1354" s="2001"/>
      <c r="AD1354" s="2001"/>
      <c r="AE1354" s="2001"/>
      <c r="AF1354" s="2001"/>
    </row>
    <row r="1355" spans="1:32" ht="14">
      <c r="A1355" s="2403" t="s">
        <v>1836</v>
      </c>
      <c r="B1355" s="1973" t="s">
        <v>1732</v>
      </c>
      <c r="C1355" s="1973"/>
      <c r="D1355" s="1973"/>
      <c r="E1355" s="1974"/>
      <c r="F1355" s="1973"/>
      <c r="G1355" s="1974"/>
      <c r="H1355" s="2401"/>
      <c r="I1355" s="1973"/>
      <c r="J1355" s="1973"/>
      <c r="K1355" s="1973"/>
      <c r="L1355" s="2878" t="str">
        <f>IF(OR($O1355=$M1355,$O1355&lt;$M1355,$O1355=0,$O1355=""),"","* * Check Score! * *")</f>
        <v/>
      </c>
      <c r="M1355" s="1987">
        <v>20</v>
      </c>
      <c r="N1355" s="2882"/>
      <c r="O1355" s="2943">
        <f>'Part VIII Scoring Criteria'!O161</f>
        <v>20</v>
      </c>
      <c r="P1355" s="2943"/>
      <c r="Q1355" s="2877"/>
      <c r="R1355" s="2880"/>
      <c r="S1355" s="1974"/>
      <c r="T1355" s="1974"/>
      <c r="U1355" s="1974"/>
      <c r="V1355" s="1974"/>
      <c r="W1355" s="1974"/>
      <c r="X1355" s="1974"/>
      <c r="Y1355" s="1974"/>
      <c r="Z1355" s="1974"/>
      <c r="AA1355" s="1974"/>
      <c r="AB1355" s="1974"/>
      <c r="AC1355" s="1974"/>
      <c r="AD1355" s="1974"/>
      <c r="AE1355" s="1974"/>
      <c r="AF1355" s="1974"/>
    </row>
    <row r="1356" spans="1:32" ht="14">
      <c r="A1356" s="2403" t="s">
        <v>1838</v>
      </c>
      <c r="B1356" s="1973" t="s">
        <v>3196</v>
      </c>
      <c r="C1356" s="1974"/>
      <c r="D1356" s="1974"/>
      <c r="E1356" s="1974"/>
      <c r="F1356" s="1974"/>
      <c r="G1356" s="1974"/>
      <c r="H1356" s="2401"/>
      <c r="I1356" s="1973"/>
      <c r="J1356" s="1973"/>
      <c r="K1356" s="2917"/>
      <c r="L1356" s="1973"/>
      <c r="M1356" s="1987" t="s">
        <v>1163</v>
      </c>
      <c r="N1356" s="2401"/>
      <c r="O1356" s="2943">
        <f>'Part VIII Scoring Criteria'!O162</f>
        <v>0</v>
      </c>
      <c r="P1356" s="2943"/>
      <c r="Q1356" s="1974"/>
      <c r="R1356" s="2880"/>
      <c r="S1356" s="1974"/>
      <c r="T1356" s="1974"/>
      <c r="U1356" s="1974"/>
      <c r="V1356" s="1974"/>
      <c r="W1356" s="1974"/>
      <c r="X1356" s="1974"/>
      <c r="Y1356" s="1974"/>
      <c r="Z1356" s="1974"/>
      <c r="AA1356" s="1974"/>
      <c r="AB1356" s="1974"/>
      <c r="AC1356" s="1974"/>
      <c r="AD1356" s="1974"/>
      <c r="AE1356" s="1974"/>
      <c r="AF1356" s="1974"/>
    </row>
    <row r="1357" spans="1:32" ht="14.5">
      <c r="A1357" s="1974"/>
      <c r="B1357" s="2872" t="s">
        <v>5176</v>
      </c>
      <c r="C1357" s="1974"/>
      <c r="D1357" s="1974"/>
      <c r="E1357" s="1974"/>
      <c r="F1357" s="1974"/>
      <c r="G1357" s="1974"/>
      <c r="H1357" s="1974"/>
      <c r="I1357" s="1974"/>
      <c r="J1357" s="1974"/>
      <c r="K1357" s="1974"/>
      <c r="L1357" s="2001"/>
      <c r="M1357" s="1987"/>
      <c r="N1357" s="1992"/>
      <c r="O1357" s="2000"/>
      <c r="P1357" s="2003"/>
      <c r="Q1357" s="2001"/>
      <c r="R1357" s="2001"/>
      <c r="S1357" s="2001"/>
      <c r="T1357" s="2001"/>
      <c r="U1357" s="2001"/>
      <c r="V1357" s="2001"/>
      <c r="W1357" s="2001"/>
      <c r="X1357" s="2001"/>
      <c r="Y1357" s="2001"/>
      <c r="Z1357" s="2001"/>
      <c r="AA1357" s="2001"/>
      <c r="AB1357" s="2001"/>
      <c r="AC1357" s="2001"/>
      <c r="AD1357" s="2001"/>
      <c r="AE1357" s="2001"/>
      <c r="AF1357" s="2001"/>
    </row>
    <row r="1358" spans="1:32" ht="14">
      <c r="A1358" s="2008" t="str">
        <f>'Part VIII Scoring Criteria'!A164</f>
        <v xml:space="preserve">Princeton Court is in proximity to various community amenities, scoring 24.5 points, see the Desirable/Undesirable Certification found in Folder 08 Readiness. </v>
      </c>
      <c r="B1358" s="2007"/>
      <c r="C1358" s="2007"/>
      <c r="D1358" s="2007"/>
      <c r="E1358" s="2007"/>
      <c r="F1358" s="2007"/>
      <c r="G1358" s="2007"/>
      <c r="H1358" s="2007"/>
      <c r="I1358" s="2007"/>
      <c r="J1358" s="2007"/>
      <c r="K1358" s="2007"/>
      <c r="L1358" s="2007"/>
      <c r="M1358" s="2007"/>
      <c r="N1358" s="2007"/>
      <c r="O1358" s="2007"/>
      <c r="P1358" s="2007"/>
      <c r="Q1358" s="1973"/>
      <c r="R1358" s="1973"/>
      <c r="S1358" s="2001"/>
      <c r="T1358" s="2001"/>
      <c r="U1358" s="2001"/>
      <c r="V1358" s="2001"/>
      <c r="W1358" s="2001"/>
      <c r="X1358" s="2001"/>
      <c r="Y1358" s="2001"/>
      <c r="Z1358" s="2001"/>
      <c r="AA1358" s="2001"/>
      <c r="AB1358" s="2001"/>
      <c r="AC1358" s="2001"/>
      <c r="AD1358" s="2001"/>
      <c r="AE1358" s="2001"/>
      <c r="AF1358" s="2001"/>
    </row>
    <row r="1359" spans="1:32" ht="14.5">
      <c r="A1359" s="1974"/>
      <c r="B1359" s="2872" t="s">
        <v>1725</v>
      </c>
      <c r="C1359" s="1974"/>
      <c r="D1359" s="2890"/>
      <c r="E1359" s="2007"/>
      <c r="F1359" s="2007"/>
      <c r="G1359" s="2007"/>
      <c r="H1359" s="2007"/>
      <c r="I1359" s="2007"/>
      <c r="J1359" s="2007"/>
      <c r="K1359" s="2007"/>
      <c r="L1359" s="2007"/>
      <c r="M1359" s="2007"/>
      <c r="N1359" s="2007"/>
      <c r="O1359" s="2866"/>
      <c r="P1359" s="1973"/>
      <c r="Q1359" s="2001"/>
      <c r="R1359" s="2001"/>
      <c r="S1359" s="2001"/>
      <c r="T1359" s="2001"/>
      <c r="U1359" s="2001"/>
      <c r="V1359" s="2001"/>
      <c r="W1359" s="2001"/>
      <c r="X1359" s="2001"/>
      <c r="Y1359" s="2001"/>
      <c r="Z1359" s="2001"/>
      <c r="AA1359" s="2001"/>
      <c r="AB1359" s="2001"/>
      <c r="AC1359" s="2001"/>
      <c r="AD1359" s="2001"/>
      <c r="AE1359" s="2001"/>
      <c r="AF1359" s="2001"/>
    </row>
    <row r="1360" spans="1:32" ht="14">
      <c r="A1360" s="2007"/>
      <c r="B1360" s="2007"/>
      <c r="C1360" s="2007"/>
      <c r="D1360" s="2007"/>
      <c r="E1360" s="2007"/>
      <c r="F1360" s="2007"/>
      <c r="G1360" s="2007"/>
      <c r="H1360" s="2007"/>
      <c r="I1360" s="2007"/>
      <c r="J1360" s="2007"/>
      <c r="K1360" s="2007"/>
      <c r="L1360" s="2007"/>
      <c r="M1360" s="2007"/>
      <c r="N1360" s="2007"/>
      <c r="O1360" s="2007"/>
      <c r="P1360" s="2007"/>
      <c r="Q1360" s="1973"/>
      <c r="R1360" s="1973"/>
      <c r="S1360" s="2001"/>
      <c r="T1360" s="2001"/>
      <c r="U1360" s="2001"/>
      <c r="V1360" s="2001"/>
      <c r="W1360" s="2001"/>
      <c r="X1360" s="2001"/>
      <c r="Y1360" s="2001"/>
      <c r="Z1360" s="2001"/>
      <c r="AA1360" s="2001"/>
      <c r="AB1360" s="2001"/>
      <c r="AC1360" s="2001"/>
      <c r="AD1360" s="2001"/>
      <c r="AE1360" s="2001"/>
      <c r="AF1360" s="2001"/>
    </row>
    <row r="1361" spans="1:32" ht="14">
      <c r="A1361" s="1974"/>
      <c r="B1361" s="1973"/>
      <c r="C1361" s="1974"/>
      <c r="D1361" s="1973"/>
      <c r="E1361" s="1974"/>
      <c r="F1361" s="1974"/>
      <c r="G1361" s="2874"/>
      <c r="H1361" s="2874"/>
      <c r="I1361" s="2874"/>
      <c r="J1361" s="2874"/>
      <c r="K1361" s="2874"/>
      <c r="L1361" s="2874"/>
      <c r="M1361" s="1974"/>
      <c r="N1361" s="2001"/>
      <c r="O1361" s="2891"/>
      <c r="P1361" s="1973"/>
      <c r="Q1361" s="2001"/>
      <c r="R1361" s="1974"/>
      <c r="S1361" s="1974"/>
      <c r="T1361" s="1974"/>
      <c r="U1361" s="1974"/>
      <c r="V1361" s="1974"/>
      <c r="W1361" s="1974"/>
      <c r="X1361" s="2408"/>
      <c r="Y1361" s="2408"/>
      <c r="Z1361" s="2408"/>
      <c r="AA1361" s="2408"/>
      <c r="AB1361" s="2408"/>
      <c r="AC1361" s="2408"/>
      <c r="AD1361" s="2408"/>
      <c r="AE1361" s="2408"/>
      <c r="AF1361" s="2408"/>
    </row>
    <row r="1362" spans="1:32" ht="14">
      <c r="A1362" s="2001"/>
      <c r="B1362" s="2001"/>
      <c r="C1362" s="2001"/>
      <c r="D1362" s="2001"/>
      <c r="E1362" s="2001"/>
      <c r="F1362" s="2001"/>
      <c r="G1362" s="2001"/>
      <c r="H1362" s="2001"/>
      <c r="I1362" s="2001"/>
      <c r="J1362" s="2001"/>
      <c r="K1362" s="2001"/>
      <c r="L1362" s="2001"/>
      <c r="M1362" s="2001"/>
      <c r="N1362" s="1992"/>
      <c r="O1362" s="2003"/>
      <c r="P1362" s="2003"/>
      <c r="Q1362" s="2001"/>
      <c r="R1362" s="2001"/>
      <c r="S1362" s="2001"/>
      <c r="T1362" s="2399"/>
      <c r="U1362" s="2399"/>
      <c r="V1362" s="2001"/>
      <c r="W1362" s="2001"/>
      <c r="X1362" s="2001"/>
      <c r="Y1362" s="2001"/>
      <c r="Z1362" s="2001"/>
      <c r="AA1362" s="2001"/>
      <c r="AB1362" s="2001"/>
      <c r="AC1362" s="2001"/>
      <c r="AD1362" s="2001"/>
      <c r="AE1362" s="2001"/>
      <c r="AF1362" s="2001"/>
    </row>
    <row r="1363" spans="1:32" ht="14.5">
      <c r="A1363" s="2398" t="s">
        <v>344</v>
      </c>
      <c r="B1363" s="2399" t="s">
        <v>2407</v>
      </c>
      <c r="C1363" s="2001"/>
      <c r="D1363" s="2001"/>
      <c r="E1363" s="2001"/>
      <c r="F1363" s="2001"/>
      <c r="G1363" s="2001"/>
      <c r="H1363" s="2944"/>
      <c r="I1363" s="2880"/>
      <c r="J1363" s="2403"/>
      <c r="K1363" s="2403"/>
      <c r="L1363" s="2876" t="s">
        <v>4866</v>
      </c>
      <c r="M1363" s="2403">
        <v>6</v>
      </c>
      <c r="N1363" s="2401"/>
      <c r="O1363" s="2871">
        <f>'Part VIII Scoring Criteria'!O169</f>
        <v>0</v>
      </c>
      <c r="P1363" s="2871">
        <f>'Part VIII Scoring Criteria'!P169</f>
        <v>0</v>
      </c>
      <c r="Q1363" s="2403" t="s">
        <v>415</v>
      </c>
      <c r="R1363" s="2403">
        <f>$C$16</f>
        <v>0</v>
      </c>
      <c r="S1363" s="2001"/>
      <c r="T1363" s="2001"/>
      <c r="U1363" s="2001"/>
      <c r="V1363" s="2001"/>
      <c r="W1363" s="2001"/>
      <c r="X1363" s="2001"/>
      <c r="Y1363" s="2001"/>
      <c r="Z1363" s="2001"/>
      <c r="AA1363" s="2001"/>
      <c r="AB1363" s="2001"/>
      <c r="AC1363" s="2001"/>
      <c r="AD1363" s="2001"/>
      <c r="AE1363" s="2001"/>
      <c r="AF1363" s="2001"/>
    </row>
    <row r="1364" spans="1:32" ht="14.5">
      <c r="A1364" s="2398"/>
      <c r="B1364" s="2399"/>
      <c r="C1364" s="2001"/>
      <c r="D1364" s="2001"/>
      <c r="E1364" s="2001"/>
      <c r="F1364" s="2001"/>
      <c r="G1364" s="2001"/>
      <c r="H1364" s="2399"/>
      <c r="I1364" s="2872"/>
      <c r="J1364" s="1974"/>
      <c r="K1364" s="1974"/>
      <c r="L1364" s="2001"/>
      <c r="M1364" s="2403"/>
      <c r="N1364" s="2401"/>
      <c r="O1364" s="2000"/>
      <c r="P1364" s="2000"/>
      <c r="Q1364" s="2403"/>
      <c r="R1364" s="2001"/>
      <c r="S1364" s="2001"/>
      <c r="T1364" s="2001"/>
      <c r="U1364" s="2001"/>
      <c r="V1364" s="2001"/>
      <c r="W1364" s="2001"/>
      <c r="X1364" s="2001"/>
      <c r="Y1364" s="2001"/>
      <c r="Z1364" s="2001"/>
      <c r="AA1364" s="2001"/>
      <c r="AB1364" s="2001"/>
      <c r="AC1364" s="2001"/>
      <c r="AD1364" s="2001"/>
      <c r="AE1364" s="2001"/>
      <c r="AF1364" s="2001"/>
    </row>
    <row r="1365" spans="1:32" ht="14.25" customHeight="1">
      <c r="A1365" s="2398"/>
      <c r="B1365" s="1974" t="s">
        <v>3239</v>
      </c>
      <c r="C1365" s="2001"/>
      <c r="D1365" s="2001"/>
      <c r="E1365" s="2001"/>
      <c r="F1365" s="1974" t="s">
        <v>3132</v>
      </c>
      <c r="G1365" s="1974"/>
      <c r="H1365" s="1974"/>
      <c r="I1365" s="1974"/>
      <c r="J1365" s="1974" t="s">
        <v>3133</v>
      </c>
      <c r="K1365" s="1974"/>
      <c r="L1365" s="1974"/>
      <c r="M1365" s="1974"/>
      <c r="N1365" s="2401"/>
      <c r="O1365" s="2945" t="s">
        <v>4680</v>
      </c>
      <c r="P1365" s="2945"/>
      <c r="Q1365" s="2001"/>
      <c r="R1365" s="2001"/>
      <c r="S1365" s="2001"/>
      <c r="T1365" s="2001"/>
      <c r="U1365" s="2001"/>
      <c r="V1365" s="2001"/>
      <c r="W1365" s="2001"/>
      <c r="X1365" s="2001"/>
      <c r="Y1365" s="2001"/>
      <c r="Z1365" s="2001"/>
      <c r="AA1365" s="2001"/>
      <c r="AB1365" s="2001"/>
      <c r="AC1365" s="2001"/>
      <c r="AD1365" s="2001"/>
      <c r="AE1365" s="2001"/>
      <c r="AF1365" s="2001"/>
    </row>
    <row r="1366" spans="1:32" ht="14">
      <c r="A1366" s="2001"/>
      <c r="B1366" s="2900"/>
      <c r="C1366" s="2004" t="s">
        <v>4681</v>
      </c>
      <c r="D1366" s="2001"/>
      <c r="E1366" s="2001"/>
      <c r="F1366" s="2004">
        <f>'Part VIII Scoring Criteria'!F172</f>
        <v>33.656269999999999</v>
      </c>
      <c r="G1366" s="2004"/>
      <c r="H1366" s="2004"/>
      <c r="I1366" s="2004"/>
      <c r="J1366" s="2004">
        <f>'Part VIII Scoring Criteria'!J172</f>
        <v>-84.438227999999995</v>
      </c>
      <c r="K1366" s="1974"/>
      <c r="L1366" s="1974"/>
      <c r="M1366" s="1974"/>
      <c r="N1366" s="2001"/>
      <c r="O1366" s="2945"/>
      <c r="P1366" s="2945"/>
      <c r="Q1366" s="2001"/>
      <c r="R1366" s="2001"/>
      <c r="S1366" s="2001"/>
      <c r="T1366" s="2001"/>
      <c r="U1366" s="2001"/>
      <c r="V1366" s="2001"/>
      <c r="W1366" s="2001"/>
      <c r="X1366" s="2001"/>
      <c r="Y1366" s="2001"/>
      <c r="Z1366" s="2001"/>
      <c r="AA1366" s="2001"/>
      <c r="AB1366" s="2001"/>
      <c r="AC1366" s="2001"/>
      <c r="AD1366" s="2001"/>
      <c r="AE1366" s="2001"/>
      <c r="AF1366" s="2001"/>
    </row>
    <row r="1367" spans="1:32" ht="14">
      <c r="A1367" s="2900"/>
      <c r="B1367" s="2007"/>
      <c r="C1367" s="2004" t="s">
        <v>4682</v>
      </c>
      <c r="D1367" s="2001"/>
      <c r="E1367" s="2001"/>
      <c r="F1367" s="2004">
        <f>'Part VIII Scoring Criteria'!F173</f>
        <v>33.651684000000003</v>
      </c>
      <c r="G1367" s="2004"/>
      <c r="H1367" s="2004"/>
      <c r="I1367" s="2004"/>
      <c r="J1367" s="2004">
        <f>'Part VIII Scoring Criteria'!J173</f>
        <v>-84.448822000000007</v>
      </c>
      <c r="K1367" s="1974"/>
      <c r="L1367" s="1974"/>
      <c r="M1367" s="1974"/>
      <c r="N1367" s="2401"/>
      <c r="O1367" s="2946">
        <f>'Part VIII Scoring Criteria'!O173</f>
        <v>0.9</v>
      </c>
      <c r="P1367" s="2947"/>
      <c r="Q1367" s="2001"/>
      <c r="R1367" s="2001"/>
      <c r="S1367" s="2001"/>
      <c r="T1367" s="2001"/>
      <c r="U1367" s="2001"/>
      <c r="V1367" s="2001"/>
      <c r="W1367" s="2001"/>
      <c r="X1367" s="2001"/>
      <c r="Y1367" s="2001"/>
      <c r="Z1367" s="2001"/>
      <c r="AA1367" s="2001"/>
      <c r="AB1367" s="2001"/>
      <c r="AC1367" s="2001"/>
      <c r="AD1367" s="2001"/>
      <c r="AE1367" s="2001"/>
      <c r="AF1367" s="2001"/>
    </row>
    <row r="1368" spans="1:32" ht="14">
      <c r="A1368" s="2007"/>
      <c r="B1368" s="2001" t="s">
        <v>4703</v>
      </c>
      <c r="C1368" s="2001"/>
      <c r="D1368" s="2001"/>
      <c r="E1368" s="2001"/>
      <c r="F1368" s="2001" t="s">
        <v>4683</v>
      </c>
      <c r="G1368" s="1974" t="s">
        <v>1667</v>
      </c>
      <c r="H1368" s="1974"/>
      <c r="I1368" s="1974"/>
      <c r="J1368" s="1974" t="s">
        <v>4700</v>
      </c>
      <c r="K1368" s="1974"/>
      <c r="L1368" s="1974"/>
      <c r="M1368" s="1974"/>
      <c r="N1368" s="1974"/>
      <c r="O1368" s="1974"/>
      <c r="P1368" s="1974"/>
      <c r="Q1368" s="2001"/>
      <c r="R1368" s="2001"/>
      <c r="S1368" s="2001"/>
      <c r="T1368" s="2001"/>
      <c r="U1368" s="2001"/>
      <c r="V1368" s="2001"/>
      <c r="W1368" s="2001"/>
      <c r="X1368" s="2001"/>
      <c r="Y1368" s="2001"/>
      <c r="Z1368" s="2001"/>
      <c r="AA1368" s="2001"/>
      <c r="AB1368" s="2001"/>
      <c r="AC1368" s="2001"/>
      <c r="AD1368" s="2001"/>
      <c r="AE1368" s="2001"/>
      <c r="AF1368" s="2001"/>
    </row>
    <row r="1369" spans="1:32" ht="14">
      <c r="A1369" s="2007"/>
      <c r="B1369" s="2004" t="str">
        <f>'Part VIII Scoring Criteria'!B175</f>
        <v>MARTA</v>
      </c>
      <c r="C1369" s="2004"/>
      <c r="D1369" s="2004"/>
      <c r="E1369" s="2004"/>
      <c r="F1369" s="2948" t="str">
        <f>'Part VIII Scoring Criteria'!F175</f>
        <v>(404) 848-5000</v>
      </c>
      <c r="G1369" s="2004" t="str">
        <f>'Part VIII Scoring Criteria'!G175</f>
        <v>custserv@itsmarta.com</v>
      </c>
      <c r="H1369" s="2004"/>
      <c r="I1369" s="2004"/>
      <c r="J1369" s="2004" t="str">
        <f>'Part VIII Scoring Criteria'!J175</f>
        <v>https://www.itsmarta.com/</v>
      </c>
      <c r="K1369" s="1974"/>
      <c r="L1369" s="1974"/>
      <c r="M1369" s="1974"/>
      <c r="N1369" s="1974"/>
      <c r="O1369" s="1974"/>
      <c r="P1369" s="1974"/>
      <c r="Q1369" s="2001"/>
      <c r="R1369" s="2001"/>
      <c r="S1369" s="2001"/>
      <c r="T1369" s="2001"/>
      <c r="U1369" s="2001"/>
      <c r="V1369" s="2001"/>
      <c r="W1369" s="2001"/>
      <c r="X1369" s="2001"/>
      <c r="Y1369" s="2001"/>
      <c r="Z1369" s="2001"/>
      <c r="AA1369" s="2001"/>
      <c r="AB1369" s="2001"/>
      <c r="AC1369" s="2001"/>
      <c r="AD1369" s="2001"/>
      <c r="AE1369" s="2001"/>
      <c r="AF1369" s="2001"/>
    </row>
    <row r="1370" spans="1:32" ht="14">
      <c r="A1370" s="2949"/>
      <c r="B1370" s="2877"/>
      <c r="C1370" s="2002"/>
      <c r="D1370" s="2002"/>
      <c r="E1370" s="2002"/>
      <c r="F1370" s="2877"/>
      <c r="G1370" s="2002"/>
      <c r="H1370" s="2002"/>
      <c r="I1370" s="2002"/>
      <c r="J1370" s="2002"/>
      <c r="K1370" s="2001"/>
      <c r="L1370" s="2001"/>
      <c r="M1370" s="1973"/>
      <c r="N1370" s="1973"/>
      <c r="O1370" s="1973"/>
      <c r="P1370" s="1973"/>
      <c r="Q1370" s="2403"/>
      <c r="R1370" s="1974"/>
      <c r="S1370" s="1974"/>
      <c r="T1370" s="1974"/>
      <c r="U1370" s="1974"/>
      <c r="V1370" s="2001"/>
      <c r="W1370" s="2001"/>
      <c r="X1370" s="2001"/>
      <c r="Y1370" s="2001"/>
      <c r="Z1370" s="2001"/>
      <c r="AA1370" s="2001"/>
      <c r="AB1370" s="2001"/>
      <c r="AC1370" s="2001"/>
      <c r="AD1370" s="2001"/>
      <c r="AE1370" s="2001"/>
      <c r="AF1370" s="2001"/>
    </row>
    <row r="1371" spans="1:32" ht="14">
      <c r="A1371" s="2885" t="s">
        <v>1836</v>
      </c>
      <c r="B1371" s="1973" t="s">
        <v>3155</v>
      </c>
      <c r="C1371" s="2001"/>
      <c r="D1371" s="2001"/>
      <c r="E1371" s="2001"/>
      <c r="F1371" s="2399"/>
      <c r="G1371" s="2001"/>
      <c r="H1371" s="2001"/>
      <c r="I1371" s="2001"/>
      <c r="J1371" s="2001"/>
      <c r="K1371" s="2001"/>
      <c r="L1371" s="2910" t="s">
        <v>4837</v>
      </c>
      <c r="M1371" s="2403">
        <v>6</v>
      </c>
      <c r="N1371" s="2913"/>
      <c r="O1371" s="2950">
        <f>'Part VIII Scoring Criteria'!O177</f>
        <v>4</v>
      </c>
      <c r="P1371" s="2950">
        <f>'Part VIII Scoring Criteria'!P177</f>
        <v>0</v>
      </c>
      <c r="Q1371" s="2403"/>
      <c r="R1371" s="2001"/>
      <c r="S1371" s="2951" t="s">
        <v>4157</v>
      </c>
      <c r="T1371" s="2951" t="s">
        <v>4042</v>
      </c>
      <c r="U1371" s="2001"/>
      <c r="V1371" s="2001"/>
      <c r="W1371" s="2001"/>
      <c r="X1371" s="2001"/>
      <c r="Y1371" s="2001"/>
      <c r="Z1371" s="2001"/>
      <c r="AA1371" s="2001"/>
      <c r="AB1371" s="2001"/>
      <c r="AC1371" s="2001"/>
      <c r="AD1371" s="2001"/>
      <c r="AE1371" s="2001"/>
      <c r="AF1371" s="2001"/>
    </row>
    <row r="1372" spans="1:32" ht="15" customHeight="1">
      <c r="A1372" s="2006"/>
      <c r="B1372" s="2883" t="s">
        <v>1839</v>
      </c>
      <c r="C1372" s="2007" t="s">
        <v>5178</v>
      </c>
      <c r="D1372" s="2007"/>
      <c r="E1372" s="2007"/>
      <c r="F1372" s="2007"/>
      <c r="G1372" s="2007"/>
      <c r="H1372" s="2007"/>
      <c r="I1372" s="2007"/>
      <c r="J1372" s="2007"/>
      <c r="K1372" s="2007"/>
      <c r="L1372" s="2878" t="str">
        <f t="shared" ref="L1372" si="451">IF(OR($O1372=$M1372,$O1372=0,$O1372=""),"","* * Check Score! * *")</f>
        <v/>
      </c>
      <c r="M1372" s="2006">
        <v>6</v>
      </c>
      <c r="N1372" s="2914"/>
      <c r="O1372" s="2943">
        <f>'Part VIII Scoring Criteria'!O178</f>
        <v>0</v>
      </c>
      <c r="P1372" s="2952"/>
      <c r="Q1372" s="2007"/>
      <c r="R1372" s="2953" t="s">
        <v>4554</v>
      </c>
      <c r="S1372" s="2851">
        <v>0.25</v>
      </c>
      <c r="T1372" s="2851">
        <v>5</v>
      </c>
      <c r="U1372" s="2007"/>
      <c r="V1372" s="2007"/>
      <c r="W1372" s="2007"/>
      <c r="X1372" s="2007"/>
      <c r="Y1372" s="2007"/>
      <c r="Z1372" s="2007"/>
      <c r="AA1372" s="2007"/>
      <c r="AB1372" s="2007"/>
      <c r="AC1372" s="2007"/>
      <c r="AD1372" s="2007"/>
      <c r="AE1372" s="2007"/>
      <c r="AF1372" s="2007"/>
    </row>
    <row r="1373" spans="1:32" ht="14">
      <c r="A1373" s="2403" t="s">
        <v>1273</v>
      </c>
      <c r="B1373" s="2883" t="s">
        <v>1841</v>
      </c>
      <c r="C1373" s="1974" t="s">
        <v>5179</v>
      </c>
      <c r="D1373" s="1974"/>
      <c r="E1373" s="1974"/>
      <c r="F1373" s="1974"/>
      <c r="G1373" s="1974"/>
      <c r="H1373" s="1974"/>
      <c r="I1373" s="1974"/>
      <c r="J1373" s="1974"/>
      <c r="K1373" s="1974"/>
      <c r="L1373" s="2878"/>
      <c r="M1373" s="1987">
        <v>5</v>
      </c>
      <c r="N1373" s="2915"/>
      <c r="O1373" s="2943">
        <f>'Part VIII Scoring Criteria'!O179</f>
        <v>4</v>
      </c>
      <c r="P1373" s="2943"/>
      <c r="Q1373" s="2007"/>
      <c r="R1373" s="2953"/>
      <c r="S1373" s="2851">
        <v>0.5</v>
      </c>
      <c r="T1373" s="2851">
        <v>4.5</v>
      </c>
      <c r="U1373" s="2007"/>
      <c r="V1373" s="2007"/>
      <c r="W1373" s="2007"/>
      <c r="X1373" s="2007"/>
      <c r="Y1373" s="2007"/>
      <c r="Z1373" s="2007"/>
      <c r="AA1373" s="2007"/>
      <c r="AB1373" s="2007"/>
      <c r="AC1373" s="2007"/>
      <c r="AD1373" s="2007"/>
      <c r="AE1373" s="2007"/>
      <c r="AF1373" s="2007"/>
    </row>
    <row r="1374" spans="1:32" ht="14">
      <c r="A1374" s="2885" t="s">
        <v>1838</v>
      </c>
      <c r="B1374" s="2866" t="s">
        <v>3156</v>
      </c>
      <c r="C1374" s="2007"/>
      <c r="D1374" s="2007"/>
      <c r="E1374" s="2007"/>
      <c r="F1374" s="2889"/>
      <c r="G1374" s="2007"/>
      <c r="H1374" s="1974"/>
      <c r="I1374" s="1974"/>
      <c r="J1374" s="2007"/>
      <c r="K1374" s="2007"/>
      <c r="L1374" s="2954"/>
      <c r="M1374" s="2403">
        <v>3</v>
      </c>
      <c r="N1374" s="2401"/>
      <c r="O1374" s="2955">
        <f>'Part VIII Scoring Criteria'!O180</f>
        <v>0</v>
      </c>
      <c r="P1374" s="2955">
        <f>'Part VIII Scoring Criteria'!P180</f>
        <v>0</v>
      </c>
      <c r="Q1374" s="2007"/>
      <c r="R1374" s="2953"/>
      <c r="S1374" s="2851">
        <v>1</v>
      </c>
      <c r="T1374" s="2851">
        <v>4</v>
      </c>
      <c r="U1374" s="2007"/>
      <c r="V1374" s="2007"/>
      <c r="W1374" s="2007"/>
      <c r="X1374" s="2007"/>
      <c r="Y1374" s="2007"/>
      <c r="Z1374" s="2007"/>
      <c r="AA1374" s="2007"/>
      <c r="AB1374" s="2007"/>
      <c r="AC1374" s="2007"/>
      <c r="AD1374" s="2007"/>
      <c r="AE1374" s="2007"/>
      <c r="AF1374" s="2007"/>
    </row>
    <row r="1375" spans="1:32" ht="14">
      <c r="A1375" s="2398"/>
      <c r="B1375" s="2956" t="s">
        <v>1839</v>
      </c>
      <c r="C1375" s="1974" t="s">
        <v>5180</v>
      </c>
      <c r="D1375" s="1974"/>
      <c r="E1375" s="1974"/>
      <c r="F1375" s="1974"/>
      <c r="G1375" s="1974"/>
      <c r="H1375" s="1974"/>
      <c r="I1375" s="1974"/>
      <c r="J1375" s="1974"/>
      <c r="K1375" s="1974"/>
      <c r="L1375" s="2878" t="str">
        <f t="shared" ref="L1375:L1377" si="452">IF(OR($O1375=$M1375,$O1375=0,$O1375=""),"","* * Check Score! * *")</f>
        <v/>
      </c>
      <c r="M1375" s="1987">
        <v>3</v>
      </c>
      <c r="N1375" s="2915"/>
      <c r="O1375" s="2943">
        <f>'Part VIII Scoring Criteria'!O181</f>
        <v>0</v>
      </c>
      <c r="P1375" s="2943"/>
      <c r="Q1375" s="2001"/>
      <c r="R1375" s="2953" t="s">
        <v>4555</v>
      </c>
      <c r="S1375" s="2851">
        <v>0.25</v>
      </c>
      <c r="T1375" s="2851">
        <v>3</v>
      </c>
      <c r="U1375" s="2007"/>
      <c r="V1375" s="2001"/>
      <c r="W1375" s="2001"/>
      <c r="X1375" s="2001"/>
      <c r="Y1375" s="2001"/>
      <c r="Z1375" s="2001"/>
      <c r="AA1375" s="2001"/>
      <c r="AB1375" s="2001"/>
      <c r="AC1375" s="2001"/>
      <c r="AD1375" s="2001"/>
      <c r="AE1375" s="2001"/>
      <c r="AF1375" s="2001"/>
    </row>
    <row r="1376" spans="1:32" ht="14">
      <c r="A1376" s="2403" t="s">
        <v>1273</v>
      </c>
      <c r="B1376" s="2956" t="s">
        <v>1841</v>
      </c>
      <c r="C1376" s="1974" t="s">
        <v>5181</v>
      </c>
      <c r="D1376" s="1974"/>
      <c r="E1376" s="1974"/>
      <c r="F1376" s="1974"/>
      <c r="G1376" s="1974"/>
      <c r="H1376" s="1974"/>
      <c r="I1376" s="1974"/>
      <c r="J1376" s="2007"/>
      <c r="K1376" s="2007"/>
      <c r="L1376" s="2878" t="str">
        <f t="shared" si="452"/>
        <v/>
      </c>
      <c r="M1376" s="1987">
        <v>1</v>
      </c>
      <c r="N1376" s="2915"/>
      <c r="O1376" s="2943">
        <f>'Part VIII Scoring Criteria'!O182</f>
        <v>0</v>
      </c>
      <c r="P1376" s="2943"/>
      <c r="Q1376" s="2001"/>
      <c r="R1376" s="2953"/>
      <c r="S1376" s="2851">
        <v>0.5</v>
      </c>
      <c r="T1376" s="2851">
        <v>2</v>
      </c>
      <c r="U1376" s="2007"/>
      <c r="V1376" s="2001"/>
      <c r="W1376" s="2001"/>
      <c r="X1376" s="2001"/>
      <c r="Y1376" s="2001"/>
      <c r="Z1376" s="2001"/>
      <c r="AA1376" s="2001"/>
      <c r="AB1376" s="2001"/>
      <c r="AC1376" s="2001"/>
      <c r="AD1376" s="2001"/>
      <c r="AE1376" s="2001"/>
      <c r="AF1376" s="2001"/>
    </row>
    <row r="1377" spans="1:32" ht="15" customHeight="1">
      <c r="A1377" s="2885" t="s">
        <v>1273</v>
      </c>
      <c r="B1377" s="2956" t="s">
        <v>2326</v>
      </c>
      <c r="C1377" s="2007" t="s">
        <v>5182</v>
      </c>
      <c r="D1377" s="2007"/>
      <c r="E1377" s="2007"/>
      <c r="F1377" s="2007"/>
      <c r="G1377" s="2007"/>
      <c r="H1377" s="2007"/>
      <c r="I1377" s="2007"/>
      <c r="J1377" s="2007"/>
      <c r="K1377" s="2007"/>
      <c r="L1377" s="2878" t="str">
        <f t="shared" si="452"/>
        <v/>
      </c>
      <c r="M1377" s="2006">
        <v>2</v>
      </c>
      <c r="N1377" s="2914"/>
      <c r="O1377" s="2943">
        <f>'Part VIII Scoring Criteria'!O183</f>
        <v>0</v>
      </c>
      <c r="P1377" s="2952"/>
      <c r="Q1377" s="2007"/>
      <c r="R1377" s="2953"/>
      <c r="S1377" s="2851">
        <v>1</v>
      </c>
      <c r="T1377" s="2851">
        <v>1</v>
      </c>
      <c r="U1377" s="2007"/>
      <c r="V1377" s="2007"/>
      <c r="W1377" s="2007"/>
      <c r="X1377" s="2007"/>
      <c r="Y1377" s="2007"/>
      <c r="Z1377" s="2007"/>
      <c r="AA1377" s="2007"/>
      <c r="AB1377" s="2007"/>
      <c r="AC1377" s="2007"/>
      <c r="AD1377" s="2007"/>
      <c r="AE1377" s="2007"/>
      <c r="AF1377" s="2007"/>
    </row>
    <row r="1378" spans="1:32" ht="14.5">
      <c r="A1378" s="1974"/>
      <c r="B1378" s="2872" t="s">
        <v>5176</v>
      </c>
      <c r="C1378" s="1974"/>
      <c r="D1378" s="1974"/>
      <c r="E1378" s="1974"/>
      <c r="F1378" s="1974"/>
      <c r="G1378" s="1974"/>
      <c r="H1378" s="1974"/>
      <c r="I1378" s="1974"/>
      <c r="J1378" s="1974"/>
      <c r="K1378" s="1974"/>
      <c r="L1378" s="2001"/>
      <c r="M1378" s="1987"/>
      <c r="N1378" s="1992"/>
      <c r="O1378" s="2000"/>
      <c r="P1378" s="2003"/>
      <c r="Q1378" s="2001"/>
      <c r="R1378" s="2001"/>
      <c r="S1378" s="2001"/>
      <c r="T1378" s="2001"/>
      <c r="U1378" s="2001"/>
      <c r="V1378" s="2001"/>
      <c r="W1378" s="2001"/>
      <c r="X1378" s="2001"/>
      <c r="Y1378" s="2001"/>
      <c r="Z1378" s="2001"/>
      <c r="AA1378" s="2001"/>
      <c r="AB1378" s="2001"/>
      <c r="AC1378" s="2001"/>
      <c r="AD1378" s="2001"/>
      <c r="AE1378" s="2001"/>
      <c r="AF1378" s="2001"/>
    </row>
    <row r="1379" spans="1:32" ht="14">
      <c r="A1379" s="2008" t="str">
        <f>'Part VIII Scoring Criteria'!A185</f>
        <v>Princeton Court is less than 1 mile from the College Park MARTA Train Station, which includes two rail routes and nine fixed bus routes that all run seven days a week.</v>
      </c>
      <c r="B1379" s="2007"/>
      <c r="C1379" s="2007"/>
      <c r="D1379" s="2007"/>
      <c r="E1379" s="2007"/>
      <c r="F1379" s="2007"/>
      <c r="G1379" s="2007"/>
      <c r="H1379" s="2007"/>
      <c r="I1379" s="2007"/>
      <c r="J1379" s="2007"/>
      <c r="K1379" s="2007"/>
      <c r="L1379" s="2007"/>
      <c r="M1379" s="2007"/>
      <c r="N1379" s="2007"/>
      <c r="O1379" s="2007"/>
      <c r="P1379" s="2007"/>
      <c r="Q1379" s="1973"/>
      <c r="R1379" s="1973"/>
      <c r="S1379" s="2001"/>
      <c r="T1379" s="2001"/>
      <c r="U1379" s="2001"/>
      <c r="V1379" s="2001"/>
      <c r="W1379" s="2001"/>
      <c r="X1379" s="2001"/>
      <c r="Y1379" s="2001"/>
      <c r="Z1379" s="2001"/>
      <c r="AA1379" s="2001"/>
      <c r="AB1379" s="2001"/>
      <c r="AC1379" s="2001"/>
      <c r="AD1379" s="2001"/>
      <c r="AE1379" s="2001"/>
      <c r="AF1379" s="2001"/>
    </row>
    <row r="1380" spans="1:32" ht="14.5">
      <c r="A1380" s="1974"/>
      <c r="B1380" s="2872" t="s">
        <v>1725</v>
      </c>
      <c r="C1380" s="1974"/>
      <c r="D1380" s="2872"/>
      <c r="E1380" s="1974"/>
      <c r="F1380" s="1974"/>
      <c r="G1380" s="1974"/>
      <c r="H1380" s="1974"/>
      <c r="I1380" s="1974"/>
      <c r="J1380" s="1974"/>
      <c r="K1380" s="1974"/>
      <c r="L1380" s="1974"/>
      <c r="M1380" s="1974"/>
      <c r="N1380" s="1974"/>
      <c r="O1380" s="1973"/>
      <c r="P1380" s="1973"/>
      <c r="Q1380" s="2001"/>
      <c r="R1380" s="1974"/>
      <c r="S1380" s="1974"/>
      <c r="T1380" s="1974"/>
      <c r="U1380" s="1974"/>
      <c r="V1380" s="1974"/>
      <c r="W1380" s="1974"/>
      <c r="X1380" s="1974"/>
      <c r="Y1380" s="1974"/>
      <c r="Z1380" s="1974"/>
      <c r="AA1380" s="1974"/>
      <c r="AB1380" s="1974"/>
      <c r="AC1380" s="1974"/>
      <c r="AD1380" s="1974"/>
      <c r="AE1380" s="1974"/>
      <c r="AF1380" s="1974"/>
    </row>
    <row r="1381" spans="1:32" ht="14">
      <c r="A1381" s="2007"/>
      <c r="B1381" s="2007"/>
      <c r="C1381" s="2007"/>
      <c r="D1381" s="2007"/>
      <c r="E1381" s="2007"/>
      <c r="F1381" s="2007"/>
      <c r="G1381" s="2007"/>
      <c r="H1381" s="2007"/>
      <c r="I1381" s="2007"/>
      <c r="J1381" s="2007"/>
      <c r="K1381" s="2007"/>
      <c r="L1381" s="2007"/>
      <c r="M1381" s="2007"/>
      <c r="N1381" s="2007"/>
      <c r="O1381" s="2007"/>
      <c r="P1381" s="2007"/>
      <c r="Q1381" s="1973"/>
      <c r="R1381" s="2001"/>
      <c r="S1381" s="2001"/>
      <c r="T1381" s="2001"/>
      <c r="U1381" s="2001"/>
      <c r="V1381" s="2001"/>
      <c r="W1381" s="2001"/>
      <c r="X1381" s="2001"/>
      <c r="Y1381" s="2001"/>
      <c r="Z1381" s="2001"/>
      <c r="AA1381" s="2001"/>
      <c r="AB1381" s="2001"/>
      <c r="AC1381" s="2001"/>
      <c r="AD1381" s="2001"/>
      <c r="AE1381" s="2001"/>
      <c r="AF1381" s="2001"/>
    </row>
    <row r="1382" spans="1:32" ht="14">
      <c r="A1382" s="2001"/>
      <c r="B1382" s="2001"/>
      <c r="C1382" s="2001"/>
      <c r="D1382" s="2001"/>
      <c r="E1382" s="2001"/>
      <c r="F1382" s="2001"/>
      <c r="G1382" s="2001"/>
      <c r="H1382" s="2001"/>
      <c r="I1382" s="2001"/>
      <c r="J1382" s="2001"/>
      <c r="K1382" s="2001"/>
      <c r="L1382" s="2001"/>
      <c r="M1382" s="2001"/>
      <c r="N1382" s="2001"/>
      <c r="O1382" s="2009"/>
      <c r="P1382" s="2009"/>
      <c r="Q1382" s="2001"/>
      <c r="R1382" s="2001"/>
      <c r="S1382" s="2001"/>
      <c r="T1382" s="2001"/>
      <c r="U1382" s="2001"/>
      <c r="V1382" s="2001"/>
      <c r="W1382" s="2001"/>
      <c r="X1382" s="2001"/>
      <c r="Y1382" s="2001"/>
      <c r="Z1382" s="2001"/>
      <c r="AA1382" s="2001"/>
      <c r="AB1382" s="2001"/>
      <c r="AC1382" s="2001"/>
      <c r="AD1382" s="2001"/>
      <c r="AE1382" s="2001"/>
      <c r="AF1382" s="2001"/>
    </row>
    <row r="1383" spans="1:32" ht="14">
      <c r="A1383" s="2001"/>
      <c r="B1383" s="2001"/>
      <c r="C1383" s="2001"/>
      <c r="D1383" s="2001"/>
      <c r="E1383" s="2001"/>
      <c r="F1383" s="2001"/>
      <c r="G1383" s="2001"/>
      <c r="H1383" s="2001"/>
      <c r="I1383" s="2001"/>
      <c r="J1383" s="2001"/>
      <c r="K1383" s="2001"/>
      <c r="L1383" s="2001"/>
      <c r="M1383" s="2001"/>
      <c r="N1383" s="1992"/>
      <c r="O1383" s="2003"/>
      <c r="P1383" s="2003"/>
      <c r="Q1383" s="2001"/>
      <c r="R1383" s="2001"/>
      <c r="S1383" s="2001"/>
      <c r="T1383" s="2001"/>
      <c r="U1383" s="2001"/>
      <c r="V1383" s="2001"/>
      <c r="W1383" s="2001"/>
      <c r="X1383" s="2001"/>
      <c r="Y1383" s="2001"/>
      <c r="Z1383" s="2001"/>
      <c r="AA1383" s="2001"/>
      <c r="AB1383" s="2001"/>
      <c r="AC1383" s="2001"/>
      <c r="AD1383" s="2001"/>
      <c r="AE1383" s="2001"/>
      <c r="AF1383" s="2001"/>
    </row>
    <row r="1384" spans="1:32" ht="14">
      <c r="A1384" s="2398" t="s">
        <v>1602</v>
      </c>
      <c r="B1384" s="2399" t="s">
        <v>4046</v>
      </c>
      <c r="C1384" s="2008"/>
      <c r="D1384" s="2008"/>
      <c r="E1384" s="2008"/>
      <c r="F1384" s="2001"/>
      <c r="G1384" s="2403"/>
      <c r="H1384" s="2880"/>
      <c r="I1384" s="2001"/>
      <c r="J1384" s="2001"/>
      <c r="K1384" s="2001"/>
      <c r="L1384" s="2876" t="s">
        <v>4866</v>
      </c>
      <c r="M1384" s="2403">
        <v>3</v>
      </c>
      <c r="N1384" s="2006"/>
      <c r="O1384" s="2403">
        <f>'Part VIII Scoring Criteria'!O190</f>
        <v>1.5</v>
      </c>
      <c r="P1384" s="2408"/>
      <c r="Q1384" s="2877" t="str">
        <f>IF(OR($O1384&lt;=$M1384,$O1384=0,$O1384=""),"","*CHECK!*")</f>
        <v/>
      </c>
      <c r="R1384" s="2880" t="s">
        <v>415</v>
      </c>
      <c r="S1384" s="2403">
        <f>$C$16</f>
        <v>0</v>
      </c>
      <c r="T1384" s="2001"/>
      <c r="U1384" s="2001"/>
      <c r="V1384" s="2001"/>
      <c r="W1384" s="2001"/>
      <c r="X1384" s="2001"/>
      <c r="Y1384" s="2001"/>
      <c r="Z1384" s="2001"/>
      <c r="AA1384" s="2001"/>
      <c r="AB1384" s="2001"/>
      <c r="AC1384" s="2001"/>
      <c r="AD1384" s="2001"/>
      <c r="AE1384" s="2001"/>
      <c r="AF1384" s="2001"/>
    </row>
    <row r="1385" spans="1:32" ht="15" customHeight="1">
      <c r="A1385" s="2001"/>
      <c r="B1385" s="2957"/>
      <c r="C1385" s="2957"/>
      <c r="D1385" s="2957"/>
      <c r="E1385" s="2894"/>
      <c r="F1385" s="2001" t="s">
        <v>5081</v>
      </c>
      <c r="G1385" s="2894" t="s">
        <v>5183</v>
      </c>
      <c r="H1385" s="2894"/>
      <c r="I1385" s="2894" t="s">
        <v>5184</v>
      </c>
      <c r="J1385" s="2894" t="s">
        <v>5185</v>
      </c>
      <c r="K1385" s="2958"/>
      <c r="L1385" s="2894" t="s">
        <v>4704</v>
      </c>
      <c r="M1385" s="2894"/>
      <c r="N1385" s="2894"/>
      <c r="O1385" s="2894"/>
      <c r="P1385" s="2003"/>
      <c r="Q1385" s="2001"/>
      <c r="R1385" s="2001"/>
      <c r="S1385" s="2001"/>
      <c r="T1385" s="2001"/>
      <c r="U1385" s="2001"/>
      <c r="V1385" s="2001"/>
      <c r="W1385" s="2001"/>
      <c r="X1385" s="2001"/>
      <c r="Y1385" s="2001"/>
      <c r="Z1385" s="2001"/>
      <c r="AA1385" s="2001"/>
      <c r="AB1385" s="2001"/>
      <c r="AC1385" s="2001"/>
      <c r="AD1385" s="2001"/>
      <c r="AE1385" s="2001"/>
      <c r="AF1385" s="2001"/>
    </row>
    <row r="1386" spans="1:32" ht="14">
      <c r="A1386" s="2001"/>
      <c r="B1386" s="2957"/>
      <c r="C1386" s="2957"/>
      <c r="D1386" s="2957"/>
      <c r="E1386" s="2894"/>
      <c r="F1386" s="2001"/>
      <c r="G1386" s="2894"/>
      <c r="H1386" s="2894"/>
      <c r="I1386" s="2894"/>
      <c r="J1386" s="2958"/>
      <c r="K1386" s="2958"/>
      <c r="L1386" s="2894"/>
      <c r="M1386" s="2894"/>
      <c r="N1386" s="2894"/>
      <c r="O1386" s="2894"/>
      <c r="P1386" s="2003"/>
      <c r="Q1386" s="2001"/>
      <c r="R1386" s="2001"/>
      <c r="S1386" s="2001"/>
      <c r="T1386" s="2001"/>
      <c r="U1386" s="2001"/>
      <c r="V1386" s="2001"/>
      <c r="W1386" s="2001"/>
      <c r="X1386" s="2001"/>
      <c r="Y1386" s="2001"/>
      <c r="Z1386" s="2001"/>
      <c r="AA1386" s="2001"/>
      <c r="AB1386" s="2001"/>
      <c r="AC1386" s="2001"/>
      <c r="AD1386" s="2001"/>
      <c r="AE1386" s="2001"/>
      <c r="AF1386" s="2001"/>
    </row>
    <row r="1387" spans="1:32" ht="14">
      <c r="A1387" s="2001"/>
      <c r="B1387" s="2959" t="s">
        <v>4520</v>
      </c>
      <c r="C1387" s="2960"/>
      <c r="D1387" s="2894"/>
      <c r="E1387" s="2894"/>
      <c r="F1387" s="2001"/>
      <c r="G1387" s="2894"/>
      <c r="H1387" s="2894"/>
      <c r="I1387" s="2894"/>
      <c r="J1387" s="2958"/>
      <c r="K1387" s="2958"/>
      <c r="L1387" s="2894"/>
      <c r="M1387" s="2894"/>
      <c r="N1387" s="2894"/>
      <c r="O1387" s="2894"/>
      <c r="P1387" s="2003"/>
      <c r="Q1387" s="2001"/>
      <c r="R1387" s="2001"/>
      <c r="S1387" s="2001"/>
      <c r="T1387" s="2001"/>
      <c r="U1387" s="2001"/>
      <c r="V1387" s="2001"/>
      <c r="W1387" s="2001"/>
      <c r="X1387" s="2001"/>
      <c r="Y1387" s="2001"/>
      <c r="Z1387" s="2001"/>
      <c r="AA1387" s="2001"/>
      <c r="AB1387" s="2001"/>
      <c r="AC1387" s="2001"/>
      <c r="AD1387" s="2001"/>
      <c r="AE1387" s="2001"/>
      <c r="AF1387" s="2001"/>
    </row>
    <row r="1388" spans="1:32" ht="14">
      <c r="A1388" s="2001"/>
      <c r="B1388" s="2004" t="str">
        <f>'Part VIII Scoring Criteria'!B194</f>
        <v>Hapeville Elementary School</v>
      </c>
      <c r="C1388" s="2004"/>
      <c r="D1388" s="2004"/>
      <c r="E1388" s="2004"/>
      <c r="F1388" s="2004" t="str">
        <f>'Part VIII Scoring Criteria'!F194</f>
        <v>K-5</v>
      </c>
      <c r="G1388" s="2004" t="str">
        <f>'Part VIII Scoring Criteria'!G194</f>
        <v>No</v>
      </c>
      <c r="H1388" s="2004"/>
      <c r="I1388" s="2004" t="str">
        <f>'Part VIII Scoring Criteria'!I194</f>
        <v>Yes</v>
      </c>
      <c r="J1388" s="2004" t="str">
        <f>'Part VIII Scoring Criteria'!J194</f>
        <v>Yes</v>
      </c>
      <c r="K1388" s="2004"/>
      <c r="L1388" s="2004" t="str">
        <f>'Part VIII Scoring Criteria'!L194</f>
        <v>No</v>
      </c>
      <c r="M1388" s="1974"/>
      <c r="N1388" s="1974"/>
      <c r="O1388" s="2903"/>
      <c r="P1388" s="2903"/>
      <c r="Q1388" s="2001"/>
      <c r="R1388" s="2001"/>
      <c r="S1388" s="2001"/>
      <c r="T1388" s="2001"/>
      <c r="U1388" s="2001"/>
      <c r="V1388" s="2001"/>
      <c r="W1388" s="2001"/>
      <c r="X1388" s="2001"/>
      <c r="Y1388" s="2001"/>
      <c r="Z1388" s="2001"/>
      <c r="AA1388" s="2001"/>
      <c r="AB1388" s="2001"/>
      <c r="AC1388" s="2001"/>
      <c r="AD1388" s="2001"/>
      <c r="AE1388" s="2001"/>
      <c r="AF1388" s="2001"/>
    </row>
    <row r="1389" spans="1:32" ht="14">
      <c r="A1389" s="2001"/>
      <c r="B1389" s="2004" t="str">
        <f>'Part VIII Scoring Criteria'!B195</f>
        <v>Pual D. West Middle School</v>
      </c>
      <c r="C1389" s="2004"/>
      <c r="D1389" s="2004"/>
      <c r="E1389" s="2004"/>
      <c r="F1389" s="2004" t="str">
        <f>'Part VIII Scoring Criteria'!F195</f>
        <v>6-8</v>
      </c>
      <c r="G1389" s="2004" t="str">
        <f>'Part VIII Scoring Criteria'!G195</f>
        <v>No</v>
      </c>
      <c r="H1389" s="2004"/>
      <c r="I1389" s="2004" t="str">
        <f>'Part VIII Scoring Criteria'!I195</f>
        <v>Yes</v>
      </c>
      <c r="J1389" s="2004" t="str">
        <f>'Part VIII Scoring Criteria'!J195</f>
        <v>Yes</v>
      </c>
      <c r="K1389" s="2004"/>
      <c r="L1389" s="2004" t="str">
        <f>'Part VIII Scoring Criteria'!L195</f>
        <v>No</v>
      </c>
      <c r="M1389" s="1974"/>
      <c r="N1389" s="1974"/>
      <c r="O1389" s="2903"/>
      <c r="P1389" s="2903"/>
      <c r="Q1389" s="2001"/>
      <c r="R1389" s="2001"/>
      <c r="S1389" s="2001"/>
      <c r="T1389" s="2001"/>
      <c r="U1389" s="2001"/>
      <c r="V1389" s="2001"/>
      <c r="W1389" s="2001"/>
      <c r="X1389" s="2001"/>
      <c r="Y1389" s="2001"/>
      <c r="Z1389" s="2001"/>
      <c r="AA1389" s="2001"/>
      <c r="AB1389" s="2001"/>
      <c r="AC1389" s="2001"/>
      <c r="AD1389" s="2001"/>
      <c r="AE1389" s="2001"/>
      <c r="AF1389" s="2001"/>
    </row>
    <row r="1390" spans="1:32" ht="14">
      <c r="A1390" s="2001"/>
      <c r="B1390" s="2004" t="str">
        <f>'Part VIII Scoring Criteria'!B196</f>
        <v>Tri-Cities High School</v>
      </c>
      <c r="C1390" s="2004"/>
      <c r="D1390" s="2004"/>
      <c r="E1390" s="2004"/>
      <c r="F1390" s="2004" t="str">
        <f>'Part VIII Scoring Criteria'!F196</f>
        <v>9-12</v>
      </c>
      <c r="G1390" s="2004" t="str">
        <f>'Part VIII Scoring Criteria'!G196</f>
        <v>No</v>
      </c>
      <c r="H1390" s="2004"/>
      <c r="I1390" s="2004" t="str">
        <f>'Part VIII Scoring Criteria'!I196</f>
        <v>No</v>
      </c>
      <c r="J1390" s="2004" t="str">
        <f>'Part VIII Scoring Criteria'!J196</f>
        <v>Yes</v>
      </c>
      <c r="K1390" s="2004"/>
      <c r="L1390" s="2004" t="str">
        <f>'Part VIII Scoring Criteria'!L196</f>
        <v>No</v>
      </c>
      <c r="M1390" s="1974"/>
      <c r="N1390" s="1974"/>
      <c r="O1390" s="2903"/>
      <c r="P1390" s="2903"/>
      <c r="Q1390" s="2001"/>
      <c r="R1390" s="2001"/>
      <c r="S1390" s="2001"/>
      <c r="T1390" s="2001"/>
      <c r="U1390" s="2001"/>
      <c r="V1390" s="2001"/>
      <c r="W1390" s="2001"/>
      <c r="X1390" s="2001"/>
      <c r="Y1390" s="2001"/>
      <c r="Z1390" s="2001"/>
      <c r="AA1390" s="2001"/>
      <c r="AB1390" s="2001"/>
      <c r="AC1390" s="2001"/>
      <c r="AD1390" s="2001"/>
      <c r="AE1390" s="2001"/>
      <c r="AF1390" s="2001"/>
    </row>
    <row r="1391" spans="1:32" ht="14">
      <c r="A1391" s="2001"/>
      <c r="B1391" s="2004">
        <f>'Part VIII Scoring Criteria'!B197</f>
        <v>0</v>
      </c>
      <c r="C1391" s="2004"/>
      <c r="D1391" s="2004"/>
      <c r="E1391" s="2004"/>
      <c r="F1391" s="2004">
        <f>'Part VIII Scoring Criteria'!F197</f>
        <v>0</v>
      </c>
      <c r="G1391" s="2004">
        <f>'Part VIII Scoring Criteria'!G197</f>
        <v>0</v>
      </c>
      <c r="H1391" s="2004"/>
      <c r="I1391" s="2004">
        <f>'Part VIII Scoring Criteria'!I197</f>
        <v>0</v>
      </c>
      <c r="J1391" s="2004">
        <f>'Part VIII Scoring Criteria'!J197</f>
        <v>0</v>
      </c>
      <c r="K1391" s="2004"/>
      <c r="L1391" s="2004">
        <f>'Part VIII Scoring Criteria'!L197</f>
        <v>0</v>
      </c>
      <c r="M1391" s="1974"/>
      <c r="N1391" s="1974"/>
      <c r="O1391" s="2903"/>
      <c r="P1391" s="2903"/>
      <c r="Q1391" s="2001"/>
      <c r="R1391" s="2001"/>
      <c r="S1391" s="2001"/>
      <c r="T1391" s="2001"/>
      <c r="U1391" s="2001"/>
      <c r="V1391" s="2001"/>
      <c r="W1391" s="2001"/>
      <c r="X1391" s="2001"/>
      <c r="Y1391" s="2001"/>
      <c r="Z1391" s="2001"/>
      <c r="AA1391" s="2001"/>
      <c r="AB1391" s="2001"/>
      <c r="AC1391" s="2001"/>
      <c r="AD1391" s="2001"/>
      <c r="AE1391" s="2001"/>
      <c r="AF1391" s="2001"/>
    </row>
    <row r="1392" spans="1:32" ht="14">
      <c r="A1392" s="2001"/>
      <c r="B1392" s="2004">
        <f>'Part VIII Scoring Criteria'!B198</f>
        <v>0</v>
      </c>
      <c r="C1392" s="2004"/>
      <c r="D1392" s="2004"/>
      <c r="E1392" s="2004"/>
      <c r="F1392" s="2004">
        <f>'Part VIII Scoring Criteria'!F198</f>
        <v>0</v>
      </c>
      <c r="G1392" s="2004">
        <f>'Part VIII Scoring Criteria'!G198</f>
        <v>0</v>
      </c>
      <c r="H1392" s="2004"/>
      <c r="I1392" s="2004">
        <f>'Part VIII Scoring Criteria'!I198</f>
        <v>0</v>
      </c>
      <c r="J1392" s="2004">
        <f>'Part VIII Scoring Criteria'!J198</f>
        <v>0</v>
      </c>
      <c r="K1392" s="2004"/>
      <c r="L1392" s="2004">
        <f>'Part VIII Scoring Criteria'!L198</f>
        <v>0</v>
      </c>
      <c r="M1392" s="1974"/>
      <c r="N1392" s="1974"/>
      <c r="O1392" s="2903"/>
      <c r="P1392" s="2903"/>
      <c r="Q1392" s="2001"/>
      <c r="R1392" s="2001"/>
      <c r="S1392" s="2001"/>
      <c r="T1392" s="2001"/>
      <c r="U1392" s="2001"/>
      <c r="V1392" s="2001"/>
      <c r="W1392" s="2001"/>
      <c r="X1392" s="2001"/>
      <c r="Y1392" s="2001"/>
      <c r="Z1392" s="2001"/>
      <c r="AA1392" s="2001"/>
      <c r="AB1392" s="2001"/>
      <c r="AC1392" s="2001"/>
      <c r="AD1392" s="2001"/>
      <c r="AE1392" s="2001"/>
      <c r="AF1392" s="2001"/>
    </row>
    <row r="1393" spans="1:32" ht="14">
      <c r="A1393" s="2001"/>
      <c r="B1393" s="2004">
        <f>'Part VIII Scoring Criteria'!B199</f>
        <v>0</v>
      </c>
      <c r="C1393" s="2004"/>
      <c r="D1393" s="2004"/>
      <c r="E1393" s="2004"/>
      <c r="F1393" s="2004">
        <f>'Part VIII Scoring Criteria'!F199</f>
        <v>0</v>
      </c>
      <c r="G1393" s="2004">
        <f>'Part VIII Scoring Criteria'!G199</f>
        <v>0</v>
      </c>
      <c r="H1393" s="2004"/>
      <c r="I1393" s="2004">
        <f>'Part VIII Scoring Criteria'!I199</f>
        <v>0</v>
      </c>
      <c r="J1393" s="2004">
        <f>'Part VIII Scoring Criteria'!J199</f>
        <v>0</v>
      </c>
      <c r="K1393" s="2004"/>
      <c r="L1393" s="2004">
        <f>'Part VIII Scoring Criteria'!L199</f>
        <v>0</v>
      </c>
      <c r="M1393" s="1974"/>
      <c r="N1393" s="1974"/>
      <c r="O1393" s="2903"/>
      <c r="P1393" s="2903"/>
      <c r="Q1393" s="2001"/>
      <c r="R1393" s="2001"/>
      <c r="S1393" s="2001"/>
      <c r="T1393" s="2001"/>
      <c r="U1393" s="2001"/>
      <c r="V1393" s="2001"/>
      <c r="W1393" s="2001"/>
      <c r="X1393" s="2001"/>
      <c r="Y1393" s="2001"/>
      <c r="Z1393" s="2001"/>
      <c r="AA1393" s="2001"/>
      <c r="AB1393" s="2001"/>
      <c r="AC1393" s="2001"/>
      <c r="AD1393" s="2001"/>
      <c r="AE1393" s="2001"/>
      <c r="AF1393" s="2001"/>
    </row>
    <row r="1394" spans="1:32" ht="14.5">
      <c r="A1394" s="1974"/>
      <c r="B1394" s="2872" t="s">
        <v>5176</v>
      </c>
      <c r="C1394" s="1974"/>
      <c r="D1394" s="1974"/>
      <c r="E1394" s="1974"/>
      <c r="F1394" s="1974"/>
      <c r="G1394" s="1974"/>
      <c r="H1394" s="1974"/>
      <c r="I1394" s="1974"/>
      <c r="J1394" s="1974"/>
      <c r="K1394" s="1974"/>
      <c r="L1394" s="2001"/>
      <c r="M1394" s="1974"/>
      <c r="N1394" s="2001"/>
      <c r="O1394" s="2891"/>
      <c r="P1394" s="2003"/>
      <c r="Q1394" s="2001"/>
      <c r="R1394" s="2001"/>
      <c r="S1394" s="2001"/>
      <c r="T1394" s="2001"/>
      <c r="U1394" s="2001"/>
      <c r="V1394" s="2001"/>
      <c r="W1394" s="2001"/>
      <c r="X1394" s="2001"/>
      <c r="Y1394" s="2001"/>
      <c r="Z1394" s="2001"/>
      <c r="AA1394" s="2001"/>
      <c r="AB1394" s="2001"/>
      <c r="AC1394" s="2001"/>
      <c r="AD1394" s="2001"/>
      <c r="AE1394" s="2001"/>
      <c r="AF1394" s="2001"/>
    </row>
    <row r="1395" spans="1:32" ht="14">
      <c r="A1395" s="2008" t="str">
        <f>'Part VIII Scoring Criteria'!A201</f>
        <v xml:space="preserve">Princeton Court is claiming 1.5 points for BTO designation for 7 grades (K-5 and 6-8). </v>
      </c>
      <c r="B1395" s="2007"/>
      <c r="C1395" s="2007"/>
      <c r="D1395" s="2007"/>
      <c r="E1395" s="2007"/>
      <c r="F1395" s="2007"/>
      <c r="G1395" s="2007"/>
      <c r="H1395" s="2007"/>
      <c r="I1395" s="2007"/>
      <c r="J1395" s="2007"/>
      <c r="K1395" s="2007"/>
      <c r="L1395" s="2007"/>
      <c r="M1395" s="2007"/>
      <c r="N1395" s="2007"/>
      <c r="O1395" s="2007"/>
      <c r="P1395" s="2007"/>
      <c r="Q1395" s="1973"/>
      <c r="R1395" s="2001"/>
      <c r="S1395" s="2001"/>
      <c r="T1395" s="2001"/>
      <c r="U1395" s="2001"/>
      <c r="V1395" s="2001"/>
      <c r="W1395" s="2001"/>
      <c r="X1395" s="2001"/>
      <c r="Y1395" s="2001"/>
      <c r="Z1395" s="2001"/>
      <c r="AA1395" s="2001"/>
      <c r="AB1395" s="2001"/>
      <c r="AC1395" s="2001"/>
      <c r="AD1395" s="2001"/>
      <c r="AE1395" s="2001"/>
      <c r="AF1395" s="2001"/>
    </row>
    <row r="1396" spans="1:32" ht="14.5">
      <c r="A1396" s="1974"/>
      <c r="B1396" s="2890" t="s">
        <v>1725</v>
      </c>
      <c r="C1396" s="1974"/>
      <c r="D1396" s="2890"/>
      <c r="E1396" s="2007"/>
      <c r="F1396" s="2007"/>
      <c r="G1396" s="2007"/>
      <c r="H1396" s="2007"/>
      <c r="I1396" s="2007"/>
      <c r="J1396" s="2007"/>
      <c r="K1396" s="2007"/>
      <c r="L1396" s="2007"/>
      <c r="M1396" s="2007"/>
      <c r="N1396" s="2007"/>
      <c r="O1396" s="2866"/>
      <c r="P1396" s="1973"/>
      <c r="Q1396" s="2001"/>
      <c r="R1396" s="2001"/>
      <c r="S1396" s="2001"/>
      <c r="T1396" s="2001"/>
      <c r="U1396" s="2001"/>
      <c r="V1396" s="2001"/>
      <c r="W1396" s="2001"/>
      <c r="X1396" s="2001"/>
      <c r="Y1396" s="2001"/>
      <c r="Z1396" s="2001"/>
      <c r="AA1396" s="2001"/>
      <c r="AB1396" s="2001"/>
      <c r="AC1396" s="2001"/>
      <c r="AD1396" s="2001"/>
      <c r="AE1396" s="2001"/>
      <c r="AF1396" s="2001"/>
    </row>
    <row r="1397" spans="1:32" ht="14">
      <c r="A1397" s="2007"/>
      <c r="B1397" s="2007"/>
      <c r="C1397" s="2007"/>
      <c r="D1397" s="2007"/>
      <c r="E1397" s="2007"/>
      <c r="F1397" s="2007"/>
      <c r="G1397" s="2007"/>
      <c r="H1397" s="2007"/>
      <c r="I1397" s="2007"/>
      <c r="J1397" s="2007"/>
      <c r="K1397" s="2007"/>
      <c r="L1397" s="2007"/>
      <c r="M1397" s="2007"/>
      <c r="N1397" s="2007"/>
      <c r="O1397" s="2007"/>
      <c r="P1397" s="2007"/>
      <c r="Q1397" s="1973"/>
      <c r="R1397" s="2001"/>
      <c r="S1397" s="2001"/>
      <c r="T1397" s="2001"/>
      <c r="U1397" s="2002"/>
      <c r="V1397" s="2001"/>
      <c r="W1397" s="2001"/>
      <c r="X1397" s="2001"/>
      <c r="Y1397" s="2001"/>
      <c r="Z1397" s="2001"/>
      <c r="AA1397" s="2001"/>
      <c r="AB1397" s="2001"/>
      <c r="AC1397" s="2001"/>
      <c r="AD1397" s="2001"/>
      <c r="AE1397" s="2001"/>
      <c r="AF1397" s="2001"/>
    </row>
    <row r="1398" spans="1:32" ht="14">
      <c r="A1398" s="2001"/>
      <c r="B1398" s="2001"/>
      <c r="C1398" s="2001"/>
      <c r="D1398" s="2001"/>
      <c r="E1398" s="2001"/>
      <c r="F1398" s="2001"/>
      <c r="G1398" s="2001"/>
      <c r="H1398" s="2001"/>
      <c r="I1398" s="2001"/>
      <c r="J1398" s="2001"/>
      <c r="K1398" s="2001"/>
      <c r="L1398" s="2001"/>
      <c r="M1398" s="2001"/>
      <c r="N1398" s="2001"/>
      <c r="O1398" s="2009"/>
      <c r="P1398" s="2009"/>
      <c r="Q1398" s="2001"/>
      <c r="R1398" s="2001"/>
      <c r="S1398" s="2001"/>
      <c r="T1398" s="2001"/>
      <c r="U1398" s="2001"/>
      <c r="V1398" s="2001"/>
      <c r="W1398" s="2001"/>
      <c r="X1398" s="2001"/>
      <c r="Y1398" s="2001"/>
      <c r="Z1398" s="2001"/>
      <c r="AA1398" s="2001"/>
      <c r="AB1398" s="2001"/>
      <c r="AC1398" s="2001"/>
      <c r="AD1398" s="2001"/>
      <c r="AE1398" s="2001"/>
      <c r="AF1398" s="2001"/>
    </row>
    <row r="1399" spans="1:32" ht="14">
      <c r="A1399" s="2001"/>
      <c r="B1399" s="2001"/>
      <c r="C1399" s="2001"/>
      <c r="D1399" s="2001"/>
      <c r="E1399" s="2001"/>
      <c r="F1399" s="2001"/>
      <c r="G1399" s="2001"/>
      <c r="H1399" s="2001"/>
      <c r="I1399" s="2001"/>
      <c r="J1399" s="2001"/>
      <c r="K1399" s="2001"/>
      <c r="L1399" s="2001"/>
      <c r="M1399" s="2001"/>
      <c r="N1399" s="1992"/>
      <c r="O1399" s="2003"/>
      <c r="P1399" s="2003"/>
      <c r="Q1399" s="2001"/>
      <c r="R1399" s="2001"/>
      <c r="S1399" s="2001"/>
      <c r="T1399" s="2001"/>
      <c r="U1399" s="2001"/>
      <c r="V1399" s="2001"/>
      <c r="W1399" s="2001"/>
      <c r="X1399" s="2001"/>
      <c r="Y1399" s="2001"/>
      <c r="Z1399" s="2001"/>
      <c r="AA1399" s="2001"/>
      <c r="AB1399" s="2001"/>
      <c r="AC1399" s="2001"/>
      <c r="AD1399" s="2001"/>
      <c r="AE1399" s="2001"/>
      <c r="AF1399" s="2001"/>
    </row>
    <row r="1400" spans="1:32" ht="14">
      <c r="A1400" s="2398" t="s">
        <v>2489</v>
      </c>
      <c r="B1400" s="2399" t="s">
        <v>3252</v>
      </c>
      <c r="C1400" s="1974"/>
      <c r="D1400" s="2399"/>
      <c r="E1400" s="2399"/>
      <c r="F1400" s="1974"/>
      <c r="G1400" s="1974"/>
      <c r="H1400" s="1974"/>
      <c r="I1400" s="1974"/>
      <c r="J1400" s="1974"/>
      <c r="K1400" s="2910"/>
      <c r="L1400" s="2876" t="s">
        <v>4866</v>
      </c>
      <c r="M1400" s="2403">
        <v>10</v>
      </c>
      <c r="N1400" s="1987"/>
      <c r="O1400" s="2871">
        <f>'Part VIII Scoring Criteria'!O206</f>
        <v>0</v>
      </c>
      <c r="P1400" s="2871">
        <f>'Part VIII Scoring Criteria'!P206</f>
        <v>0</v>
      </c>
      <c r="Q1400" s="2403" t="s">
        <v>415</v>
      </c>
      <c r="R1400" s="2961" t="s">
        <v>4957</v>
      </c>
      <c r="S1400" s="1973"/>
      <c r="T1400" s="1973"/>
      <c r="U1400" s="1973"/>
      <c r="V1400" s="2957">
        <f>$H$15</f>
        <v>0</v>
      </c>
      <c r="W1400" s="1974"/>
      <c r="X1400" s="1974"/>
      <c r="Y1400" s="1974"/>
      <c r="Z1400" s="1974"/>
      <c r="AA1400" s="1974"/>
      <c r="AB1400" s="1974"/>
      <c r="AC1400" s="1974"/>
      <c r="AD1400" s="1974"/>
      <c r="AE1400" s="1974"/>
      <c r="AF1400" s="1974"/>
    </row>
    <row r="1401" spans="1:32" ht="14">
      <c r="A1401" s="2398"/>
      <c r="B1401" s="2399"/>
      <c r="C1401" s="1974"/>
      <c r="D1401" s="2399"/>
      <c r="E1401" s="2399"/>
      <c r="F1401" s="2004" t="s">
        <v>4986</v>
      </c>
      <c r="G1401" s="1974"/>
      <c r="H1401" s="1974"/>
      <c r="I1401" s="1974"/>
      <c r="J1401" s="1974"/>
      <c r="K1401" s="1974"/>
      <c r="L1401" s="2406"/>
      <c r="M1401" s="2403"/>
      <c r="N1401" s="1987"/>
      <c r="O1401" s="2000">
        <f>MIN(O1406+O1416+O1423,M1400)</f>
        <v>0</v>
      </c>
      <c r="P1401" s="2000">
        <f>MIN(P1406+P1416+P1423,M1400)</f>
        <v>0</v>
      </c>
      <c r="Q1401" s="2403"/>
      <c r="R1401" s="2880"/>
      <c r="S1401" s="1973"/>
      <c r="T1401" s="1973"/>
      <c r="U1401" s="1973"/>
      <c r="V1401" s="2001"/>
      <c r="W1401" s="2001"/>
      <c r="X1401" s="2001"/>
      <c r="Y1401" s="1974"/>
      <c r="Z1401" s="1974"/>
      <c r="AA1401" s="1974"/>
      <c r="AB1401" s="1974"/>
      <c r="AC1401" s="1974"/>
      <c r="AD1401" s="1974"/>
      <c r="AE1401" s="1974"/>
      <c r="AF1401" s="1974"/>
    </row>
    <row r="1402" spans="1:32" ht="14">
      <c r="A1402" s="2403"/>
      <c r="B1402" s="1974" t="s">
        <v>5186</v>
      </c>
      <c r="C1402" s="2001"/>
      <c r="D1402" s="1973"/>
      <c r="E1402" s="1973"/>
      <c r="F1402" s="1973"/>
      <c r="G1402" s="1973"/>
      <c r="H1402" s="1973"/>
      <c r="I1402" s="1973"/>
      <c r="J1402" s="1973"/>
      <c r="K1402" s="1973"/>
      <c r="L1402" s="1973"/>
      <c r="M1402" s="2001"/>
      <c r="N1402" s="1992"/>
      <c r="O1402" s="2003"/>
      <c r="P1402" s="2003"/>
      <c r="Q1402" s="2877" t="str">
        <f>IF(OR($O1407=$M1407,$O1407=0,$O1407=""),"","*CHECK!*")</f>
        <v/>
      </c>
      <c r="R1402" s="2880"/>
      <c r="S1402" s="1973"/>
      <c r="T1402" s="1973"/>
      <c r="U1402" s="1973"/>
      <c r="V1402" s="2001"/>
      <c r="W1402" s="2001"/>
      <c r="X1402" s="2001"/>
      <c r="Y1402" s="2001"/>
      <c r="Z1402" s="2001"/>
      <c r="AA1402" s="2001"/>
      <c r="AB1402" s="2001"/>
      <c r="AC1402" s="2001"/>
      <c r="AD1402" s="2001"/>
      <c r="AE1402" s="2001"/>
      <c r="AF1402" s="2001"/>
    </row>
    <row r="1403" spans="1:32" ht="15" customHeight="1">
      <c r="A1403" s="2003"/>
      <c r="B1403" s="2401"/>
      <c r="C1403" s="2007" t="s">
        <v>4867</v>
      </c>
      <c r="D1403" s="2007"/>
      <c r="E1403" s="2007"/>
      <c r="F1403" s="2007"/>
      <c r="G1403" s="2007"/>
      <c r="H1403" s="2007"/>
      <c r="I1403" s="2007"/>
      <c r="J1403" s="2007"/>
      <c r="K1403" s="2007"/>
      <c r="L1403" s="2887"/>
      <c r="M1403" s="2001"/>
      <c r="N1403" s="2004" t="str">
        <f>'Part VIII Scoring Criteria'!N209</f>
        <v>&lt;Page # from Plan&gt;</v>
      </c>
      <c r="O1403" s="2959"/>
      <c r="P1403" s="2959"/>
      <c r="Q1403" s="2001"/>
      <c r="R1403" s="2001"/>
      <c r="S1403" s="1973"/>
      <c r="T1403" s="1973"/>
      <c r="U1403" s="1973"/>
      <c r="V1403" s="2001"/>
      <c r="W1403" s="2001"/>
      <c r="X1403" s="2001"/>
      <c r="Y1403" s="2001"/>
      <c r="Z1403" s="2001"/>
      <c r="AA1403" s="2001"/>
      <c r="AB1403" s="2001"/>
      <c r="AC1403" s="2001"/>
      <c r="AD1403" s="2001"/>
      <c r="AE1403" s="2001"/>
      <c r="AF1403" s="2001"/>
    </row>
    <row r="1404" spans="1:32" ht="15" customHeight="1">
      <c r="A1404" s="1987"/>
      <c r="B1404" s="2401"/>
      <c r="C1404" s="1974" t="s">
        <v>4687</v>
      </c>
      <c r="D1404" s="1974"/>
      <c r="E1404" s="1974"/>
      <c r="F1404" s="1974"/>
      <c r="G1404" s="1974"/>
      <c r="H1404" s="1974"/>
      <c r="I1404" s="1974"/>
      <c r="J1404" s="1974"/>
      <c r="K1404" s="1974"/>
      <c r="L1404" s="2401"/>
      <c r="M1404" s="1974"/>
      <c r="N1404" s="2004" t="str">
        <f>'Part VIII Scoring Criteria'!N210</f>
        <v>&lt;Page # from Plan&gt;</v>
      </c>
      <c r="O1404" s="2959"/>
      <c r="P1404" s="2959"/>
      <c r="Q1404" s="1974"/>
      <c r="R1404" s="1974"/>
      <c r="S1404" s="1973"/>
      <c r="T1404" s="1973"/>
      <c r="U1404" s="1973"/>
      <c r="V1404" s="1974"/>
      <c r="W1404" s="1974"/>
      <c r="X1404" s="1974"/>
      <c r="Y1404" s="1974"/>
      <c r="Z1404" s="1974"/>
      <c r="AA1404" s="1974"/>
      <c r="AB1404" s="1974"/>
      <c r="AC1404" s="1974"/>
      <c r="AD1404" s="1974"/>
      <c r="AE1404" s="1974"/>
      <c r="AF1404" s="1974"/>
    </row>
    <row r="1405" spans="1:32" ht="15" customHeight="1">
      <c r="A1405" s="1987"/>
      <c r="B1405" s="2401"/>
      <c r="C1405" s="1974" t="s">
        <v>4868</v>
      </c>
      <c r="D1405" s="1974"/>
      <c r="E1405" s="1974"/>
      <c r="F1405" s="1974"/>
      <c r="G1405" s="1974"/>
      <c r="H1405" s="1974"/>
      <c r="I1405" s="1974"/>
      <c r="J1405" s="1974"/>
      <c r="K1405" s="1974"/>
      <c r="L1405" s="2401"/>
      <c r="M1405" s="1974"/>
      <c r="N1405" s="2004" t="str">
        <f>'Part VIII Scoring Criteria'!N211</f>
        <v>&lt;Page # from Plan&gt;</v>
      </c>
      <c r="O1405" s="2959"/>
      <c r="P1405" s="2959"/>
      <c r="Q1405" s="1987"/>
      <c r="R1405" s="1974"/>
      <c r="S1405" s="1973"/>
      <c r="T1405" s="1973"/>
      <c r="U1405" s="1973"/>
      <c r="V1405" s="1987"/>
      <c r="W1405" s="1974"/>
      <c r="X1405" s="1974"/>
      <c r="Y1405" s="1974"/>
      <c r="Z1405" s="1974"/>
      <c r="AA1405" s="1974"/>
      <c r="AB1405" s="1974"/>
      <c r="AC1405" s="1974"/>
      <c r="AD1405" s="1974"/>
      <c r="AE1405" s="1974"/>
      <c r="AF1405" s="1974"/>
    </row>
    <row r="1406" spans="1:32" ht="14">
      <c r="A1406" s="2403" t="s">
        <v>1836</v>
      </c>
      <c r="B1406" s="2880" t="s">
        <v>4070</v>
      </c>
      <c r="C1406" s="1974"/>
      <c r="D1406" s="1974"/>
      <c r="E1406" s="1974"/>
      <c r="F1406" s="1974"/>
      <c r="G1406" s="1974"/>
      <c r="H1406" s="1974"/>
      <c r="I1406" s="1974"/>
      <c r="J1406" s="1974"/>
      <c r="K1406" s="1974"/>
      <c r="L1406" s="2910" t="s">
        <v>4866</v>
      </c>
      <c r="M1406" s="2403">
        <v>6</v>
      </c>
      <c r="N1406" s="1974"/>
      <c r="O1406" s="2962">
        <f>'Part VIII Scoring Criteria'!O212</f>
        <v>0</v>
      </c>
      <c r="P1406" s="2962">
        <f>'Part VIII Scoring Criteria'!P212</f>
        <v>0</v>
      </c>
      <c r="Q1406" s="1987"/>
      <c r="R1406" s="1974"/>
      <c r="S1406" s="1973"/>
      <c r="T1406" s="1973"/>
      <c r="U1406" s="1973"/>
      <c r="V1406" s="1987"/>
      <c r="W1406" s="1974"/>
      <c r="X1406" s="1974"/>
      <c r="Y1406" s="1974"/>
      <c r="Z1406" s="1974"/>
      <c r="AA1406" s="1974"/>
      <c r="AB1406" s="1974"/>
      <c r="AC1406" s="1974"/>
      <c r="AD1406" s="1974"/>
      <c r="AE1406" s="1974"/>
      <c r="AF1406" s="1974"/>
    </row>
    <row r="1407" spans="1:32" ht="14">
      <c r="A1407" s="2003"/>
      <c r="B1407" s="2880" t="s">
        <v>4869</v>
      </c>
      <c r="C1407" s="2001"/>
      <c r="D1407" s="2007"/>
      <c r="E1407" s="2007"/>
      <c r="F1407" s="2007"/>
      <c r="G1407" s="2007"/>
      <c r="H1407" s="2007"/>
      <c r="I1407" s="2007"/>
      <c r="J1407" s="2001"/>
      <c r="K1407" s="1987"/>
      <c r="L1407" s="2878" t="str">
        <f t="shared" ref="L1407:L1408" si="453">IF(OR($O1407=$M1407,$O1407=0,$O1407=""),"","* * Check Score! * *")</f>
        <v/>
      </c>
      <c r="M1407" s="1987">
        <v>2</v>
      </c>
      <c r="N1407" s="2887"/>
      <c r="O1407" s="2403">
        <f>'Part VIII Scoring Criteria'!O213</f>
        <v>0</v>
      </c>
      <c r="P1407" s="2000"/>
      <c r="Q1407" s="2001"/>
      <c r="R1407" s="1973"/>
      <c r="S1407" s="1973"/>
      <c r="T1407" s="1973"/>
      <c r="U1407" s="1973"/>
      <c r="V1407" s="2001"/>
      <c r="W1407" s="2001"/>
      <c r="X1407" s="2001"/>
      <c r="Y1407" s="2001"/>
      <c r="Z1407" s="2001"/>
      <c r="AA1407" s="2001"/>
      <c r="AB1407" s="2001"/>
      <c r="AC1407" s="2001"/>
      <c r="AD1407" s="2001"/>
      <c r="AE1407" s="2001"/>
      <c r="AF1407" s="2001"/>
    </row>
    <row r="1408" spans="1:32" ht="14">
      <c r="A1408" s="2403"/>
      <c r="B1408" s="2001" t="s">
        <v>5187</v>
      </c>
      <c r="C1408" s="2001"/>
      <c r="D1408" s="2866"/>
      <c r="E1408" s="2866"/>
      <c r="F1408" s="2866"/>
      <c r="G1408" s="2866"/>
      <c r="H1408" s="2866"/>
      <c r="I1408" s="2866"/>
      <c r="J1408" s="2866"/>
      <c r="K1408" s="2866"/>
      <c r="L1408" s="2878" t="str">
        <f t="shared" si="453"/>
        <v/>
      </c>
      <c r="M1408" s="1987">
        <v>1</v>
      </c>
      <c r="N1408" s="2401"/>
      <c r="O1408" s="2403">
        <f>'Part VIII Scoring Criteria'!O214</f>
        <v>0</v>
      </c>
      <c r="P1408" s="2000"/>
      <c r="Q1408" s="2877" t="str">
        <f>IF(OR($O1408=$M1408,$O1408=0,$O1408=""),"","*CHECK!*")</f>
        <v/>
      </c>
      <c r="R1408" s="2880"/>
      <c r="S1408" s="2001"/>
      <c r="T1408" s="2001"/>
      <c r="U1408" s="2001"/>
      <c r="V1408" s="2001"/>
      <c r="W1408" s="2001"/>
      <c r="X1408" s="2001"/>
      <c r="Y1408" s="2001"/>
      <c r="Z1408" s="2001"/>
      <c r="AA1408" s="2001"/>
      <c r="AB1408" s="2001"/>
      <c r="AC1408" s="2001"/>
      <c r="AD1408" s="2001"/>
      <c r="AE1408" s="2001"/>
      <c r="AF1408" s="2001"/>
    </row>
    <row r="1409" spans="1:32" ht="14">
      <c r="A1409" s="2003"/>
      <c r="B1409" s="2880" t="s">
        <v>4940</v>
      </c>
      <c r="C1409" s="2001"/>
      <c r="D1409" s="2007"/>
      <c r="E1409" s="2007"/>
      <c r="F1409" s="2007"/>
      <c r="G1409" s="2007"/>
      <c r="H1409" s="2007"/>
      <c r="I1409" s="2007"/>
      <c r="J1409" s="2001"/>
      <c r="K1409" s="1987"/>
      <c r="L1409" s="2910" t="s">
        <v>4866</v>
      </c>
      <c r="M1409" s="1987">
        <v>3</v>
      </c>
      <c r="N1409" s="2001"/>
      <c r="O1409" s="2926">
        <f>'Part VIII Scoring Criteria'!O215</f>
        <v>0</v>
      </c>
      <c r="P1409" s="2926">
        <f>'Part VIII Scoring Criteria'!P215</f>
        <v>0</v>
      </c>
      <c r="Q1409" s="2001"/>
      <c r="R1409" s="1973"/>
      <c r="S1409" s="1973"/>
      <c r="T1409" s="1973"/>
      <c r="U1409" s="1973"/>
      <c r="V1409" s="2001"/>
      <c r="W1409" s="2001"/>
      <c r="X1409" s="2001"/>
      <c r="Y1409" s="2001"/>
      <c r="Z1409" s="2001"/>
      <c r="AA1409" s="2001"/>
      <c r="AB1409" s="2001"/>
      <c r="AC1409" s="2001"/>
      <c r="AD1409" s="2001"/>
      <c r="AE1409" s="2001"/>
      <c r="AF1409" s="2001"/>
    </row>
    <row r="1410" spans="1:32" ht="14">
      <c r="A1410" s="1987"/>
      <c r="B1410" s="2882"/>
      <c r="C1410" s="2008" t="s">
        <v>4941</v>
      </c>
      <c r="D1410" s="2008"/>
      <c r="E1410" s="2008"/>
      <c r="F1410" s="2008"/>
      <c r="G1410" s="2008"/>
      <c r="H1410" s="2008"/>
      <c r="I1410" s="2008"/>
      <c r="J1410" s="2008"/>
      <c r="K1410" s="2008"/>
      <c r="L1410" s="2008"/>
      <c r="M1410" s="1987">
        <v>3</v>
      </c>
      <c r="N1410" s="2006"/>
      <c r="O1410" s="2926">
        <f>'Part VIII Scoring Criteria'!O216</f>
        <v>0</v>
      </c>
      <c r="P1410" s="2926">
        <f>'Part VIII Scoring Criteria'!P216</f>
        <v>0</v>
      </c>
      <c r="Q1410" s="2001"/>
      <c r="R1410" s="2001"/>
      <c r="S1410" s="2001"/>
      <c r="T1410" s="2001"/>
      <c r="U1410" s="2001"/>
      <c r="V1410" s="2001"/>
      <c r="W1410" s="2001"/>
      <c r="X1410" s="2001"/>
      <c r="Y1410" s="2001"/>
      <c r="Z1410" s="2001"/>
      <c r="AA1410" s="2001"/>
      <c r="AB1410" s="2001"/>
      <c r="AC1410" s="2001"/>
      <c r="AD1410" s="2001"/>
      <c r="AE1410" s="2001"/>
      <c r="AF1410" s="2001"/>
    </row>
    <row r="1411" spans="1:32" ht="14">
      <c r="A1411" s="2403"/>
      <c r="B1411" s="2001"/>
      <c r="C1411" s="2876"/>
      <c r="D1411" s="2007" t="s">
        <v>4871</v>
      </c>
      <c r="E1411" s="2007"/>
      <c r="F1411" s="2007"/>
      <c r="G1411" s="2007"/>
      <c r="H1411" s="2007"/>
      <c r="I1411" s="2007"/>
      <c r="J1411" s="2007"/>
      <c r="K1411" s="2007"/>
      <c r="L1411" s="2007"/>
      <c r="M1411" s="2006"/>
      <c r="N1411" s="2887"/>
      <c r="O1411" s="2403">
        <f>'Part VIII Scoring Criteria'!O217</f>
        <v>0</v>
      </c>
      <c r="P1411" s="2000"/>
      <c r="Q1411" s="2877"/>
      <c r="R1411" s="2880"/>
      <c r="S1411" s="2001"/>
      <c r="T1411" s="2001"/>
      <c r="U1411" s="2001"/>
      <c r="V1411" s="2001"/>
      <c r="W1411" s="2001"/>
      <c r="X1411" s="2001"/>
      <c r="Y1411" s="2001"/>
      <c r="Z1411" s="2001"/>
      <c r="AA1411" s="2001"/>
      <c r="AB1411" s="2001"/>
      <c r="AC1411" s="2001"/>
      <c r="AD1411" s="2001"/>
      <c r="AE1411" s="2001"/>
      <c r="AF1411" s="2001"/>
    </row>
    <row r="1412" spans="1:32" ht="14">
      <c r="A1412" s="2403"/>
      <c r="B1412" s="2001"/>
      <c r="C1412" s="2876"/>
      <c r="D1412" s="2007" t="s">
        <v>4872</v>
      </c>
      <c r="E1412" s="2007"/>
      <c r="F1412" s="2007"/>
      <c r="G1412" s="2007"/>
      <c r="H1412" s="2007"/>
      <c r="I1412" s="2007"/>
      <c r="J1412" s="2007"/>
      <c r="K1412" s="2007"/>
      <c r="L1412" s="2007"/>
      <c r="M1412" s="2006"/>
      <c r="N1412" s="2887"/>
      <c r="O1412" s="2403">
        <f>'Part VIII Scoring Criteria'!O218</f>
        <v>0</v>
      </c>
      <c r="P1412" s="2929"/>
      <c r="Q1412" s="2877"/>
      <c r="R1412" s="2880"/>
      <c r="S1412" s="2001"/>
      <c r="T1412" s="2001"/>
      <c r="U1412" s="2001"/>
      <c r="V1412" s="2001"/>
      <c r="W1412" s="2001"/>
      <c r="X1412" s="2001"/>
      <c r="Y1412" s="2001"/>
      <c r="Z1412" s="2001"/>
      <c r="AA1412" s="2001"/>
      <c r="AB1412" s="2001"/>
      <c r="AC1412" s="2001"/>
      <c r="AD1412" s="2001"/>
      <c r="AE1412" s="2001"/>
      <c r="AF1412" s="2001"/>
    </row>
    <row r="1413" spans="1:32" ht="14">
      <c r="A1413" s="2403"/>
      <c r="B1413" s="2882"/>
      <c r="C1413" s="2876"/>
      <c r="D1413" s="2007" t="s">
        <v>4873</v>
      </c>
      <c r="E1413" s="2007"/>
      <c r="F1413" s="2007"/>
      <c r="G1413" s="2007"/>
      <c r="H1413" s="2007"/>
      <c r="I1413" s="2007"/>
      <c r="J1413" s="2007"/>
      <c r="K1413" s="2007"/>
      <c r="L1413" s="2007"/>
      <c r="M1413" s="2006"/>
      <c r="N1413" s="2887"/>
      <c r="O1413" s="2403">
        <f>'Part VIII Scoring Criteria'!O219</f>
        <v>0</v>
      </c>
      <c r="P1413" s="2929"/>
      <c r="Q1413" s="2877"/>
      <c r="R1413" s="2880"/>
      <c r="S1413" s="2001"/>
      <c r="T1413" s="2001"/>
      <c r="U1413" s="2001"/>
      <c r="V1413" s="2001"/>
      <c r="W1413" s="2001"/>
      <c r="X1413" s="2001"/>
      <c r="Y1413" s="2001"/>
      <c r="Z1413" s="2001"/>
      <c r="AA1413" s="2001"/>
      <c r="AB1413" s="2001"/>
      <c r="AC1413" s="2001"/>
      <c r="AD1413" s="2001"/>
      <c r="AE1413" s="2001"/>
      <c r="AF1413" s="2001"/>
    </row>
    <row r="1414" spans="1:32" ht="14">
      <c r="A1414" s="1987"/>
      <c r="B1414" s="2001"/>
      <c r="C1414" s="2008" t="s">
        <v>4875</v>
      </c>
      <c r="D1414" s="2001"/>
      <c r="E1414" s="2008"/>
      <c r="F1414" s="2008"/>
      <c r="G1414" s="2008"/>
      <c r="H1414" s="2008"/>
      <c r="I1414" s="2008"/>
      <c r="J1414" s="2008"/>
      <c r="K1414" s="2008"/>
      <c r="L1414" s="2878" t="str">
        <f t="shared" ref="L1414:L1415" si="454">IF(OR($O1414=$M1414,$O1414=0,$O1414=""),"","* * Check Score! * *")</f>
        <v/>
      </c>
      <c r="M1414" s="1987">
        <v>1</v>
      </c>
      <c r="N1414" s="2006"/>
      <c r="O1414" s="2403">
        <f>'Part VIII Scoring Criteria'!O220</f>
        <v>0</v>
      </c>
      <c r="P1414" s="2000"/>
      <c r="Q1414" s="2001"/>
      <c r="R1414" s="2001"/>
      <c r="S1414" s="2001"/>
      <c r="T1414" s="2001"/>
      <c r="U1414" s="2001"/>
      <c r="V1414" s="2001"/>
      <c r="W1414" s="2001"/>
      <c r="X1414" s="2001"/>
      <c r="Y1414" s="2001"/>
      <c r="Z1414" s="2001"/>
      <c r="AA1414" s="2001"/>
      <c r="AB1414" s="2001"/>
      <c r="AC1414" s="2001"/>
      <c r="AD1414" s="2001"/>
      <c r="AE1414" s="2001"/>
      <c r="AF1414" s="2001"/>
    </row>
    <row r="1415" spans="1:32" ht="14">
      <c r="A1415" s="1987"/>
      <c r="B1415" s="2001"/>
      <c r="C1415" s="2008" t="s">
        <v>4968</v>
      </c>
      <c r="D1415" s="2001"/>
      <c r="E1415" s="2008"/>
      <c r="F1415" s="2008"/>
      <c r="G1415" s="2008"/>
      <c r="H1415" s="2008"/>
      <c r="I1415" s="2008"/>
      <c r="J1415" s="2008"/>
      <c r="K1415" s="2008"/>
      <c r="L1415" s="2878" t="str">
        <f t="shared" si="454"/>
        <v/>
      </c>
      <c r="M1415" s="1987">
        <v>2</v>
      </c>
      <c r="N1415" s="2006"/>
      <c r="O1415" s="2403">
        <f>'Part VIII Scoring Criteria'!O221</f>
        <v>0</v>
      </c>
      <c r="P1415" s="2000"/>
      <c r="Q1415" s="2001"/>
      <c r="R1415" s="2001"/>
      <c r="S1415" s="2001"/>
      <c r="T1415" s="2001"/>
      <c r="U1415" s="2001"/>
      <c r="V1415" s="2001"/>
      <c r="W1415" s="2001"/>
      <c r="X1415" s="2001"/>
      <c r="Y1415" s="2001"/>
      <c r="Z1415" s="2001"/>
      <c r="AA1415" s="2001"/>
      <c r="AB1415" s="2001"/>
      <c r="AC1415" s="2001"/>
      <c r="AD1415" s="2001"/>
      <c r="AE1415" s="2001"/>
      <c r="AF1415" s="2001"/>
    </row>
    <row r="1416" spans="1:32" ht="14">
      <c r="A1416" s="2403" t="s">
        <v>1838</v>
      </c>
      <c r="B1416" s="1973" t="s">
        <v>3308</v>
      </c>
      <c r="C1416" s="2008"/>
      <c r="D1416" s="2008"/>
      <c r="E1416" s="2008"/>
      <c r="F1416" s="2008"/>
      <c r="G1416" s="2008"/>
      <c r="H1416" s="2008"/>
      <c r="I1416" s="2008"/>
      <c r="J1416" s="2008"/>
      <c r="K1416" s="2008"/>
      <c r="L1416" s="2910" t="s">
        <v>4866</v>
      </c>
      <c r="M1416" s="2403">
        <v>3</v>
      </c>
      <c r="N1416" s="2006"/>
      <c r="O1416" s="2000">
        <f>'Part VIII Scoring Criteria'!O222</f>
        <v>0</v>
      </c>
      <c r="P1416" s="2000">
        <f>'Part VIII Scoring Criteria'!P222</f>
        <v>0</v>
      </c>
      <c r="Q1416" s="2403"/>
      <c r="R1416" s="2880"/>
      <c r="S1416" s="2001"/>
      <c r="T1416" s="2001"/>
      <c r="U1416" s="2001"/>
      <c r="V1416" s="2001"/>
      <c r="W1416" s="2001"/>
      <c r="X1416" s="2001"/>
      <c r="Y1416" s="2001"/>
      <c r="Z1416" s="2001"/>
      <c r="AA1416" s="2001"/>
      <c r="AB1416" s="2001"/>
      <c r="AC1416" s="2001"/>
      <c r="AD1416" s="2001"/>
      <c r="AE1416" s="2001"/>
      <c r="AF1416" s="2001"/>
    </row>
    <row r="1417" spans="1:32" ht="14">
      <c r="A1417" s="2403"/>
      <c r="B1417" s="1974" t="s">
        <v>4942</v>
      </c>
      <c r="C1417" s="2008"/>
      <c r="D1417" s="2008"/>
      <c r="E1417" s="2008"/>
      <c r="F1417" s="2008"/>
      <c r="G1417" s="2008"/>
      <c r="H1417" s="2008"/>
      <c r="I1417" s="2008"/>
      <c r="J1417" s="2008"/>
      <c r="K1417" s="2008"/>
      <c r="L1417" s="2910"/>
      <c r="M1417" s="2403"/>
      <c r="N1417" s="2006"/>
      <c r="O1417" s="2403">
        <f>'Part VIII Scoring Criteria'!O223</f>
        <v>0</v>
      </c>
      <c r="P1417" s="2929"/>
      <c r="Q1417" s="2403"/>
      <c r="R1417" s="2880"/>
      <c r="S1417" s="2001"/>
      <c r="T1417" s="2001"/>
      <c r="U1417" s="2001"/>
      <c r="V1417" s="2001"/>
      <c r="W1417" s="2001"/>
      <c r="X1417" s="2001"/>
      <c r="Y1417" s="2001"/>
      <c r="Z1417" s="2001"/>
      <c r="AA1417" s="2001"/>
      <c r="AB1417" s="2001"/>
      <c r="AC1417" s="2001"/>
      <c r="AD1417" s="2001"/>
      <c r="AE1417" s="2001"/>
      <c r="AF1417" s="2001"/>
    </row>
    <row r="1418" spans="1:32" ht="14">
      <c r="A1418" s="2398"/>
      <c r="B1418" s="2963" t="s">
        <v>1839</v>
      </c>
      <c r="C1418" s="2008" t="s">
        <v>4876</v>
      </c>
      <c r="D1418" s="2008"/>
      <c r="E1418" s="2008"/>
      <c r="F1418" s="2008"/>
      <c r="G1418" s="2008"/>
      <c r="H1418" s="2008"/>
      <c r="I1418" s="2001"/>
      <c r="J1418" s="2001"/>
      <c r="K1418" s="2001"/>
      <c r="L1418" s="2910" t="s">
        <v>4866</v>
      </c>
      <c r="M1418" s="1987">
        <v>3</v>
      </c>
      <c r="N1418" s="2006"/>
      <c r="O1418" s="2926">
        <f>'Part VIII Scoring Criteria'!O224</f>
        <v>0</v>
      </c>
      <c r="P1418" s="2926">
        <f>'Part VIII Scoring Criteria'!P224</f>
        <v>0</v>
      </c>
      <c r="Q1418" s="2403"/>
      <c r="R1418" s="2880"/>
      <c r="S1418" s="2001"/>
      <c r="T1418" s="2001"/>
      <c r="U1418" s="2001"/>
      <c r="V1418" s="2001"/>
      <c r="W1418" s="2001"/>
      <c r="X1418" s="2001"/>
      <c r="Y1418" s="2001"/>
      <c r="Z1418" s="2001"/>
      <c r="AA1418" s="2001"/>
      <c r="AB1418" s="2001"/>
      <c r="AC1418" s="2001"/>
      <c r="AD1418" s="2001"/>
      <c r="AE1418" s="2001"/>
      <c r="AF1418" s="2001"/>
    </row>
    <row r="1419" spans="1:32" ht="14">
      <c r="A1419" s="2001"/>
      <c r="B1419" s="2882" t="s">
        <v>1958</v>
      </c>
      <c r="C1419" s="2001" t="s">
        <v>4943</v>
      </c>
      <c r="D1419" s="2001"/>
      <c r="E1419" s="2001"/>
      <c r="F1419" s="2001"/>
      <c r="G1419" s="2001"/>
      <c r="H1419" s="2001"/>
      <c r="I1419" s="2001"/>
      <c r="J1419" s="2001"/>
      <c r="K1419" s="2001"/>
      <c r="L1419" s="2878" t="str">
        <f>IF(OR($O1419=$M1419,$O1419=0,$O1419=""),"","* * Check Score! * *")</f>
        <v/>
      </c>
      <c r="M1419" s="1992">
        <v>1</v>
      </c>
      <c r="N1419" s="1992"/>
      <c r="O1419" s="2403">
        <f>'Part VIII Scoring Criteria'!O225</f>
        <v>0</v>
      </c>
      <c r="P1419" s="2000"/>
      <c r="Q1419" s="2001"/>
      <c r="R1419" s="2001"/>
      <c r="S1419" s="2001"/>
      <c r="T1419" s="2001"/>
      <c r="U1419" s="2001"/>
      <c r="V1419" s="2001"/>
      <c r="W1419" s="2001"/>
      <c r="X1419" s="2001"/>
      <c r="Y1419" s="2001"/>
      <c r="Z1419" s="2001"/>
      <c r="AA1419" s="2001"/>
      <c r="AB1419" s="2001"/>
      <c r="AC1419" s="2001"/>
      <c r="AD1419" s="2001"/>
      <c r="AE1419" s="2001"/>
      <c r="AF1419" s="2001"/>
    </row>
    <row r="1420" spans="1:32" ht="14">
      <c r="A1420" s="2001"/>
      <c r="B1420" s="2882" t="s">
        <v>1959</v>
      </c>
      <c r="C1420" s="2001" t="s">
        <v>4877</v>
      </c>
      <c r="D1420" s="2001"/>
      <c r="E1420" s="2001"/>
      <c r="F1420" s="2001"/>
      <c r="G1420" s="2001"/>
      <c r="H1420" s="2001"/>
      <c r="I1420" s="2001"/>
      <c r="J1420" s="2001"/>
      <c r="K1420" s="2001"/>
      <c r="L1420" s="2878" t="str">
        <f t="shared" ref="L1420" si="455">IF(OR($O1420=$M1420,$O1420=0,$O1420=""),"","* * Check Score! * *")</f>
        <v/>
      </c>
      <c r="M1420" s="1992">
        <v>1</v>
      </c>
      <c r="N1420" s="1992"/>
      <c r="O1420" s="2403">
        <f>'Part VIII Scoring Criteria'!O226</f>
        <v>0</v>
      </c>
      <c r="P1420" s="2000"/>
      <c r="Q1420" s="2001"/>
      <c r="R1420" s="2001"/>
      <c r="S1420" s="2001"/>
      <c r="T1420" s="2001"/>
      <c r="U1420" s="2001"/>
      <c r="V1420" s="2001"/>
      <c r="W1420" s="2001"/>
      <c r="X1420" s="2001"/>
      <c r="Y1420" s="2001"/>
      <c r="Z1420" s="2001"/>
      <c r="AA1420" s="2001"/>
      <c r="AB1420" s="2001"/>
      <c r="AC1420" s="2001"/>
      <c r="AD1420" s="2001"/>
      <c r="AE1420" s="2001"/>
      <c r="AF1420" s="2001"/>
    </row>
    <row r="1421" spans="1:32" ht="14">
      <c r="A1421" s="2001"/>
      <c r="B1421" s="2882" t="s">
        <v>1608</v>
      </c>
      <c r="C1421" s="2001" t="s">
        <v>4944</v>
      </c>
      <c r="D1421" s="2001"/>
      <c r="E1421" s="2001"/>
      <c r="F1421" s="2001"/>
      <c r="G1421" s="2001"/>
      <c r="H1421" s="2001"/>
      <c r="I1421" s="2001"/>
      <c r="J1421" s="2001"/>
      <c r="K1421" s="2001"/>
      <c r="L1421" s="2878"/>
      <c r="M1421" s="1992">
        <v>1</v>
      </c>
      <c r="N1421" s="1992"/>
      <c r="O1421" s="2403">
        <f>'Part VIII Scoring Criteria'!O227</f>
        <v>0</v>
      </c>
      <c r="P1421" s="2000"/>
      <c r="Q1421" s="2001"/>
      <c r="R1421" s="2001"/>
      <c r="S1421" s="2001"/>
      <c r="T1421" s="2001"/>
      <c r="U1421" s="2001"/>
      <c r="V1421" s="2001"/>
      <c r="W1421" s="2001"/>
      <c r="X1421" s="2001"/>
      <c r="Y1421" s="2001"/>
      <c r="Z1421" s="2001"/>
      <c r="AA1421" s="2001"/>
      <c r="AB1421" s="2001"/>
      <c r="AC1421" s="2001"/>
      <c r="AD1421" s="2001"/>
      <c r="AE1421" s="2001"/>
      <c r="AF1421" s="2001"/>
    </row>
    <row r="1422" spans="1:32" ht="14">
      <c r="A1422" s="2398"/>
      <c r="B1422" s="2881" t="s">
        <v>1841</v>
      </c>
      <c r="C1422" s="1974" t="s">
        <v>4878</v>
      </c>
      <c r="D1422" s="2910"/>
      <c r="E1422" s="2008"/>
      <c r="F1422" s="2008"/>
      <c r="G1422" s="2008"/>
      <c r="H1422" s="2008"/>
      <c r="I1422" s="2001"/>
      <c r="J1422" s="2001"/>
      <c r="K1422" s="2001"/>
      <c r="L1422" s="2001"/>
      <c r="M1422" s="1987">
        <v>2</v>
      </c>
      <c r="N1422" s="2964" t="str">
        <f>IF(OR(O$265&gt;0,O$238&gt;0),"Applicant is ineligible for points in this section!  Points claimed in Stable Communities or Community Designations.","")</f>
        <v/>
      </c>
      <c r="O1422" s="2403">
        <f>'Part VIII Scoring Criteria'!O228</f>
        <v>0</v>
      </c>
      <c r="P1422" s="2000"/>
      <c r="Q1422" s="2403"/>
      <c r="R1422" s="1973"/>
      <c r="S1422" s="1973"/>
      <c r="T1422" s="1973"/>
      <c r="U1422" s="1973"/>
      <c r="V1422" s="2001"/>
      <c r="W1422" s="2001"/>
      <c r="X1422" s="2001"/>
      <c r="Y1422" s="2001"/>
      <c r="Z1422" s="2001"/>
      <c r="AA1422" s="2001"/>
      <c r="AB1422" s="2001"/>
      <c r="AC1422" s="2001"/>
      <c r="AD1422" s="2001"/>
      <c r="AE1422" s="2001"/>
      <c r="AF1422" s="2001"/>
    </row>
    <row r="1423" spans="1:32" ht="14">
      <c r="A1423" s="2403" t="s">
        <v>697</v>
      </c>
      <c r="B1423" s="1973" t="s">
        <v>4825</v>
      </c>
      <c r="C1423" s="2001"/>
      <c r="D1423" s="1974"/>
      <c r="E1423" s="2001"/>
      <c r="F1423" s="2965"/>
      <c r="G1423" s="2001"/>
      <c r="H1423" s="2001"/>
      <c r="I1423" s="2001"/>
      <c r="J1423" s="2001"/>
      <c r="K1423" s="2406"/>
      <c r="L1423" s="2910" t="s">
        <v>4866</v>
      </c>
      <c r="M1423" s="2403">
        <v>3</v>
      </c>
      <c r="N1423" s="2401"/>
      <c r="O1423" s="2871">
        <f>'Part VIII Scoring Criteria'!O229</f>
        <v>0</v>
      </c>
      <c r="P1423" s="2871">
        <f>'Part VIII Scoring Criteria'!P229</f>
        <v>0</v>
      </c>
      <c r="Q1423" s="2879"/>
      <c r="R1423" s="2880"/>
      <c r="S1423" s="2001"/>
      <c r="T1423" s="2001"/>
      <c r="U1423" s="2001"/>
      <c r="V1423" s="2001"/>
      <c r="W1423" s="2001"/>
      <c r="X1423" s="2001"/>
      <c r="Y1423" s="2001"/>
      <c r="Z1423" s="2001"/>
      <c r="AA1423" s="2001"/>
      <c r="AB1423" s="2001"/>
      <c r="AC1423" s="2001"/>
      <c r="AD1423" s="2001"/>
      <c r="AE1423" s="2001"/>
      <c r="AF1423" s="2001"/>
    </row>
    <row r="1424" spans="1:32" ht="14">
      <c r="A1424" s="1974"/>
      <c r="B1424" s="2963" t="s">
        <v>1839</v>
      </c>
      <c r="C1424" s="2008" t="s">
        <v>3698</v>
      </c>
      <c r="D1424" s="2008"/>
      <c r="E1424" s="2008"/>
      <c r="F1424" s="2008"/>
      <c r="G1424" s="2008"/>
      <c r="H1424" s="2008"/>
      <c r="I1424" s="2008"/>
      <c r="J1424" s="2008"/>
      <c r="K1424" s="2008"/>
      <c r="L1424" s="2910" t="s">
        <v>4866</v>
      </c>
      <c r="M1424" s="2006">
        <v>2</v>
      </c>
      <c r="N1424" s="2006"/>
      <c r="O1424" s="2943">
        <f>'Part VIII Scoring Criteria'!O230</f>
        <v>0</v>
      </c>
      <c r="P1424" s="2943"/>
      <c r="Q1424" s="2001"/>
      <c r="R1424" s="2001"/>
      <c r="S1424" s="2001"/>
      <c r="T1424" s="2001"/>
      <c r="U1424" s="2001"/>
      <c r="V1424" s="2001"/>
      <c r="W1424" s="2001"/>
      <c r="X1424" s="2001"/>
      <c r="Y1424" s="2001"/>
      <c r="Z1424" s="2001"/>
      <c r="AA1424" s="2001"/>
      <c r="AB1424" s="2001"/>
      <c r="AC1424" s="2001"/>
      <c r="AD1424" s="2001"/>
      <c r="AE1424" s="2001"/>
      <c r="AF1424" s="2001"/>
    </row>
    <row r="1425" spans="1:32" ht="14">
      <c r="A1425" s="1974"/>
      <c r="B1425" s="2881" t="s">
        <v>1841</v>
      </c>
      <c r="C1425" s="2008" t="s">
        <v>4879</v>
      </c>
      <c r="D1425" s="2008"/>
      <c r="E1425" s="2008"/>
      <c r="F1425" s="2008"/>
      <c r="G1425" s="2008"/>
      <c r="H1425" s="2008"/>
      <c r="I1425" s="2008"/>
      <c r="J1425" s="2008"/>
      <c r="K1425" s="2008"/>
      <c r="L1425" s="2008"/>
      <c r="M1425" s="2006">
        <v>1</v>
      </c>
      <c r="N1425" s="2006"/>
      <c r="O1425" s="2943">
        <f>'Part VIII Scoring Criteria'!O231</f>
        <v>0</v>
      </c>
      <c r="P1425" s="2943"/>
      <c r="Q1425" s="2001"/>
      <c r="R1425" s="2001"/>
      <c r="S1425" s="2001"/>
      <c r="T1425" s="2001"/>
      <c r="U1425" s="2001"/>
      <c r="V1425" s="2001"/>
      <c r="W1425" s="2001"/>
      <c r="X1425" s="2001"/>
      <c r="Y1425" s="2001"/>
      <c r="Z1425" s="2001"/>
      <c r="AA1425" s="2001"/>
      <c r="AB1425" s="2001"/>
      <c r="AC1425" s="2001"/>
      <c r="AD1425" s="2001"/>
      <c r="AE1425" s="2001"/>
      <c r="AF1425" s="2001"/>
    </row>
    <row r="1426" spans="1:32" ht="14.5">
      <c r="A1426" s="1974"/>
      <c r="B1426" s="2872" t="s">
        <v>5176</v>
      </c>
      <c r="C1426" s="1974"/>
      <c r="D1426" s="1974"/>
      <c r="E1426" s="1974"/>
      <c r="F1426" s="1974"/>
      <c r="G1426" s="1974"/>
      <c r="H1426" s="1974"/>
      <c r="I1426" s="1974"/>
      <c r="J1426" s="1974"/>
      <c r="K1426" s="1974"/>
      <c r="L1426" s="2001"/>
      <c r="M1426" s="1987"/>
      <c r="N1426" s="1992"/>
      <c r="O1426" s="2000"/>
      <c r="P1426" s="2003"/>
      <c r="Q1426" s="1974"/>
      <c r="R1426" s="1974"/>
      <c r="S1426" s="1974"/>
      <c r="T1426" s="1974"/>
      <c r="U1426" s="1974"/>
      <c r="V1426" s="1974"/>
      <c r="W1426" s="1974"/>
      <c r="X1426" s="1974"/>
      <c r="Y1426" s="1974"/>
      <c r="Z1426" s="1974"/>
      <c r="AA1426" s="1974"/>
      <c r="AB1426" s="1974"/>
      <c r="AC1426" s="1974"/>
      <c r="AD1426" s="1974"/>
      <c r="AE1426" s="1974"/>
      <c r="AF1426" s="1974"/>
    </row>
    <row r="1427" spans="1:32" ht="14">
      <c r="A1427" s="2008" t="str">
        <f>'Part VIII Scoring Criteria'!A233</f>
        <v xml:space="preserve">N/A Stable Communites has been selected. </v>
      </c>
      <c r="B1427" s="2007"/>
      <c r="C1427" s="2007"/>
      <c r="D1427" s="2007"/>
      <c r="E1427" s="2007"/>
      <c r="F1427" s="2007"/>
      <c r="G1427" s="2007"/>
      <c r="H1427" s="2007"/>
      <c r="I1427" s="2007"/>
      <c r="J1427" s="2007"/>
      <c r="K1427" s="2007"/>
      <c r="L1427" s="2007"/>
      <c r="M1427" s="2007"/>
      <c r="N1427" s="2007"/>
      <c r="O1427" s="2007"/>
      <c r="P1427" s="2007"/>
      <c r="Q1427" s="1973"/>
      <c r="R1427" s="2001"/>
      <c r="S1427" s="2001"/>
      <c r="T1427" s="2001"/>
      <c r="U1427" s="2001"/>
      <c r="V1427" s="2001"/>
      <c r="W1427" s="2001"/>
      <c r="X1427" s="2001"/>
      <c r="Y1427" s="2001"/>
      <c r="Z1427" s="2001"/>
      <c r="AA1427" s="2001"/>
      <c r="AB1427" s="2001"/>
      <c r="AC1427" s="2001"/>
      <c r="AD1427" s="2001"/>
      <c r="AE1427" s="2001"/>
      <c r="AF1427" s="2001"/>
    </row>
    <row r="1428" spans="1:32" ht="14.5">
      <c r="A1428" s="1974"/>
      <c r="B1428" s="2872" t="s">
        <v>1725</v>
      </c>
      <c r="C1428" s="1974"/>
      <c r="D1428" s="2872"/>
      <c r="E1428" s="1974"/>
      <c r="F1428" s="1974"/>
      <c r="G1428" s="1974"/>
      <c r="H1428" s="1974"/>
      <c r="I1428" s="1974"/>
      <c r="J1428" s="1974"/>
      <c r="K1428" s="1974"/>
      <c r="L1428" s="1974"/>
      <c r="M1428" s="1974"/>
      <c r="N1428" s="1974"/>
      <c r="O1428" s="1973"/>
      <c r="P1428" s="1973"/>
      <c r="Q1428" s="2001"/>
      <c r="R1428" s="1974"/>
      <c r="S1428" s="1974"/>
      <c r="T1428" s="1974"/>
      <c r="U1428" s="1974"/>
      <c r="V1428" s="1974"/>
      <c r="W1428" s="1974"/>
      <c r="X1428" s="1974"/>
      <c r="Y1428" s="1974"/>
      <c r="Z1428" s="1974"/>
      <c r="AA1428" s="1974"/>
      <c r="AB1428" s="1974"/>
      <c r="AC1428" s="1974"/>
      <c r="AD1428" s="1974"/>
      <c r="AE1428" s="1974"/>
      <c r="AF1428" s="1974"/>
    </row>
    <row r="1429" spans="1:32" ht="14">
      <c r="A1429" s="2007"/>
      <c r="B1429" s="2007"/>
      <c r="C1429" s="2007"/>
      <c r="D1429" s="2007"/>
      <c r="E1429" s="2007"/>
      <c r="F1429" s="2007"/>
      <c r="G1429" s="2007"/>
      <c r="H1429" s="2007"/>
      <c r="I1429" s="2007"/>
      <c r="J1429" s="2007"/>
      <c r="K1429" s="2007"/>
      <c r="L1429" s="2007"/>
      <c r="M1429" s="2007"/>
      <c r="N1429" s="2007"/>
      <c r="O1429" s="2007"/>
      <c r="P1429" s="2007"/>
      <c r="Q1429" s="1973"/>
      <c r="R1429" s="2001"/>
      <c r="S1429" s="2001"/>
      <c r="T1429" s="2001"/>
      <c r="U1429" s="2001"/>
      <c r="V1429" s="2001"/>
      <c r="W1429" s="2001"/>
      <c r="X1429" s="2001"/>
      <c r="Y1429" s="2001"/>
      <c r="Z1429" s="2001"/>
      <c r="AA1429" s="2001"/>
      <c r="AB1429" s="2001"/>
      <c r="AC1429" s="2001"/>
      <c r="AD1429" s="2001"/>
      <c r="AE1429" s="2001"/>
      <c r="AF1429" s="2001"/>
    </row>
    <row r="1430" spans="1:32" ht="14">
      <c r="A1430" s="2001"/>
      <c r="B1430" s="2001"/>
      <c r="C1430" s="2001"/>
      <c r="D1430" s="2001"/>
      <c r="E1430" s="2001"/>
      <c r="F1430" s="2001"/>
      <c r="G1430" s="2001"/>
      <c r="H1430" s="2001"/>
      <c r="I1430" s="2001"/>
      <c r="J1430" s="2001"/>
      <c r="K1430" s="2001"/>
      <c r="L1430" s="2001"/>
      <c r="M1430" s="2001"/>
      <c r="N1430" s="2001"/>
      <c r="O1430" s="2009"/>
      <c r="P1430" s="2009"/>
      <c r="Q1430" s="2001"/>
      <c r="R1430" s="2001"/>
      <c r="S1430" s="2001"/>
      <c r="T1430" s="2001"/>
      <c r="U1430" s="2001"/>
      <c r="V1430" s="2001"/>
      <c r="W1430" s="2001"/>
      <c r="X1430" s="2001"/>
      <c r="Y1430" s="2001"/>
      <c r="Z1430" s="2001"/>
      <c r="AA1430" s="2001"/>
      <c r="AB1430" s="2001"/>
      <c r="AC1430" s="2001"/>
      <c r="AD1430" s="2001"/>
      <c r="AE1430" s="2001"/>
      <c r="AF1430" s="2001"/>
    </row>
    <row r="1431" spans="1:32" ht="14">
      <c r="A1431" s="2001"/>
      <c r="B1431" s="2001"/>
      <c r="C1431" s="2001"/>
      <c r="D1431" s="2001"/>
      <c r="E1431" s="2001"/>
      <c r="F1431" s="2001"/>
      <c r="G1431" s="2001"/>
      <c r="H1431" s="2001"/>
      <c r="I1431" s="2001"/>
      <c r="J1431" s="2001"/>
      <c r="K1431" s="2001"/>
      <c r="L1431" s="2001"/>
      <c r="M1431" s="2001"/>
      <c r="N1431" s="1992"/>
      <c r="O1431" s="2003"/>
      <c r="P1431" s="2003"/>
      <c r="Q1431" s="2001"/>
      <c r="R1431" s="2001"/>
      <c r="S1431" s="2001"/>
      <c r="T1431" s="2001"/>
      <c r="U1431" s="2001"/>
      <c r="V1431" s="2001"/>
      <c r="W1431" s="2001"/>
      <c r="X1431" s="2001"/>
      <c r="Y1431" s="2001"/>
      <c r="Z1431" s="2001"/>
      <c r="AA1431" s="2001"/>
      <c r="AB1431" s="2001"/>
      <c r="AC1431" s="2001"/>
      <c r="AD1431" s="2001"/>
      <c r="AE1431" s="2001"/>
      <c r="AF1431" s="2001"/>
    </row>
    <row r="1432" spans="1:32" ht="14">
      <c r="A1432" s="2398" t="s">
        <v>2075</v>
      </c>
      <c r="B1432" s="2399" t="s">
        <v>2491</v>
      </c>
      <c r="C1432" s="1974"/>
      <c r="D1432" s="2399"/>
      <c r="E1432" s="2399"/>
      <c r="F1432" s="2004" t="s">
        <v>424</v>
      </c>
      <c r="G1432" s="2004" t="str">
        <f>'Part I-Project Identification'!$P$26</f>
        <v>Yes</v>
      </c>
      <c r="H1432" s="1974"/>
      <c r="I1432" s="1974"/>
      <c r="J1432" s="1974"/>
      <c r="K1432" s="2406" t="str">
        <f>IF(OR($O$206&gt;0,$O$265&gt;0,$O$304&gt;0),"Points already claimed in another restricted section!","")</f>
        <v/>
      </c>
      <c r="L1432" s="2878" t="str">
        <f>IF(OR($O1432=$M1432,$O1432=0,$O1432=""),"",IF(OR($O1432&lt;$J$251,$O1432&gt;$J$251),"* * Check Score! * *",""))</f>
        <v>* * Check Score! * *</v>
      </c>
      <c r="M1432" s="2403">
        <v>10</v>
      </c>
      <c r="N1432" s="1987"/>
      <c r="O1432" s="2000">
        <f>'Part VIII Scoring Criteria'!O238</f>
        <v>8</v>
      </c>
      <c r="P1432" s="2000">
        <f>'Part VIII Scoring Criteria'!P238</f>
        <v>0</v>
      </c>
      <c r="Q1432" s="2403" t="s">
        <v>415</v>
      </c>
      <c r="R1432" s="2961" t="s">
        <v>4957</v>
      </c>
      <c r="S1432" s="1973"/>
      <c r="T1432" s="1973"/>
      <c r="U1432" s="1973"/>
      <c r="V1432" s="2957" t="str">
        <f>'Part VIII Scoring Criteria'!V238</f>
        <v>Stable Communities</v>
      </c>
      <c r="W1432" s="2001"/>
      <c r="X1432" s="2001"/>
      <c r="Y1432" s="1974"/>
      <c r="Z1432" s="1974"/>
      <c r="AA1432" s="1974"/>
      <c r="AB1432" s="1974"/>
      <c r="AC1432" s="1974"/>
      <c r="AD1432" s="1974"/>
      <c r="AE1432" s="1974"/>
      <c r="AF1432" s="1974"/>
    </row>
    <row r="1433" spans="1:32" ht="14">
      <c r="A1433" s="2398"/>
      <c r="B1433" s="2399"/>
      <c r="C1433" s="1974"/>
      <c r="D1433" s="2399"/>
      <c r="E1433" s="2399"/>
      <c r="F1433" s="2004" t="s">
        <v>4986</v>
      </c>
      <c r="G1433" s="1974"/>
      <c r="H1433" s="1974"/>
      <c r="I1433" s="1974"/>
      <c r="J1433" s="1974"/>
      <c r="K1433" s="1974"/>
      <c r="L1433" s="2406"/>
      <c r="M1433" s="2403"/>
      <c r="N1433" s="1987"/>
      <c r="O1433" s="2000">
        <f>MAX(J1445,O1432)</f>
        <v>8</v>
      </c>
      <c r="P1433" s="2000">
        <f>MAX(K1445,P1432)</f>
        <v>0</v>
      </c>
      <c r="Q1433" s="2403"/>
      <c r="R1433" s="2880"/>
      <c r="S1433" s="1973"/>
      <c r="T1433" s="1973"/>
      <c r="U1433" s="1973"/>
      <c r="V1433" s="2001"/>
      <c r="W1433" s="2001"/>
      <c r="X1433" s="2001"/>
      <c r="Y1433" s="1974"/>
      <c r="Z1433" s="1974"/>
      <c r="AA1433" s="1974"/>
      <c r="AB1433" s="1974"/>
      <c r="AC1433" s="1974"/>
      <c r="AD1433" s="1974"/>
      <c r="AE1433" s="1974"/>
      <c r="AF1433" s="1974"/>
    </row>
    <row r="1434" spans="1:32" ht="14">
      <c r="A1434" s="2398"/>
      <c r="B1434" s="1973" t="s">
        <v>4880</v>
      </c>
      <c r="C1434" s="1974"/>
      <c r="D1434" s="2399"/>
      <c r="E1434" s="1974"/>
      <c r="F1434" s="1974"/>
      <c r="G1434" s="1974"/>
      <c r="H1434" s="1974"/>
      <c r="I1434" s="1974"/>
      <c r="J1434" s="2403" t="s">
        <v>2881</v>
      </c>
      <c r="K1434" s="2966" t="s">
        <v>245</v>
      </c>
      <c r="L1434" s="2406"/>
      <c r="M1434" s="2403"/>
      <c r="N1434" s="1987"/>
      <c r="O1434" s="2000"/>
      <c r="P1434" s="2000"/>
      <c r="Q1434" s="2403"/>
      <c r="R1434" s="2880"/>
      <c r="S1434" s="1973"/>
      <c r="T1434" s="1973"/>
      <c r="U1434" s="1973"/>
      <c r="V1434" s="2001"/>
      <c r="W1434" s="2001"/>
      <c r="X1434" s="2001"/>
      <c r="Y1434" s="1974"/>
      <c r="Z1434" s="1974"/>
      <c r="AA1434" s="1974"/>
      <c r="AB1434" s="1974"/>
      <c r="AC1434" s="1974"/>
      <c r="AD1434" s="1974"/>
      <c r="AE1434" s="1974"/>
      <c r="AF1434" s="1974"/>
    </row>
    <row r="1435" spans="1:32" ht="15" customHeight="1">
      <c r="A1435" s="2398"/>
      <c r="B1435" s="2963"/>
      <c r="C1435" s="2007"/>
      <c r="D1435" s="2007"/>
      <c r="E1435" s="2007"/>
      <c r="F1435" s="1974"/>
      <c r="G1435" s="1974"/>
      <c r="H1435" s="1974"/>
      <c r="I1435" s="2007"/>
      <c r="J1435" s="2007"/>
      <c r="K1435" s="1974"/>
      <c r="L1435" s="2007"/>
      <c r="M1435" s="2007"/>
      <c r="N1435" s="1974"/>
      <c r="O1435" s="1974"/>
      <c r="P1435" s="1974"/>
      <c r="Q1435" s="2403"/>
      <c r="R1435" s="2880"/>
      <c r="S1435" s="1973"/>
      <c r="T1435" s="1973"/>
      <c r="U1435" s="1973"/>
      <c r="V1435" s="2001"/>
      <c r="W1435" s="2001"/>
      <c r="X1435" s="2001"/>
      <c r="Y1435" s="1974"/>
      <c r="Z1435" s="1974"/>
      <c r="AA1435" s="1974"/>
      <c r="AB1435" s="1974"/>
      <c r="AC1435" s="1974"/>
      <c r="AD1435" s="1974"/>
      <c r="AE1435" s="1974"/>
      <c r="AF1435" s="1974"/>
    </row>
    <row r="1436" spans="1:32" ht="14">
      <c r="A1436" s="2398"/>
      <c r="B1436" s="2963"/>
      <c r="C1436" s="2007"/>
      <c r="D1436" s="2007"/>
      <c r="E1436" s="2007"/>
      <c r="F1436" s="1974"/>
      <c r="G1436" s="1974"/>
      <c r="H1436" s="2007"/>
      <c r="I1436" s="2007"/>
      <c r="J1436" s="2007"/>
      <c r="K1436" s="2007"/>
      <c r="L1436" s="2007"/>
      <c r="M1436" s="2007"/>
      <c r="N1436" s="1974"/>
      <c r="O1436" s="1974"/>
      <c r="P1436" s="1974"/>
      <c r="Q1436" s="2403"/>
      <c r="R1436" s="2880"/>
      <c r="S1436" s="1973"/>
      <c r="T1436" s="1973"/>
      <c r="U1436" s="1973"/>
      <c r="V1436" s="2001"/>
      <c r="W1436" s="2001"/>
      <c r="X1436" s="2001"/>
      <c r="Y1436" s="1974"/>
      <c r="Z1436" s="1974"/>
      <c r="AA1436" s="1974"/>
      <c r="AB1436" s="1974"/>
      <c r="AC1436" s="1974"/>
      <c r="AD1436" s="1974"/>
      <c r="AE1436" s="1974"/>
      <c r="AF1436" s="1974"/>
    </row>
    <row r="1437" spans="1:32" ht="14">
      <c r="A1437" s="2398"/>
      <c r="B1437" s="2399"/>
      <c r="C1437" s="1974"/>
      <c r="D1437" s="2399"/>
      <c r="E1437" s="2399"/>
      <c r="F1437" s="1974"/>
      <c r="G1437" s="1974"/>
      <c r="H1437" s="1974"/>
      <c r="I1437" s="1974"/>
      <c r="J1437" s="1974"/>
      <c r="K1437" s="1974"/>
      <c r="L1437" s="2406"/>
      <c r="M1437" s="2403"/>
      <c r="N1437" s="1987"/>
      <c r="O1437" s="2000"/>
      <c r="P1437" s="2000"/>
      <c r="Q1437" s="2403"/>
      <c r="R1437" s="2880"/>
      <c r="S1437" s="1973"/>
      <c r="T1437" s="1973"/>
      <c r="U1437" s="1973"/>
      <c r="V1437" s="2001"/>
      <c r="W1437" s="2001"/>
      <c r="X1437" s="2001"/>
      <c r="Y1437" s="1974"/>
      <c r="Z1437" s="1974"/>
      <c r="AA1437" s="1974"/>
      <c r="AB1437" s="1974"/>
      <c r="AC1437" s="1974"/>
      <c r="AD1437" s="1974"/>
      <c r="AE1437" s="1974"/>
      <c r="AF1437" s="1974"/>
    </row>
    <row r="1438" spans="1:32" ht="14">
      <c r="A1438" s="2001"/>
      <c r="B1438" s="2001"/>
      <c r="C1438" s="2942"/>
      <c r="D1438" s="2001"/>
      <c r="E1438" s="2001"/>
      <c r="F1438" s="2001"/>
      <c r="G1438" s="2001"/>
      <c r="H1438" s="2001"/>
      <c r="I1438" s="2001"/>
      <c r="J1438" s="2967"/>
      <c r="K1438" s="2967"/>
      <c r="L1438" s="2967"/>
      <c r="M1438" s="2967"/>
      <c r="N1438" s="1987"/>
      <c r="O1438" s="1987"/>
      <c r="P1438" s="1987"/>
      <c r="Q1438" s="2001"/>
      <c r="R1438" s="2880"/>
      <c r="S1438" s="1973"/>
      <c r="T1438" s="2001"/>
      <c r="U1438" s="2001"/>
      <c r="V1438" s="2001"/>
      <c r="W1438" s="2001"/>
      <c r="X1438" s="2001"/>
      <c r="Y1438" s="2001"/>
      <c r="Z1438" s="2001"/>
      <c r="AA1438" s="2001"/>
      <c r="AB1438" s="2001"/>
      <c r="AC1438" s="2001"/>
      <c r="AD1438" s="2001"/>
      <c r="AE1438" s="2001"/>
      <c r="AF1438" s="2001"/>
    </row>
    <row r="1439" spans="1:32" ht="14">
      <c r="A1439" s="2398"/>
      <c r="B1439" s="2399"/>
      <c r="C1439" s="1974"/>
      <c r="D1439" s="2399"/>
      <c r="E1439" s="2399"/>
      <c r="F1439" s="1974"/>
      <c r="G1439" s="1974"/>
      <c r="H1439" s="1974"/>
      <c r="I1439" s="1974"/>
      <c r="J1439" s="1974"/>
      <c r="K1439" s="1974"/>
      <c r="L1439" s="1973"/>
      <c r="M1439" s="1973"/>
      <c r="N1439" s="1987"/>
      <c r="O1439" s="2000"/>
      <c r="P1439" s="2000"/>
      <c r="Q1439" s="2403"/>
      <c r="R1439" s="2880"/>
      <c r="S1439" s="1973"/>
      <c r="T1439" s="1973"/>
      <c r="U1439" s="1973"/>
      <c r="V1439" s="2001"/>
      <c r="W1439" s="2001"/>
      <c r="X1439" s="2001"/>
      <c r="Y1439" s="1974"/>
      <c r="Z1439" s="1974"/>
      <c r="AA1439" s="1974"/>
      <c r="AB1439" s="1974"/>
      <c r="AC1439" s="1974"/>
      <c r="AD1439" s="1974"/>
      <c r="AE1439" s="1974"/>
      <c r="AF1439" s="1974"/>
    </row>
    <row r="1440" spans="1:32" ht="14">
      <c r="A1440" s="2398"/>
      <c r="B1440" s="1974"/>
      <c r="C1440" s="1974"/>
      <c r="D1440" s="1974"/>
      <c r="E1440" s="2399"/>
      <c r="F1440" s="1974"/>
      <c r="G1440" s="1974"/>
      <c r="H1440" s="1974"/>
      <c r="I1440" s="1974"/>
      <c r="J1440" s="2403"/>
      <c r="K1440" s="2403"/>
      <c r="L1440" s="2403"/>
      <c r="M1440" s="2403"/>
      <c r="N1440" s="1987"/>
      <c r="O1440" s="2000"/>
      <c r="P1440" s="2000"/>
      <c r="Q1440" s="2403"/>
      <c r="R1440" s="2880"/>
      <c r="S1440" s="1973"/>
      <c r="T1440" s="1973"/>
      <c r="U1440" s="1973"/>
      <c r="V1440" s="2001"/>
      <c r="W1440" s="2001"/>
      <c r="X1440" s="2001"/>
      <c r="Y1440" s="1974"/>
      <c r="Z1440" s="1974"/>
      <c r="AA1440" s="1974"/>
      <c r="AB1440" s="1974"/>
      <c r="AC1440" s="1974"/>
      <c r="AD1440" s="1974"/>
      <c r="AE1440" s="1974"/>
      <c r="AF1440" s="1974"/>
    </row>
    <row r="1441" spans="1:32" ht="14">
      <c r="A1441" s="2398"/>
      <c r="B1441" s="1974"/>
      <c r="C1441" s="1974"/>
      <c r="D1441" s="2959"/>
      <c r="E1441" s="2399"/>
      <c r="F1441" s="1974"/>
      <c r="G1441" s="1974"/>
      <c r="H1441" s="1974"/>
      <c r="I1441" s="1974"/>
      <c r="J1441" s="2912"/>
      <c r="K1441" s="2912"/>
      <c r="L1441" s="2912"/>
      <c r="M1441" s="2403"/>
      <c r="N1441" s="1987"/>
      <c r="O1441" s="2000"/>
      <c r="P1441" s="2000"/>
      <c r="Q1441" s="2403"/>
      <c r="R1441" s="2880"/>
      <c r="S1441" s="1973"/>
      <c r="T1441" s="1973"/>
      <c r="U1441" s="1973"/>
      <c r="V1441" s="2001"/>
      <c r="W1441" s="2001"/>
      <c r="X1441" s="2001"/>
      <c r="Y1441" s="1974"/>
      <c r="Z1441" s="1974"/>
      <c r="AA1441" s="1974"/>
      <c r="AB1441" s="1974"/>
      <c r="AC1441" s="1974"/>
      <c r="AD1441" s="1974"/>
      <c r="AE1441" s="1974"/>
      <c r="AF1441" s="1974"/>
    </row>
    <row r="1442" spans="1:32" ht="14">
      <c r="A1442" s="2398"/>
      <c r="B1442" s="1974"/>
      <c r="C1442" s="1974"/>
      <c r="D1442" s="2959"/>
      <c r="E1442" s="2399"/>
      <c r="F1442" s="1974"/>
      <c r="G1442" s="1974"/>
      <c r="H1442" s="1974"/>
      <c r="I1442" s="1974"/>
      <c r="J1442" s="2912"/>
      <c r="K1442" s="2912"/>
      <c r="L1442" s="2912"/>
      <c r="M1442" s="2403"/>
      <c r="N1442" s="1987"/>
      <c r="O1442" s="2000"/>
      <c r="P1442" s="2000"/>
      <c r="Q1442" s="2403"/>
      <c r="R1442" s="2880"/>
      <c r="S1442" s="1973"/>
      <c r="T1442" s="1973"/>
      <c r="U1442" s="1973"/>
      <c r="V1442" s="2001"/>
      <c r="W1442" s="2001"/>
      <c r="X1442" s="2001"/>
      <c r="Y1442" s="1974"/>
      <c r="Z1442" s="1974"/>
      <c r="AA1442" s="1974"/>
      <c r="AB1442" s="1974"/>
      <c r="AC1442" s="1974"/>
      <c r="AD1442" s="1974"/>
      <c r="AE1442" s="1974"/>
      <c r="AF1442" s="1974"/>
    </row>
    <row r="1443" spans="1:32" ht="14">
      <c r="A1443" s="2398"/>
      <c r="B1443" s="1974"/>
      <c r="C1443" s="2004" t="s">
        <v>4945</v>
      </c>
      <c r="D1443" s="2959"/>
      <c r="E1443" s="2399"/>
      <c r="F1443" s="1974"/>
      <c r="G1443" s="1974"/>
      <c r="H1443" s="1974"/>
      <c r="I1443" s="1974"/>
      <c r="J1443" s="2912">
        <f>COUNTIF(F1448:F1452,"Above 50th")</f>
        <v>3</v>
      </c>
      <c r="K1443" s="2912">
        <f>COUNTIF(G1448:G1452,"Above 50th")</f>
        <v>0</v>
      </c>
      <c r="L1443" s="1974"/>
      <c r="M1443" s="2912"/>
      <c r="N1443" s="1987"/>
      <c r="O1443" s="2000"/>
      <c r="P1443" s="2000"/>
      <c r="Q1443" s="2403"/>
      <c r="R1443" s="2880"/>
      <c r="S1443" s="1973"/>
      <c r="T1443" s="1973"/>
      <c r="U1443" s="1973"/>
      <c r="V1443" s="2001"/>
      <c r="W1443" s="2001"/>
      <c r="X1443" s="2001"/>
      <c r="Y1443" s="1974"/>
      <c r="Z1443" s="1974"/>
      <c r="AA1443" s="1974"/>
      <c r="AB1443" s="1974"/>
      <c r="AC1443" s="1974"/>
      <c r="AD1443" s="1974"/>
      <c r="AE1443" s="1974"/>
      <c r="AF1443" s="1974"/>
    </row>
    <row r="1444" spans="1:32" ht="14">
      <c r="A1444" s="2398"/>
      <c r="B1444" s="1974"/>
      <c r="C1444" s="2004" t="s">
        <v>5188</v>
      </c>
      <c r="D1444" s="2959"/>
      <c r="E1444" s="2399"/>
      <c r="F1444" s="1974"/>
      <c r="G1444" s="1974"/>
      <c r="H1444" s="1974"/>
      <c r="I1444" s="1974"/>
      <c r="J1444" s="2912" t="str">
        <f>IF(OR(I1448="Near Census Tract",I1449="Near Census Tract",I1450="Near Census Tract",I1451="Near Census Tract",I1452="Near Census Tract"),"Yes","No")</f>
        <v>No</v>
      </c>
      <c r="K1444" s="2912" t="str">
        <f>IF(OR(K1448="Near Census Tract",K1449="Near Census Tract",K1450="Near Census Tract",K1451="Near Census Tract",K1452="Near Census Tract"),"Yes","No")</f>
        <v>No</v>
      </c>
      <c r="L1444" s="1974"/>
      <c r="M1444" s="2912"/>
      <c r="N1444" s="1987"/>
      <c r="O1444" s="2000"/>
      <c r="P1444" s="2000"/>
      <c r="Q1444" s="2403"/>
      <c r="R1444" s="2880"/>
      <c r="S1444" s="1973"/>
      <c r="T1444" s="1973"/>
      <c r="U1444" s="1973"/>
      <c r="V1444" s="2001"/>
      <c r="W1444" s="2001"/>
      <c r="X1444" s="2001"/>
      <c r="Y1444" s="1974"/>
      <c r="Z1444" s="1974"/>
      <c r="AA1444" s="1974"/>
      <c r="AB1444" s="1974"/>
      <c r="AC1444" s="1974"/>
      <c r="AD1444" s="1974"/>
      <c r="AE1444" s="1974"/>
      <c r="AF1444" s="1974"/>
    </row>
    <row r="1445" spans="1:32" ht="14">
      <c r="A1445" s="2398"/>
      <c r="B1445" s="1974"/>
      <c r="C1445" s="2004" t="s">
        <v>4947</v>
      </c>
      <c r="D1445" s="2959"/>
      <c r="E1445" s="2399"/>
      <c r="F1445" s="1974"/>
      <c r="G1445" s="1974"/>
      <c r="H1445" s="1974"/>
      <c r="I1445" s="1974"/>
      <c r="J1445" s="2966">
        <f>IF(AND(J1443=2,J1444="No"),6,IF(AND(J1443=3,J1444="No"),8,IF(AND(J1443&gt;=4,J1444="No"),10,IF(AND(J1443=2,J1444="Yes"),5,IF(AND(J1443=3,J1444="Yes"),7,IF(AND(J1443&gt;=4,J1444="Yes"),9,0))))))</f>
        <v>8</v>
      </c>
      <c r="K1445" s="2966">
        <f>IF(AND(K1443=2,K1444="No"),6,IF(AND(K1443=3,K1444="No"),8,IF(AND(K1443&gt;=4,K1444="No"),10,IF(AND(K1443=2,K1444="Yes"),5,IF(AND(K1443=3,K1444="Yes"),7,IF(AND(K1443&gt;=4,K1444="Yes"),9,0))))))</f>
        <v>0</v>
      </c>
      <c r="L1445" s="2912"/>
      <c r="M1445" s="2912"/>
      <c r="N1445" s="1987"/>
      <c r="O1445" s="2000"/>
      <c r="P1445" s="2000"/>
      <c r="Q1445" s="2403"/>
      <c r="R1445" s="2880"/>
      <c r="S1445" s="1973"/>
      <c r="T1445" s="1973"/>
      <c r="U1445" s="1973"/>
      <c r="V1445" s="2001"/>
      <c r="W1445" s="2001"/>
      <c r="X1445" s="2001"/>
      <c r="Y1445" s="1974"/>
      <c r="Z1445" s="1974"/>
      <c r="AA1445" s="1974"/>
      <c r="AB1445" s="1974"/>
      <c r="AC1445" s="1974"/>
      <c r="AD1445" s="1974"/>
      <c r="AE1445" s="1974"/>
      <c r="AF1445" s="1974"/>
    </row>
    <row r="1446" spans="1:32" ht="14">
      <c r="A1446" s="2398"/>
      <c r="B1446" s="1974"/>
      <c r="C1446" s="1974"/>
      <c r="D1446" s="2399"/>
      <c r="E1446" s="2399"/>
      <c r="F1446" s="1974"/>
      <c r="G1446" s="1974"/>
      <c r="H1446" s="1974"/>
      <c r="I1446" s="1974"/>
      <c r="J1446" s="1974"/>
      <c r="K1446" s="1974"/>
      <c r="L1446" s="2406"/>
      <c r="M1446" s="2403"/>
      <c r="N1446" s="1987"/>
      <c r="O1446" s="2000"/>
      <c r="P1446" s="2000"/>
      <c r="Q1446" s="2403"/>
      <c r="R1446" s="2880"/>
      <c r="S1446" s="2409"/>
      <c r="T1446" s="2409"/>
      <c r="U1446" s="2409"/>
      <c r="V1446" s="2409"/>
      <c r="W1446" s="2409"/>
      <c r="X1446" s="2001"/>
      <c r="Y1446" s="1974"/>
      <c r="Z1446" s="1974"/>
      <c r="AA1446" s="1974"/>
      <c r="AB1446" s="1974"/>
      <c r="AC1446" s="1974"/>
      <c r="AD1446" s="1974"/>
      <c r="AE1446" s="1974"/>
      <c r="AF1446" s="1974"/>
    </row>
    <row r="1447" spans="1:32" ht="43.5" customHeight="1">
      <c r="A1447" s="2398"/>
      <c r="B1447" s="2866" t="s">
        <v>5189</v>
      </c>
      <c r="C1447" s="2866"/>
      <c r="D1447" s="2901"/>
      <c r="E1447" s="1974"/>
      <c r="F1447" s="2901" t="s">
        <v>4948</v>
      </c>
      <c r="G1447" s="2901"/>
      <c r="H1447" s="2968" t="s">
        <v>4707</v>
      </c>
      <c r="I1447" s="2901" t="s">
        <v>5190</v>
      </c>
      <c r="J1447" s="2901"/>
      <c r="K1447" s="2901"/>
      <c r="L1447" s="2901"/>
      <c r="M1447" s="2901"/>
      <c r="N1447" s="2901"/>
      <c r="O1447" s="2901"/>
      <c r="P1447" s="2901"/>
      <c r="Q1447" s="1974"/>
      <c r="R1447" s="1974"/>
      <c r="S1447" s="2409"/>
      <c r="T1447" s="2409"/>
      <c r="U1447" s="2409"/>
      <c r="V1447" s="2409"/>
      <c r="W1447" s="2409"/>
      <c r="X1447" s="2001"/>
      <c r="Y1447" s="1974"/>
      <c r="Z1447" s="1974"/>
      <c r="AA1447" s="1974"/>
      <c r="AB1447" s="1974"/>
      <c r="AC1447" s="1974"/>
      <c r="AD1447" s="1974"/>
      <c r="AE1447" s="1974"/>
      <c r="AF1447" s="1974"/>
    </row>
    <row r="1448" spans="1:32" ht="14.5">
      <c r="A1448" s="2398"/>
      <c r="B1448" s="1974"/>
      <c r="C1448" s="1974" t="s">
        <v>4949</v>
      </c>
      <c r="D1448" s="2901"/>
      <c r="E1448" s="1974"/>
      <c r="F1448" s="2004" t="str">
        <f>'Part VIII Scoring Criteria'!F254</f>
        <v>At or below 50th</v>
      </c>
      <c r="G1448" s="2969"/>
      <c r="H1448" s="2970"/>
      <c r="I1448" s="2004" t="str">
        <f>'Part VIII Scoring Criteria'!I254</f>
        <v>WITHIN Census Tract</v>
      </c>
      <c r="J1448" s="2971"/>
      <c r="K1448" s="2971"/>
      <c r="L1448" s="2971"/>
      <c r="M1448" s="2004" t="str">
        <f>'Part VIII Scoring Criteria'!M254</f>
        <v>(if NEAR, enter near tract #)</v>
      </c>
      <c r="N1448" s="2967"/>
      <c r="O1448" s="2967"/>
      <c r="P1448" s="2967"/>
      <c r="Q1448" s="1974"/>
      <c r="R1448" s="402"/>
      <c r="S1448" s="2972"/>
      <c r="T1448" s="2972"/>
      <c r="U1448" s="2972"/>
      <c r="V1448" s="2972"/>
      <c r="W1448" s="2972"/>
      <c r="X1448" s="2001"/>
      <c r="Y1448" s="1974"/>
      <c r="Z1448" s="1974"/>
      <c r="AA1448" s="1974"/>
      <c r="AB1448" s="1974"/>
      <c r="AC1448" s="1974"/>
      <c r="AD1448" s="1974"/>
      <c r="AE1448" s="1974"/>
      <c r="AF1448" s="1974"/>
    </row>
    <row r="1449" spans="1:32" ht="14.5">
      <c r="A1449" s="2398"/>
      <c r="B1449" s="1974"/>
      <c r="C1449" s="1974" t="s">
        <v>4950</v>
      </c>
      <c r="D1449" s="2901"/>
      <c r="E1449" s="1974"/>
      <c r="F1449" s="2004" t="str">
        <f>'Part VIII Scoring Criteria'!F255</f>
        <v>Above 50th</v>
      </c>
      <c r="G1449" s="2970"/>
      <c r="H1449" s="2970"/>
      <c r="I1449" s="2004" t="str">
        <f>'Part VIII Scoring Criteria'!I255</f>
        <v>WITHIN Census Tract</v>
      </c>
      <c r="J1449" s="2971"/>
      <c r="K1449" s="2971"/>
      <c r="L1449" s="2971"/>
      <c r="M1449" s="2004" t="str">
        <f>'Part VIII Scoring Criteria'!M255</f>
        <v>(if NEAR, enter near tract #)</v>
      </c>
      <c r="N1449" s="2967"/>
      <c r="O1449" s="2967"/>
      <c r="P1449" s="2967"/>
      <c r="Q1449" s="1974"/>
      <c r="R1449" s="377"/>
      <c r="S1449" s="2973"/>
      <c r="T1449" s="2973"/>
      <c r="U1449" s="2974"/>
      <c r="V1449" s="2975"/>
      <c r="W1449" s="2973"/>
      <c r="X1449" s="2001"/>
      <c r="Y1449" s="1974"/>
      <c r="Z1449" s="1974"/>
      <c r="AA1449" s="1974"/>
      <c r="AB1449" s="1974"/>
      <c r="AC1449" s="1974"/>
      <c r="AD1449" s="1974"/>
      <c r="AE1449" s="1974"/>
      <c r="AF1449" s="1974"/>
    </row>
    <row r="1450" spans="1:32" ht="14.5">
      <c r="A1450" s="2398"/>
      <c r="B1450" s="1974"/>
      <c r="C1450" s="1974" t="s">
        <v>4951</v>
      </c>
      <c r="D1450" s="2901"/>
      <c r="E1450" s="1974"/>
      <c r="F1450" s="2004" t="str">
        <f>'Part VIII Scoring Criteria'!F256</f>
        <v>Above 50th</v>
      </c>
      <c r="G1450" s="2970"/>
      <c r="H1450" s="2970"/>
      <c r="I1450" s="2004" t="str">
        <f>'Part VIII Scoring Criteria'!I256</f>
        <v>WITHIN Census Tract</v>
      </c>
      <c r="J1450" s="2971"/>
      <c r="K1450" s="2971"/>
      <c r="L1450" s="2971"/>
      <c r="M1450" s="2004" t="str">
        <f>'Part VIII Scoring Criteria'!M256</f>
        <v>(if NEAR, enter near tract #)</v>
      </c>
      <c r="N1450" s="2967"/>
      <c r="O1450" s="2967"/>
      <c r="P1450" s="2967"/>
      <c r="Q1450" s="1974"/>
      <c r="R1450" s="377"/>
      <c r="S1450" s="2973"/>
      <c r="T1450" s="2973"/>
      <c r="U1450" s="2974"/>
      <c r="V1450" s="2975"/>
      <c r="W1450" s="2973"/>
      <c r="X1450" s="2001"/>
      <c r="Y1450" s="1974"/>
      <c r="Z1450" s="1974"/>
      <c r="AA1450" s="1974"/>
      <c r="AB1450" s="1974"/>
      <c r="AC1450" s="1974"/>
      <c r="AD1450" s="1974"/>
      <c r="AE1450" s="1974"/>
      <c r="AF1450" s="1974"/>
    </row>
    <row r="1451" spans="1:32" ht="14">
      <c r="A1451" s="2398"/>
      <c r="B1451" s="1974"/>
      <c r="C1451" s="1974" t="s">
        <v>4952</v>
      </c>
      <c r="D1451" s="2399"/>
      <c r="E1451" s="1974"/>
      <c r="F1451" s="2004" t="str">
        <f>'Part VIII Scoring Criteria'!F257</f>
        <v>Above 50th</v>
      </c>
      <c r="G1451" s="2970"/>
      <c r="H1451" s="2004">
        <f>'Part VIII Scoring Criteria'!H257</f>
        <v>2022</v>
      </c>
      <c r="I1451" s="2004" t="str">
        <f>'Part VIII Scoring Criteria'!I257</f>
        <v>WITHIN Census Tract</v>
      </c>
      <c r="J1451" s="2971"/>
      <c r="K1451" s="2971"/>
      <c r="L1451" s="2971"/>
      <c r="M1451" s="2004" t="str">
        <f>'Part VIII Scoring Criteria'!M257</f>
        <v>(if NEAR, enter near tract #)</v>
      </c>
      <c r="N1451" s="2967"/>
      <c r="O1451" s="2967"/>
      <c r="P1451" s="2967"/>
      <c r="Q1451" s="1974"/>
      <c r="R1451" s="377"/>
      <c r="S1451" s="2973"/>
      <c r="T1451" s="2973"/>
      <c r="U1451" s="2974"/>
      <c r="V1451" s="2975"/>
      <c r="W1451" s="2973"/>
      <c r="X1451" s="2001"/>
      <c r="Y1451" s="1974"/>
      <c r="Z1451" s="1974"/>
      <c r="AA1451" s="1974"/>
      <c r="AB1451" s="1974"/>
      <c r="AC1451" s="1974"/>
      <c r="AD1451" s="1974"/>
      <c r="AE1451" s="1974"/>
      <c r="AF1451" s="1974"/>
    </row>
    <row r="1452" spans="1:32" ht="14">
      <c r="A1452" s="2398"/>
      <c r="B1452" s="1974"/>
      <c r="C1452" s="1974" t="s">
        <v>4109</v>
      </c>
      <c r="D1452" s="2399"/>
      <c r="E1452" s="1974"/>
      <c r="F1452" s="2004" t="str">
        <f>'Part VIII Scoring Criteria'!F258</f>
        <v>At or below 50th</v>
      </c>
      <c r="G1452" s="2970"/>
      <c r="H1452" s="2004">
        <f>'Part VIII Scoring Criteria'!H258</f>
        <v>2023</v>
      </c>
      <c r="I1452" s="2004" t="str">
        <f>'Part VIII Scoring Criteria'!I258</f>
        <v>WITHIN Census Tract</v>
      </c>
      <c r="J1452" s="2971"/>
      <c r="K1452" s="2971"/>
      <c r="L1452" s="2971"/>
      <c r="M1452" s="2004" t="str">
        <f>'Part VIII Scoring Criteria'!M258</f>
        <v>(if NEAR, enter near tract #)</v>
      </c>
      <c r="N1452" s="2967"/>
      <c r="O1452" s="2967"/>
      <c r="P1452" s="2967"/>
      <c r="Q1452" s="1974"/>
      <c r="R1452" s="402"/>
      <c r="S1452" s="1973"/>
      <c r="T1452" s="1973"/>
      <c r="U1452" s="1973"/>
      <c r="V1452" s="2001"/>
      <c r="W1452" s="2001"/>
      <c r="X1452" s="2001"/>
      <c r="Y1452" s="1974"/>
      <c r="Z1452" s="1974"/>
      <c r="AA1452" s="1974"/>
      <c r="AB1452" s="1974"/>
      <c r="AC1452" s="1974"/>
      <c r="AD1452" s="1974"/>
      <c r="AE1452" s="1974"/>
      <c r="AF1452" s="1974"/>
    </row>
    <row r="1453" spans="1:32" ht="14.5">
      <c r="A1453" s="1974"/>
      <c r="B1453" s="2872" t="s">
        <v>5176</v>
      </c>
      <c r="C1453" s="1974"/>
      <c r="D1453" s="1974"/>
      <c r="E1453" s="1974"/>
      <c r="F1453" s="1974"/>
      <c r="G1453" s="1974"/>
      <c r="H1453" s="1974"/>
      <c r="I1453" s="1974"/>
      <c r="J1453" s="1974"/>
      <c r="K1453" s="1974"/>
      <c r="L1453" s="2001"/>
      <c r="M1453" s="1974"/>
      <c r="N1453" s="2001"/>
      <c r="O1453" s="2891"/>
      <c r="P1453" s="2009"/>
      <c r="Q1453" s="2001"/>
      <c r="R1453" s="402"/>
      <c r="S1453" s="2001"/>
      <c r="T1453" s="2001"/>
      <c r="U1453" s="2001"/>
      <c r="V1453" s="2001"/>
      <c r="W1453" s="2001"/>
      <c r="X1453" s="2001"/>
      <c r="Y1453" s="2001"/>
      <c r="Z1453" s="2001"/>
      <c r="AA1453" s="2001"/>
      <c r="AB1453" s="2001"/>
      <c r="AC1453" s="2001"/>
      <c r="AD1453" s="2001"/>
      <c r="AE1453" s="2001"/>
      <c r="AF1453" s="2001"/>
    </row>
    <row r="1454" spans="1:32" ht="14">
      <c r="A1454" s="2008" t="str">
        <f>'Part VIII Scoring Criteria'!A260</f>
        <v>See Preservation Scoring for detail.</v>
      </c>
      <c r="B1454" s="2007"/>
      <c r="C1454" s="2007"/>
      <c r="D1454" s="2007"/>
      <c r="E1454" s="2007"/>
      <c r="F1454" s="2007"/>
      <c r="G1454" s="2007"/>
      <c r="H1454" s="2007"/>
      <c r="I1454" s="2007"/>
      <c r="J1454" s="2007"/>
      <c r="K1454" s="2007"/>
      <c r="L1454" s="2007"/>
      <c r="M1454" s="2007"/>
      <c r="N1454" s="2007"/>
      <c r="O1454" s="2007"/>
      <c r="P1454" s="2007"/>
      <c r="Q1454" s="1973"/>
      <c r="R1454" s="402"/>
      <c r="S1454" s="2001"/>
      <c r="T1454" s="2001"/>
      <c r="U1454" s="2001"/>
      <c r="V1454" s="2001"/>
      <c r="W1454" s="2001"/>
      <c r="X1454" s="2001"/>
      <c r="Y1454" s="2001"/>
      <c r="Z1454" s="2001"/>
      <c r="AA1454" s="2001"/>
      <c r="AB1454" s="2001"/>
      <c r="AC1454" s="2001"/>
      <c r="AD1454" s="2001"/>
      <c r="AE1454" s="2001"/>
      <c r="AF1454" s="2001"/>
    </row>
    <row r="1455" spans="1:32" ht="14.5">
      <c r="A1455" s="1974"/>
      <c r="B1455" s="2890" t="s">
        <v>1725</v>
      </c>
      <c r="C1455" s="1974"/>
      <c r="D1455" s="2890"/>
      <c r="E1455" s="2007"/>
      <c r="F1455" s="2007"/>
      <c r="G1455" s="2007"/>
      <c r="H1455" s="2007"/>
      <c r="I1455" s="2007"/>
      <c r="J1455" s="2007"/>
      <c r="K1455" s="2007"/>
      <c r="L1455" s="2007"/>
      <c r="M1455" s="2007"/>
      <c r="N1455" s="2007"/>
      <c r="O1455" s="2866"/>
      <c r="P1455" s="1973"/>
      <c r="Q1455" s="2001"/>
      <c r="R1455" s="402"/>
      <c r="S1455" s="2001"/>
      <c r="T1455" s="2001"/>
      <c r="U1455" s="2001"/>
      <c r="V1455" s="2001"/>
      <c r="W1455" s="2001"/>
      <c r="X1455" s="2001"/>
      <c r="Y1455" s="2001"/>
      <c r="Z1455" s="2001"/>
      <c r="AA1455" s="2001"/>
      <c r="AB1455" s="2001"/>
      <c r="AC1455" s="2001"/>
      <c r="AD1455" s="2001"/>
      <c r="AE1455" s="2001"/>
      <c r="AF1455" s="2001"/>
    </row>
    <row r="1456" spans="1:32" ht="14">
      <c r="A1456" s="2007"/>
      <c r="B1456" s="2007"/>
      <c r="C1456" s="2007"/>
      <c r="D1456" s="2007"/>
      <c r="E1456" s="2007"/>
      <c r="F1456" s="2007"/>
      <c r="G1456" s="2007"/>
      <c r="H1456" s="2007"/>
      <c r="I1456" s="2007"/>
      <c r="J1456" s="2007"/>
      <c r="K1456" s="2007"/>
      <c r="L1456" s="2007"/>
      <c r="M1456" s="2007"/>
      <c r="N1456" s="2007"/>
      <c r="O1456" s="2007"/>
      <c r="P1456" s="2007"/>
      <c r="Q1456" s="1973"/>
      <c r="R1456" s="402"/>
      <c r="S1456" s="2001"/>
      <c r="T1456" s="2001"/>
      <c r="U1456" s="2001"/>
      <c r="V1456" s="2001"/>
      <c r="W1456" s="2001"/>
      <c r="X1456" s="2001"/>
      <c r="Y1456" s="2001"/>
      <c r="Z1456" s="2001"/>
      <c r="AA1456" s="2001"/>
      <c r="AB1456" s="2001"/>
      <c r="AC1456" s="2001"/>
      <c r="AD1456" s="2001"/>
      <c r="AE1456" s="2001"/>
      <c r="AF1456" s="2001"/>
    </row>
    <row r="1457" spans="1:32" ht="14">
      <c r="A1457" s="2001"/>
      <c r="B1457" s="2001"/>
      <c r="C1457" s="2001"/>
      <c r="D1457" s="2001"/>
      <c r="E1457" s="2001"/>
      <c r="F1457" s="2001"/>
      <c r="G1457" s="2001"/>
      <c r="H1457" s="2001"/>
      <c r="I1457" s="2001"/>
      <c r="J1457" s="2001"/>
      <c r="K1457" s="2001"/>
      <c r="L1457" s="2001"/>
      <c r="M1457" s="2001"/>
      <c r="N1457" s="2001"/>
      <c r="O1457" s="2009"/>
      <c r="P1457" s="2009"/>
      <c r="Q1457" s="2001"/>
      <c r="R1457" s="2001"/>
      <c r="S1457" s="2001"/>
      <c r="T1457" s="2001"/>
      <c r="U1457" s="2001"/>
      <c r="V1457" s="2001"/>
      <c r="W1457" s="2001"/>
      <c r="X1457" s="2001"/>
      <c r="Y1457" s="2001"/>
      <c r="Z1457" s="2001"/>
      <c r="AA1457" s="2001"/>
      <c r="AB1457" s="2001"/>
      <c r="AC1457" s="2001"/>
      <c r="AD1457" s="2001"/>
      <c r="AE1457" s="2001"/>
      <c r="AF1457" s="2001"/>
    </row>
    <row r="1458" spans="1:32" ht="14">
      <c r="A1458" s="2001"/>
      <c r="B1458" s="2001"/>
      <c r="C1458" s="2001"/>
      <c r="D1458" s="2001"/>
      <c r="E1458" s="2001"/>
      <c r="F1458" s="2001"/>
      <c r="G1458" s="2001"/>
      <c r="H1458" s="2001"/>
      <c r="I1458" s="2001"/>
      <c r="J1458" s="2001"/>
      <c r="K1458" s="2001"/>
      <c r="L1458" s="2001"/>
      <c r="M1458" s="2001"/>
      <c r="N1458" s="1992"/>
      <c r="O1458" s="2003"/>
      <c r="P1458" s="2003"/>
      <c r="Q1458" s="2001"/>
      <c r="R1458" s="2001"/>
      <c r="S1458" s="2001"/>
      <c r="T1458" s="2001"/>
      <c r="U1458" s="2001"/>
      <c r="V1458" s="2001"/>
      <c r="W1458" s="2001"/>
      <c r="X1458" s="2001"/>
      <c r="Y1458" s="2001"/>
      <c r="Z1458" s="2001"/>
      <c r="AA1458" s="2001"/>
      <c r="AB1458" s="2001"/>
      <c r="AC1458" s="2001"/>
      <c r="AD1458" s="2001"/>
      <c r="AE1458" s="2001"/>
      <c r="AF1458" s="2001"/>
    </row>
    <row r="1459" spans="1:32" ht="14.5">
      <c r="A1459" s="2398" t="s">
        <v>3282</v>
      </c>
      <c r="B1459" s="2399" t="s">
        <v>3254</v>
      </c>
      <c r="C1459" s="1974"/>
      <c r="D1459" s="2399"/>
      <c r="E1459" s="2399"/>
      <c r="F1459" s="1974"/>
      <c r="G1459" s="2892"/>
      <c r="H1459" s="1974"/>
      <c r="I1459" s="1974"/>
      <c r="J1459" s="2406" t="str">
        <f>IF(OR($O$206&gt;0,$O$238&gt;0,$O$304&gt;0),"Points already claimed in another restricted section!","")</f>
        <v/>
      </c>
      <c r="K1459" s="1974"/>
      <c r="L1459" s="2976" t="str">
        <f>IF(AND(O1459&gt;0,NOT($H$11="New Affordability")), "Not New Affordability!","")</f>
        <v/>
      </c>
      <c r="M1459" s="2403">
        <v>10</v>
      </c>
      <c r="N1459" s="1987"/>
      <c r="O1459" s="2000">
        <f>'Part VIII Scoring Criteria'!O265</f>
        <v>0</v>
      </c>
      <c r="P1459" s="2000">
        <f>'Part VIII Scoring Criteria'!P265</f>
        <v>0</v>
      </c>
      <c r="Q1459" s="2403" t="s">
        <v>415</v>
      </c>
      <c r="R1459" s="2961" t="s">
        <v>4957</v>
      </c>
      <c r="S1459" s="1973"/>
      <c r="T1459" s="1973"/>
      <c r="U1459" s="1973"/>
      <c r="V1459" s="2957" t="str">
        <f>'Part VIII Scoring Criteria'!V265</f>
        <v>Stable Communities</v>
      </c>
      <c r="W1459" s="1974"/>
      <c r="X1459" s="1974"/>
      <c r="Y1459" s="1974"/>
      <c r="Z1459" s="1974"/>
      <c r="AA1459" s="1974"/>
      <c r="AB1459" s="1974"/>
      <c r="AC1459" s="1974"/>
      <c r="AD1459" s="1974"/>
      <c r="AE1459" s="1974"/>
      <c r="AF1459" s="1974"/>
    </row>
    <row r="1460" spans="1:32" ht="14">
      <c r="A1460" s="2403" t="s">
        <v>1836</v>
      </c>
      <c r="B1460" s="2896" t="s">
        <v>3180</v>
      </c>
      <c r="C1460" s="2001"/>
      <c r="D1460" s="2008"/>
      <c r="E1460" s="2008"/>
      <c r="F1460" s="2008"/>
      <c r="G1460" s="2008"/>
      <c r="H1460" s="2008"/>
      <c r="I1460" s="2001"/>
      <c r="J1460" s="2001"/>
      <c r="K1460" s="2001"/>
      <c r="L1460" s="2008"/>
      <c r="M1460" s="1973" t="str">
        <f>IF(AND(O1460="Yes",O1461="Yes"),"Only one category can be selected!","")</f>
        <v/>
      </c>
      <c r="N1460" s="2401"/>
      <c r="O1460" s="2403">
        <f>'Part VIII Scoring Criteria'!O266</f>
        <v>0</v>
      </c>
      <c r="P1460" s="2403"/>
      <c r="Q1460" s="1992"/>
      <c r="R1460" s="1973"/>
      <c r="S1460" s="1973"/>
      <c r="T1460" s="1973"/>
      <c r="U1460" s="1973"/>
      <c r="V1460" s="1973"/>
      <c r="W1460" s="2001"/>
      <c r="X1460" s="2001"/>
      <c r="Y1460" s="2001"/>
      <c r="Z1460" s="2001"/>
      <c r="AA1460" s="2001"/>
      <c r="AB1460" s="2001"/>
      <c r="AC1460" s="2001"/>
      <c r="AD1460" s="2001"/>
      <c r="AE1460" s="2001"/>
      <c r="AF1460" s="2001"/>
    </row>
    <row r="1461" spans="1:32" ht="14">
      <c r="A1461" s="2403" t="s">
        <v>1838</v>
      </c>
      <c r="B1461" s="2896" t="s">
        <v>3181</v>
      </c>
      <c r="C1461" s="2001"/>
      <c r="D1461" s="2008"/>
      <c r="E1461" s="2001"/>
      <c r="F1461" s="2001"/>
      <c r="G1461" s="2001"/>
      <c r="H1461" s="2001"/>
      <c r="I1461" s="2001"/>
      <c r="J1461" s="2001"/>
      <c r="K1461" s="2001"/>
      <c r="L1461" s="2008"/>
      <c r="M1461" s="1973"/>
      <c r="N1461" s="2401"/>
      <c r="O1461" s="2403">
        <f>'Part VIII Scoring Criteria'!O267</f>
        <v>0</v>
      </c>
      <c r="P1461" s="2403"/>
      <c r="Q1461" s="1992"/>
      <c r="R1461" s="1973"/>
      <c r="S1461" s="1973"/>
      <c r="T1461" s="1973"/>
      <c r="U1461" s="1973"/>
      <c r="V1461" s="1973"/>
      <c r="W1461" s="2001"/>
      <c r="X1461" s="2001"/>
      <c r="Y1461" s="2001"/>
      <c r="Z1461" s="2001"/>
      <c r="AA1461" s="2001"/>
      <c r="AB1461" s="2001"/>
      <c r="AC1461" s="2001"/>
      <c r="AD1461" s="2001"/>
      <c r="AE1461" s="2001"/>
      <c r="AF1461" s="2001"/>
    </row>
    <row r="1462" spans="1:32" ht="14.5">
      <c r="A1462" s="1974"/>
      <c r="B1462" s="2872" t="s">
        <v>5176</v>
      </c>
      <c r="C1462" s="1974"/>
      <c r="D1462" s="1974"/>
      <c r="E1462" s="1974"/>
      <c r="F1462" s="1974"/>
      <c r="G1462" s="1974"/>
      <c r="H1462" s="1974"/>
      <c r="I1462" s="1974"/>
      <c r="J1462" s="1974"/>
      <c r="K1462" s="1974"/>
      <c r="L1462" s="2001"/>
      <c r="M1462" s="1974"/>
      <c r="N1462" s="1992"/>
      <c r="O1462" s="2000"/>
      <c r="P1462" s="2003"/>
      <c r="Q1462" s="2001"/>
      <c r="R1462" s="1973"/>
      <c r="S1462" s="1973"/>
      <c r="T1462" s="1973"/>
      <c r="U1462" s="1973"/>
      <c r="V1462" s="1973"/>
      <c r="W1462" s="2001"/>
      <c r="X1462" s="2001"/>
      <c r="Y1462" s="2001"/>
      <c r="Z1462" s="2001"/>
      <c r="AA1462" s="2001"/>
      <c r="AB1462" s="2001"/>
      <c r="AC1462" s="2001"/>
      <c r="AD1462" s="2001"/>
      <c r="AE1462" s="2001"/>
      <c r="AF1462" s="2001"/>
    </row>
    <row r="1463" spans="1:32" ht="14">
      <c r="A1463" s="2008" t="str">
        <f>'Part VIII Scoring Criteria'!A269</f>
        <v xml:space="preserve">N/A for 4% Preservation applications. </v>
      </c>
      <c r="B1463" s="2007"/>
      <c r="C1463" s="2007"/>
      <c r="D1463" s="2007"/>
      <c r="E1463" s="2007"/>
      <c r="F1463" s="2007"/>
      <c r="G1463" s="2007"/>
      <c r="H1463" s="2007"/>
      <c r="I1463" s="2007"/>
      <c r="J1463" s="2007"/>
      <c r="K1463" s="2007"/>
      <c r="L1463" s="2007"/>
      <c r="M1463" s="2007"/>
      <c r="N1463" s="2007"/>
      <c r="O1463" s="2007"/>
      <c r="P1463" s="2007"/>
      <c r="Q1463" s="1973"/>
      <c r="R1463" s="2001"/>
      <c r="S1463" s="2001"/>
      <c r="T1463" s="2001"/>
      <c r="U1463" s="2001"/>
      <c r="V1463" s="2001"/>
      <c r="W1463" s="2001"/>
      <c r="X1463" s="2001"/>
      <c r="Y1463" s="2001"/>
      <c r="Z1463" s="2001"/>
      <c r="AA1463" s="2001"/>
      <c r="AB1463" s="2001"/>
      <c r="AC1463" s="2001"/>
      <c r="AD1463" s="2001"/>
      <c r="AE1463" s="2001"/>
      <c r="AF1463" s="2001"/>
    </row>
    <row r="1464" spans="1:32" ht="14.5">
      <c r="A1464" s="1974"/>
      <c r="B1464" s="2890" t="s">
        <v>1725</v>
      </c>
      <c r="C1464" s="1974"/>
      <c r="D1464" s="2890"/>
      <c r="E1464" s="2007"/>
      <c r="F1464" s="2007"/>
      <c r="G1464" s="2007"/>
      <c r="H1464" s="2007"/>
      <c r="I1464" s="2007"/>
      <c r="J1464" s="2007"/>
      <c r="K1464" s="2007"/>
      <c r="L1464" s="2007"/>
      <c r="M1464" s="2007"/>
      <c r="N1464" s="2007"/>
      <c r="O1464" s="2866"/>
      <c r="P1464" s="1973"/>
      <c r="Q1464" s="2001"/>
      <c r="R1464" s="2001"/>
      <c r="S1464" s="2001"/>
      <c r="T1464" s="2001"/>
      <c r="U1464" s="2001"/>
      <c r="V1464" s="2001"/>
      <c r="W1464" s="2001"/>
      <c r="X1464" s="2001"/>
      <c r="Y1464" s="2001"/>
      <c r="Z1464" s="2001"/>
      <c r="AA1464" s="2001"/>
      <c r="AB1464" s="2001"/>
      <c r="AC1464" s="2001"/>
      <c r="AD1464" s="2001"/>
      <c r="AE1464" s="2001"/>
      <c r="AF1464" s="2001"/>
    </row>
    <row r="1465" spans="1:32" ht="14">
      <c r="A1465" s="2007"/>
      <c r="B1465" s="2007"/>
      <c r="C1465" s="2007"/>
      <c r="D1465" s="2007"/>
      <c r="E1465" s="2007"/>
      <c r="F1465" s="2007"/>
      <c r="G1465" s="2007"/>
      <c r="H1465" s="2007"/>
      <c r="I1465" s="2007"/>
      <c r="J1465" s="2007"/>
      <c r="K1465" s="2007"/>
      <c r="L1465" s="2007"/>
      <c r="M1465" s="2007"/>
      <c r="N1465" s="2007"/>
      <c r="O1465" s="2007"/>
      <c r="P1465" s="2007"/>
      <c r="Q1465" s="1973"/>
      <c r="R1465" s="2001"/>
      <c r="S1465" s="2001"/>
      <c r="T1465" s="2001"/>
      <c r="U1465" s="2001"/>
      <c r="V1465" s="2001"/>
      <c r="W1465" s="2001"/>
      <c r="X1465" s="2001"/>
      <c r="Y1465" s="2001"/>
      <c r="Z1465" s="2001"/>
      <c r="AA1465" s="2001"/>
      <c r="AB1465" s="2001"/>
      <c r="AC1465" s="2001"/>
      <c r="AD1465" s="2001"/>
      <c r="AE1465" s="2001"/>
      <c r="AF1465" s="2001"/>
    </row>
    <row r="1466" spans="1:32" ht="14">
      <c r="A1466" s="2001"/>
      <c r="B1466" s="2001"/>
      <c r="C1466" s="2001"/>
      <c r="D1466" s="2001"/>
      <c r="E1466" s="2001"/>
      <c r="F1466" s="2001"/>
      <c r="G1466" s="2001"/>
      <c r="H1466" s="2001"/>
      <c r="I1466" s="2001"/>
      <c r="J1466" s="2001"/>
      <c r="K1466" s="2001"/>
      <c r="L1466" s="2001"/>
      <c r="M1466" s="2001"/>
      <c r="N1466" s="2001"/>
      <c r="O1466" s="2009"/>
      <c r="P1466" s="2009"/>
      <c r="Q1466" s="2001"/>
      <c r="R1466" s="2001"/>
      <c r="S1466" s="2001"/>
      <c r="T1466" s="2001"/>
      <c r="U1466" s="2001"/>
      <c r="V1466" s="2001"/>
      <c r="W1466" s="2001"/>
      <c r="X1466" s="2001"/>
      <c r="Y1466" s="2001"/>
      <c r="Z1466" s="2001"/>
      <c r="AA1466" s="2001"/>
      <c r="AB1466" s="2001"/>
      <c r="AC1466" s="2001"/>
      <c r="AD1466" s="2001"/>
      <c r="AE1466" s="2001"/>
      <c r="AF1466" s="2001"/>
    </row>
    <row r="1467" spans="1:32" ht="14">
      <c r="A1467" s="2001"/>
      <c r="B1467" s="2001"/>
      <c r="C1467" s="2001"/>
      <c r="D1467" s="2001"/>
      <c r="E1467" s="2001"/>
      <c r="F1467" s="2001"/>
      <c r="G1467" s="2001"/>
      <c r="H1467" s="2001"/>
      <c r="I1467" s="2001"/>
      <c r="J1467" s="2001"/>
      <c r="K1467" s="2001"/>
      <c r="L1467" s="2001"/>
      <c r="M1467" s="2001"/>
      <c r="N1467" s="1992"/>
      <c r="O1467" s="2003"/>
      <c r="P1467" s="2003"/>
      <c r="Q1467" s="2001"/>
      <c r="R1467" s="2001"/>
      <c r="S1467" s="2001"/>
      <c r="T1467" s="2001"/>
      <c r="U1467" s="2001"/>
      <c r="V1467" s="2001"/>
      <c r="W1467" s="2001"/>
      <c r="X1467" s="2001"/>
      <c r="Y1467" s="2001"/>
      <c r="Z1467" s="2001"/>
      <c r="AA1467" s="2001"/>
      <c r="AB1467" s="2001"/>
      <c r="AC1467" s="2001"/>
      <c r="AD1467" s="2001"/>
      <c r="AE1467" s="2001"/>
      <c r="AF1467" s="2001"/>
    </row>
    <row r="1468" spans="1:32" ht="14">
      <c r="A1468" s="2398" t="s">
        <v>3283</v>
      </c>
      <c r="B1468" s="2399" t="s">
        <v>3906</v>
      </c>
      <c r="C1468" s="2001"/>
      <c r="D1468" s="2001"/>
      <c r="E1468" s="2880" t="str">
        <f>IF(AND(O1468&gt;0,NOT($H$11="New Affordability"),NOT($C$16="9%")), "Ineligible, not New Affordability and 9%!","")</f>
        <v/>
      </c>
      <c r="F1468" s="2001"/>
      <c r="G1468" s="2894" t="str">
        <f>'Part VIII Scoring Criteria'!G274</f>
        <v>4%</v>
      </c>
      <c r="H1468" s="2909" t="str">
        <f>'Part VIII Scoring Criteria'!H274</f>
        <v>Atlanta Metro</v>
      </c>
      <c r="I1468" s="2001"/>
      <c r="J1468" s="2001"/>
      <c r="K1468" s="2001"/>
      <c r="L1468" s="2876" t="s">
        <v>4866</v>
      </c>
      <c r="M1468" s="2403">
        <v>4</v>
      </c>
      <c r="N1468" s="1987"/>
      <c r="O1468" s="2000">
        <f>'Part VIII Scoring Criteria'!O274</f>
        <v>0</v>
      </c>
      <c r="P1468" s="2000">
        <f>'Part VIII Scoring Criteria'!P274</f>
        <v>0</v>
      </c>
      <c r="Q1468" s="2403" t="s">
        <v>415</v>
      </c>
      <c r="R1468" s="2880"/>
      <c r="S1468" s="1973"/>
      <c r="T1468" s="1973"/>
      <c r="U1468" s="1973"/>
      <c r="V1468" s="1973"/>
      <c r="W1468" s="2009"/>
      <c r="X1468" s="2009"/>
      <c r="Y1468" s="2001"/>
      <c r="Z1468" s="2001"/>
      <c r="AA1468" s="2001"/>
      <c r="AB1468" s="2001"/>
      <c r="AC1468" s="2001"/>
      <c r="AD1468" s="2001"/>
      <c r="AE1468" s="2001"/>
      <c r="AF1468" s="2001"/>
    </row>
    <row r="1469" spans="1:32" ht="14">
      <c r="A1469" s="2977"/>
      <c r="B1469" s="2007" t="s">
        <v>4150</v>
      </c>
      <c r="C1469" s="2007"/>
      <c r="D1469" s="2007"/>
      <c r="E1469" s="2007"/>
      <c r="F1469" s="2007"/>
      <c r="G1469" s="2001"/>
      <c r="H1469" s="2001"/>
      <c r="I1469" s="2001"/>
      <c r="J1469" s="2001"/>
      <c r="K1469" s="2001"/>
      <c r="L1469" s="2001"/>
      <c r="M1469" s="2001"/>
      <c r="N1469" s="2887"/>
      <c r="O1469" s="2403">
        <f>'Part VIII Scoring Criteria'!O275</f>
        <v>0</v>
      </c>
      <c r="P1469" s="2885"/>
      <c r="Q1469" s="2007"/>
      <c r="R1469" s="2007"/>
      <c r="S1469" s="2007"/>
      <c r="T1469" s="2007"/>
      <c r="U1469" s="2001"/>
      <c r="V1469" s="2001"/>
      <c r="W1469" s="2007"/>
      <c r="X1469" s="2007"/>
      <c r="Y1469" s="2007"/>
      <c r="Z1469" s="2007"/>
      <c r="AA1469" s="2007"/>
      <c r="AB1469" s="2001"/>
      <c r="AC1469" s="2001"/>
      <c r="AD1469" s="2001"/>
      <c r="AE1469" s="2001"/>
      <c r="AF1469" s="2001"/>
    </row>
    <row r="1470" spans="1:32" ht="15" customHeight="1">
      <c r="A1470" s="2977"/>
      <c r="B1470" s="2007"/>
      <c r="C1470" s="2007"/>
      <c r="D1470" s="2007"/>
      <c r="E1470" s="2007"/>
      <c r="F1470" s="2007"/>
      <c r="G1470" s="1992" t="s">
        <v>4688</v>
      </c>
      <c r="H1470" s="2001" t="s">
        <v>573</v>
      </c>
      <c r="I1470" s="2001"/>
      <c r="J1470" s="2001"/>
      <c r="K1470" s="2001" t="s">
        <v>4724</v>
      </c>
      <c r="L1470" s="2001"/>
      <c r="M1470" s="2001"/>
      <c r="N1470" s="1992"/>
      <c r="O1470" s="1992"/>
      <c r="P1470" s="1992"/>
      <c r="Q1470" s="2007"/>
      <c r="R1470" s="2007"/>
      <c r="S1470" s="2007"/>
      <c r="T1470" s="2007"/>
      <c r="U1470" s="2001"/>
      <c r="V1470" s="2001"/>
      <c r="W1470" s="2007"/>
      <c r="X1470" s="2007"/>
      <c r="Y1470" s="2007"/>
      <c r="Z1470" s="2007"/>
      <c r="AA1470" s="2007"/>
      <c r="AB1470" s="2001"/>
      <c r="AC1470" s="2001"/>
      <c r="AD1470" s="2001"/>
      <c r="AE1470" s="2001"/>
      <c r="AF1470" s="2001"/>
    </row>
    <row r="1471" spans="1:32" ht="14">
      <c r="A1471" s="2977"/>
      <c r="B1471" s="2977"/>
      <c r="C1471" s="2001"/>
      <c r="D1471" s="2002" t="s">
        <v>4151</v>
      </c>
      <c r="E1471" s="2001"/>
      <c r="F1471" s="2001"/>
      <c r="G1471" s="2004">
        <f>'Part VIII Scoring Criteria'!G277</f>
        <v>0</v>
      </c>
      <c r="H1471" s="2004">
        <f>'Part VIII Scoring Criteria'!H277</f>
        <v>0</v>
      </c>
      <c r="I1471" s="1974"/>
      <c r="J1471" s="1974"/>
      <c r="K1471" s="2978">
        <f>'Part VIII Scoring Criteria'!K277</f>
        <v>0</v>
      </c>
      <c r="L1471" s="2978"/>
      <c r="M1471" s="2978"/>
      <c r="N1471" s="2887"/>
      <c r="O1471" s="2885"/>
      <c r="P1471" s="2885"/>
      <c r="Q1471" s="2007"/>
      <c r="R1471" s="2007"/>
      <c r="S1471" s="2007"/>
      <c r="T1471" s="2007"/>
      <c r="U1471" s="2001"/>
      <c r="V1471" s="2001"/>
      <c r="W1471" s="2007"/>
      <c r="X1471" s="2007"/>
      <c r="Y1471" s="2007"/>
      <c r="Z1471" s="2007"/>
      <c r="AA1471" s="2007"/>
      <c r="AB1471" s="2001"/>
      <c r="AC1471" s="2001"/>
      <c r="AD1471" s="2001"/>
      <c r="AE1471" s="2001"/>
      <c r="AF1471" s="2001"/>
    </row>
    <row r="1472" spans="1:32" ht="14">
      <c r="A1472" s="2899"/>
      <c r="B1472" s="2977"/>
      <c r="C1472" s="1974"/>
      <c r="D1472" s="2004" t="s">
        <v>4152</v>
      </c>
      <c r="E1472" s="1974"/>
      <c r="F1472" s="1974"/>
      <c r="G1472" s="2004">
        <f>'Part VIII Scoring Criteria'!G278</f>
        <v>0</v>
      </c>
      <c r="H1472" s="2004">
        <f>'Part VIII Scoring Criteria'!H278</f>
        <v>0</v>
      </c>
      <c r="I1472" s="1974"/>
      <c r="J1472" s="1974"/>
      <c r="K1472" s="2978">
        <f>'Part VIII Scoring Criteria'!K278</f>
        <v>0</v>
      </c>
      <c r="L1472" s="2978"/>
      <c r="M1472" s="2978"/>
      <c r="N1472" s="1974"/>
      <c r="O1472" s="1974"/>
      <c r="P1472" s="1974"/>
      <c r="Q1472" s="1974"/>
      <c r="R1472" s="1974"/>
      <c r="S1472" s="1974"/>
      <c r="T1472" s="1974"/>
      <c r="U1472" s="1974"/>
      <c r="V1472" s="1974"/>
      <c r="W1472" s="1974"/>
      <c r="X1472" s="1974"/>
      <c r="Y1472" s="1974"/>
      <c r="Z1472" s="1974"/>
      <c r="AA1472" s="1974"/>
      <c r="AB1472" s="1974"/>
      <c r="AC1472" s="1974"/>
      <c r="AD1472" s="1974"/>
      <c r="AE1472" s="1974"/>
      <c r="AF1472" s="1974"/>
    </row>
    <row r="1473" spans="1:32" ht="14">
      <c r="A1473" s="1974"/>
      <c r="B1473" s="2001"/>
      <c r="C1473" s="2001"/>
      <c r="D1473" s="1974"/>
      <c r="E1473" s="1974"/>
      <c r="F1473" s="2403"/>
      <c r="G1473" s="2403"/>
      <c r="H1473" s="1973"/>
      <c r="I1473" s="1973"/>
      <c r="J1473" s="1974"/>
      <c r="K1473" s="1974"/>
      <c r="L1473" s="1974"/>
      <c r="M1473" s="1974"/>
      <c r="N1473" s="2403"/>
      <c r="O1473" s="2003"/>
      <c r="P1473" s="2000"/>
      <c r="Q1473" s="2001"/>
      <c r="R1473" s="2001"/>
      <c r="S1473" s="2001"/>
      <c r="T1473" s="2001"/>
      <c r="U1473" s="2001"/>
      <c r="V1473" s="2001"/>
      <c r="W1473" s="2001"/>
      <c r="X1473" s="2001"/>
      <c r="Y1473" s="2001"/>
      <c r="Z1473" s="2001"/>
      <c r="AA1473" s="2001"/>
      <c r="AB1473" s="2001"/>
      <c r="AC1473" s="2001"/>
      <c r="AD1473" s="2001"/>
      <c r="AE1473" s="2001"/>
      <c r="AF1473" s="2001"/>
    </row>
    <row r="1474" spans="1:32" ht="14.5">
      <c r="A1474" s="1974"/>
      <c r="B1474" s="2872" t="s">
        <v>5176</v>
      </c>
      <c r="C1474" s="1974"/>
      <c r="D1474" s="1974"/>
      <c r="E1474" s="1974"/>
      <c r="F1474" s="1974"/>
      <c r="G1474" s="1974"/>
      <c r="H1474" s="1974"/>
      <c r="I1474" s="1974"/>
      <c r="J1474" s="1974"/>
      <c r="K1474" s="1974"/>
      <c r="L1474" s="2001"/>
      <c r="M1474" s="1987"/>
      <c r="N1474" s="1992"/>
      <c r="O1474" s="2000"/>
      <c r="P1474" s="2003"/>
      <c r="Q1474" s="2001"/>
      <c r="R1474" s="2001"/>
      <c r="S1474" s="2001"/>
      <c r="T1474" s="2001"/>
      <c r="U1474" s="2001"/>
      <c r="V1474" s="2001"/>
      <c r="W1474" s="2001"/>
      <c r="X1474" s="2001"/>
      <c r="Y1474" s="2001"/>
      <c r="Z1474" s="2001"/>
      <c r="AA1474" s="2001"/>
      <c r="AB1474" s="2001"/>
      <c r="AC1474" s="2001"/>
      <c r="AD1474" s="2001"/>
      <c r="AE1474" s="2001"/>
      <c r="AF1474" s="2001"/>
    </row>
    <row r="1475" spans="1:32" ht="14">
      <c r="A1475" s="2008" t="str">
        <f>'Part VIII Scoring Criteria'!A281</f>
        <v xml:space="preserve">N/A for 4% Preservation applications. </v>
      </c>
      <c r="B1475" s="2007"/>
      <c r="C1475" s="2007"/>
      <c r="D1475" s="2007"/>
      <c r="E1475" s="2007"/>
      <c r="F1475" s="2007"/>
      <c r="G1475" s="2007"/>
      <c r="H1475" s="2007"/>
      <c r="I1475" s="2007"/>
      <c r="J1475" s="2007"/>
      <c r="K1475" s="2007"/>
      <c r="L1475" s="2007"/>
      <c r="M1475" s="2007"/>
      <c r="N1475" s="2007"/>
      <c r="O1475" s="2007"/>
      <c r="P1475" s="2007"/>
      <c r="Q1475" s="1973"/>
      <c r="R1475" s="2001"/>
      <c r="S1475" s="2001"/>
      <c r="T1475" s="2001"/>
      <c r="U1475" s="2001"/>
      <c r="V1475" s="2001"/>
      <c r="W1475" s="2001"/>
      <c r="X1475" s="2001"/>
      <c r="Y1475" s="2001"/>
      <c r="Z1475" s="2001"/>
      <c r="AA1475" s="2001"/>
      <c r="AB1475" s="2001"/>
      <c r="AC1475" s="2001"/>
      <c r="AD1475" s="2001"/>
      <c r="AE1475" s="2001"/>
      <c r="AF1475" s="2001"/>
    </row>
    <row r="1476" spans="1:32" ht="14.5">
      <c r="A1476" s="2001"/>
      <c r="B1476" s="2890" t="s">
        <v>1725</v>
      </c>
      <c r="C1476" s="1974"/>
      <c r="D1476" s="2890"/>
      <c r="E1476" s="2007"/>
      <c r="F1476" s="2007"/>
      <c r="G1476" s="2007"/>
      <c r="H1476" s="2007"/>
      <c r="I1476" s="2007"/>
      <c r="J1476" s="2007"/>
      <c r="K1476" s="2007"/>
      <c r="L1476" s="2007"/>
      <c r="M1476" s="2007"/>
      <c r="N1476" s="2007"/>
      <c r="O1476" s="2866"/>
      <c r="P1476" s="1973"/>
      <c r="Q1476" s="2001"/>
      <c r="R1476" s="2001"/>
      <c r="S1476" s="2001"/>
      <c r="T1476" s="2001"/>
      <c r="U1476" s="2001"/>
      <c r="V1476" s="2001"/>
      <c r="W1476" s="2001"/>
      <c r="X1476" s="2001"/>
      <c r="Y1476" s="2001"/>
      <c r="Z1476" s="2001"/>
      <c r="AA1476" s="2001"/>
      <c r="AB1476" s="2001"/>
      <c r="AC1476" s="2001"/>
      <c r="AD1476" s="2001"/>
      <c r="AE1476" s="2001"/>
      <c r="AF1476" s="2001"/>
    </row>
    <row r="1477" spans="1:32" ht="14">
      <c r="A1477" s="2007"/>
      <c r="B1477" s="2007"/>
      <c r="C1477" s="2007"/>
      <c r="D1477" s="2007"/>
      <c r="E1477" s="2007"/>
      <c r="F1477" s="2007"/>
      <c r="G1477" s="2007"/>
      <c r="H1477" s="2007"/>
      <c r="I1477" s="2007"/>
      <c r="J1477" s="2007"/>
      <c r="K1477" s="2007"/>
      <c r="L1477" s="2007"/>
      <c r="M1477" s="2007"/>
      <c r="N1477" s="2007"/>
      <c r="O1477" s="2007"/>
      <c r="P1477" s="2007"/>
      <c r="Q1477" s="1973"/>
      <c r="R1477" s="2001"/>
      <c r="S1477" s="2001"/>
      <c r="T1477" s="2001"/>
      <c r="U1477" s="2001"/>
      <c r="V1477" s="2001"/>
      <c r="W1477" s="2001"/>
      <c r="X1477" s="2001"/>
      <c r="Y1477" s="2001"/>
      <c r="Z1477" s="2001"/>
      <c r="AA1477" s="2001"/>
      <c r="AB1477" s="2001"/>
      <c r="AC1477" s="2001"/>
      <c r="AD1477" s="2001"/>
      <c r="AE1477" s="2001"/>
      <c r="AF1477" s="2001"/>
    </row>
    <row r="1478" spans="1:32" ht="14">
      <c r="A1478" s="2001"/>
      <c r="B1478" s="2001"/>
      <c r="C1478" s="2001"/>
      <c r="D1478" s="2001"/>
      <c r="E1478" s="2001"/>
      <c r="F1478" s="2001"/>
      <c r="G1478" s="2001"/>
      <c r="H1478" s="2001"/>
      <c r="I1478" s="2001"/>
      <c r="J1478" s="2001"/>
      <c r="K1478" s="2001"/>
      <c r="L1478" s="2001"/>
      <c r="M1478" s="2001"/>
      <c r="N1478" s="2001"/>
      <c r="O1478" s="2009"/>
      <c r="P1478" s="2009"/>
      <c r="Q1478" s="2001"/>
      <c r="R1478" s="2001"/>
      <c r="S1478" s="2001"/>
      <c r="T1478" s="2001"/>
      <c r="U1478" s="2001"/>
      <c r="V1478" s="2001"/>
      <c r="W1478" s="2001"/>
      <c r="X1478" s="2001"/>
      <c r="Y1478" s="2001"/>
      <c r="Z1478" s="2001"/>
      <c r="AA1478" s="2001"/>
      <c r="AB1478" s="2001"/>
      <c r="AC1478" s="2001"/>
      <c r="AD1478" s="2001"/>
      <c r="AE1478" s="2001"/>
      <c r="AF1478" s="2001"/>
    </row>
    <row r="1479" spans="1:32" ht="14">
      <c r="A1479" s="2001"/>
      <c r="B1479" s="2001"/>
      <c r="C1479" s="2001"/>
      <c r="D1479" s="2001"/>
      <c r="E1479" s="2001"/>
      <c r="F1479" s="2001"/>
      <c r="G1479" s="2001"/>
      <c r="H1479" s="2001"/>
      <c r="I1479" s="2001"/>
      <c r="J1479" s="2001"/>
      <c r="K1479" s="2001"/>
      <c r="L1479" s="2001"/>
      <c r="M1479" s="2001"/>
      <c r="N1479" s="1992"/>
      <c r="O1479" s="2003"/>
      <c r="P1479" s="2003"/>
      <c r="Q1479" s="2001"/>
      <c r="R1479" s="2001"/>
      <c r="S1479" s="2001"/>
      <c r="T1479" s="2001"/>
      <c r="U1479" s="2001"/>
      <c r="V1479" s="2001"/>
      <c r="W1479" s="2001"/>
      <c r="X1479" s="2001"/>
      <c r="Y1479" s="2001"/>
      <c r="Z1479" s="2001"/>
      <c r="AA1479" s="2001"/>
      <c r="AB1479" s="2001"/>
      <c r="AC1479" s="2001"/>
      <c r="AD1479" s="2001"/>
      <c r="AE1479" s="2001"/>
      <c r="AF1479" s="2001"/>
    </row>
    <row r="1480" spans="1:32" ht="14">
      <c r="A1480" s="2398" t="s">
        <v>3281</v>
      </c>
      <c r="B1480" s="2399" t="s">
        <v>3834</v>
      </c>
      <c r="C1480" s="2001"/>
      <c r="D1480" s="2001"/>
      <c r="E1480" s="2001"/>
      <c r="F1480" s="2001"/>
      <c r="G1480" s="2877"/>
      <c r="H1480" s="2001"/>
      <c r="I1480" s="2406" t="str">
        <f>IF($O$274&gt;0,"Points already claimed in another restricted section!","")</f>
        <v/>
      </c>
      <c r="J1480" s="2001"/>
      <c r="K1480" s="2976" t="str">
        <f>IF(AND(SUM(O1482,O1485,O1489)&gt;0,NOT($H$11="New Affordability"),NOT($C$16="9%")), "Not 9% New Affordability!","")</f>
        <v/>
      </c>
      <c r="L1480" s="2876" t="s">
        <v>4866</v>
      </c>
      <c r="M1480" s="2403">
        <v>5</v>
      </c>
      <c r="N1480" s="1987"/>
      <c r="O1480" s="2000">
        <f>'Part VIII Scoring Criteria'!O286</f>
        <v>0</v>
      </c>
      <c r="P1480" s="2000">
        <f>'Part VIII Scoring Criteria'!P286</f>
        <v>0</v>
      </c>
      <c r="Q1480" s="2403" t="s">
        <v>415</v>
      </c>
      <c r="R1480" s="2880"/>
      <c r="S1480" s="1973"/>
      <c r="T1480" s="1973"/>
      <c r="U1480" s="1973"/>
      <c r="V1480" s="1973"/>
      <c r="W1480" s="2009"/>
      <c r="X1480" s="2009"/>
      <c r="Y1480" s="2001"/>
      <c r="Z1480" s="2001"/>
      <c r="AA1480" s="2001"/>
      <c r="AB1480" s="2001"/>
      <c r="AC1480" s="2001"/>
      <c r="AD1480" s="2001"/>
      <c r="AE1480" s="2001"/>
      <c r="AF1480" s="2001"/>
    </row>
    <row r="1481" spans="1:32" ht="14">
      <c r="A1481" s="2001"/>
      <c r="B1481" s="2001" t="s">
        <v>4887</v>
      </c>
      <c r="C1481" s="2001"/>
      <c r="D1481" s="2001"/>
      <c r="E1481" s="2001"/>
      <c r="F1481" s="2001"/>
      <c r="G1481" s="2001"/>
      <c r="H1481" s="2001"/>
      <c r="I1481" s="2001"/>
      <c r="J1481" s="2001"/>
      <c r="K1481" s="2001"/>
      <c r="L1481" s="2001"/>
      <c r="M1481" s="2001"/>
      <c r="N1481" s="1992"/>
      <c r="O1481" s="2003"/>
      <c r="P1481" s="2003"/>
      <c r="Q1481" s="2001"/>
      <c r="R1481" s="2001"/>
      <c r="S1481" s="2001"/>
      <c r="T1481" s="2001"/>
      <c r="U1481" s="2001"/>
      <c r="V1481" s="2001"/>
      <c r="W1481" s="2001"/>
      <c r="X1481" s="2001"/>
      <c r="Y1481" s="2001"/>
      <c r="Z1481" s="2001"/>
      <c r="AA1481" s="2001"/>
      <c r="AB1481" s="2001"/>
      <c r="AC1481" s="2001"/>
      <c r="AD1481" s="2001"/>
      <c r="AE1481" s="2001"/>
      <c r="AF1481" s="2001"/>
    </row>
    <row r="1482" spans="1:32" ht="14">
      <c r="A1482" s="2403" t="s">
        <v>1836</v>
      </c>
      <c r="B1482" s="1973" t="s">
        <v>4888</v>
      </c>
      <c r="C1482" s="1974"/>
      <c r="D1482" s="1974"/>
      <c r="E1482" s="1974"/>
      <c r="F1482" s="1974"/>
      <c r="G1482" s="1974"/>
      <c r="H1482" s="1974"/>
      <c r="I1482" s="1974"/>
      <c r="J1482" s="1974"/>
      <c r="K1482" s="1974"/>
      <c r="L1482" s="2910" t="s">
        <v>4866</v>
      </c>
      <c r="M1482" s="1987">
        <v>5</v>
      </c>
      <c r="N1482" s="2401"/>
      <c r="O1482" s="2403">
        <f>'Part VIII Scoring Criteria'!O288</f>
        <v>0</v>
      </c>
      <c r="P1482" s="2000"/>
      <c r="Q1482" s="2879" t="str">
        <f>IF(OR($O1482&lt;=$M1482,$O1482=""),"","*CHECK!*")</f>
        <v/>
      </c>
      <c r="R1482" s="2880"/>
      <c r="S1482" s="1973"/>
      <c r="T1482" s="1973"/>
      <c r="U1482" s="1973"/>
      <c r="V1482" s="1973"/>
      <c r="W1482" s="1974"/>
      <c r="X1482" s="1974"/>
      <c r="Y1482" s="1974"/>
      <c r="Z1482" s="1974"/>
      <c r="AA1482" s="1974"/>
      <c r="AB1482" s="1974"/>
      <c r="AC1482" s="1974"/>
      <c r="AD1482" s="1974"/>
      <c r="AE1482" s="1974"/>
      <c r="AF1482" s="1974"/>
    </row>
    <row r="1483" spans="1:32" ht="14">
      <c r="A1483" s="2001"/>
      <c r="B1483" s="2001"/>
      <c r="C1483" s="2001" t="s">
        <v>4953</v>
      </c>
      <c r="D1483" s="2001"/>
      <c r="E1483" s="2001"/>
      <c r="F1483" s="2001"/>
      <c r="G1483" s="2001"/>
      <c r="H1483" s="2001"/>
      <c r="I1483" s="2001"/>
      <c r="J1483" s="2001"/>
      <c r="K1483" s="2001"/>
      <c r="L1483" s="2001"/>
      <c r="M1483" s="2001"/>
      <c r="N1483" s="1992"/>
      <c r="O1483" s="2403">
        <f>'Part VIII Scoring Criteria'!O289</f>
        <v>0</v>
      </c>
      <c r="P1483" s="2000"/>
      <c r="Q1483" s="2001"/>
      <c r="R1483" s="2001"/>
      <c r="S1483" s="2001"/>
      <c r="T1483" s="2001"/>
      <c r="U1483" s="2001"/>
      <c r="V1483" s="2001"/>
      <c r="W1483" s="2001"/>
      <c r="X1483" s="2001"/>
      <c r="Y1483" s="2001"/>
      <c r="Z1483" s="2001"/>
      <c r="AA1483" s="2001"/>
      <c r="AB1483" s="2001"/>
      <c r="AC1483" s="2001"/>
      <c r="AD1483" s="2001"/>
      <c r="AE1483" s="2001"/>
      <c r="AF1483" s="2001"/>
    </row>
    <row r="1484" spans="1:32" ht="14">
      <c r="A1484" s="2001"/>
      <c r="B1484" s="2001"/>
      <c r="C1484" s="2001" t="s">
        <v>5042</v>
      </c>
      <c r="D1484" s="2001"/>
      <c r="E1484" s="2001"/>
      <c r="F1484" s="2001"/>
      <c r="G1484" s="2001"/>
      <c r="H1484" s="2001"/>
      <c r="I1484" s="2001"/>
      <c r="J1484" s="2001"/>
      <c r="K1484" s="2001"/>
      <c r="L1484" s="2001"/>
      <c r="M1484" s="2001"/>
      <c r="N1484" s="1992"/>
      <c r="O1484" s="2403">
        <f>'Part VIII Scoring Criteria'!O290</f>
        <v>0</v>
      </c>
      <c r="P1484" s="2000"/>
      <c r="Q1484" s="2001"/>
      <c r="R1484" s="2001"/>
      <c r="S1484" s="2001"/>
      <c r="T1484" s="2001"/>
      <c r="U1484" s="2001"/>
      <c r="V1484" s="2001"/>
      <c r="W1484" s="2001"/>
      <c r="X1484" s="2001"/>
      <c r="Y1484" s="2001"/>
      <c r="Z1484" s="2001"/>
      <c r="AA1484" s="2001"/>
      <c r="AB1484" s="2001"/>
      <c r="AC1484" s="2001"/>
      <c r="AD1484" s="2001"/>
      <c r="AE1484" s="2001"/>
      <c r="AF1484" s="2001"/>
    </row>
    <row r="1485" spans="1:32" ht="14">
      <c r="A1485" s="2403" t="s">
        <v>1838</v>
      </c>
      <c r="B1485" s="1973" t="s">
        <v>4889</v>
      </c>
      <c r="C1485" s="1974"/>
      <c r="D1485" s="1974"/>
      <c r="E1485" s="1974"/>
      <c r="F1485" s="1974"/>
      <c r="G1485" s="1974"/>
      <c r="H1485" s="1974"/>
      <c r="I1485" s="1974"/>
      <c r="J1485" s="1974"/>
      <c r="K1485" s="1974"/>
      <c r="L1485" s="2910" t="s">
        <v>4866</v>
      </c>
      <c r="M1485" s="1987">
        <v>3</v>
      </c>
      <c r="N1485" s="2401"/>
      <c r="O1485" s="2403">
        <f>'Part VIII Scoring Criteria'!O291</f>
        <v>0</v>
      </c>
      <c r="P1485" s="2000"/>
      <c r="Q1485" s="2879" t="str">
        <f>IF(OR($O1485&lt;=$M1485,$O1485=""),"","*CHECK!*")</f>
        <v/>
      </c>
      <c r="R1485" s="2880"/>
      <c r="S1485" s="1974"/>
      <c r="T1485" s="1974"/>
      <c r="U1485" s="1974"/>
      <c r="V1485" s="1974"/>
      <c r="W1485" s="1974"/>
      <c r="X1485" s="1974"/>
      <c r="Y1485" s="1974"/>
      <c r="Z1485" s="1974"/>
      <c r="AA1485" s="1974"/>
      <c r="AB1485" s="1974"/>
      <c r="AC1485" s="1974"/>
      <c r="AD1485" s="1974"/>
      <c r="AE1485" s="1974"/>
      <c r="AF1485" s="1974"/>
    </row>
    <row r="1486" spans="1:32" ht="14">
      <c r="A1486" s="2001"/>
      <c r="B1486" s="2001"/>
      <c r="C1486" s="2001" t="s">
        <v>4891</v>
      </c>
      <c r="D1486" s="2001"/>
      <c r="E1486" s="2001"/>
      <c r="F1486" s="2001"/>
      <c r="G1486" s="2001"/>
      <c r="H1486" s="2001"/>
      <c r="I1486" s="2001"/>
      <c r="J1486" s="2001"/>
      <c r="K1486" s="2001"/>
      <c r="L1486" s="2001"/>
      <c r="M1486" s="2001"/>
      <c r="N1486" s="1992"/>
      <c r="O1486" s="2403">
        <f>'Part VIII Scoring Criteria'!O292</f>
        <v>0</v>
      </c>
      <c r="P1486" s="2000"/>
      <c r="Q1486" s="2001"/>
      <c r="R1486" s="2001"/>
      <c r="S1486" s="2001"/>
      <c r="T1486" s="2001"/>
      <c r="U1486" s="2001"/>
      <c r="V1486" s="2001"/>
      <c r="W1486" s="2001"/>
      <c r="X1486" s="2001"/>
      <c r="Y1486" s="2001"/>
      <c r="Z1486" s="2001"/>
      <c r="AA1486" s="2001"/>
      <c r="AB1486" s="2001"/>
      <c r="AC1486" s="2001"/>
      <c r="AD1486" s="2001"/>
      <c r="AE1486" s="2001"/>
      <c r="AF1486" s="2001"/>
    </row>
    <row r="1487" spans="1:32" ht="14">
      <c r="A1487" s="2001"/>
      <c r="B1487" s="2001"/>
      <c r="C1487" s="2001" t="s">
        <v>4999</v>
      </c>
      <c r="D1487" s="2001"/>
      <c r="E1487" s="2001"/>
      <c r="F1487" s="2001"/>
      <c r="G1487" s="2001"/>
      <c r="H1487" s="2001"/>
      <c r="I1487" s="2001"/>
      <c r="J1487" s="2001"/>
      <c r="K1487" s="2001"/>
      <c r="L1487" s="2950">
        <f>O1373</f>
        <v>4</v>
      </c>
      <c r="M1487" s="2001"/>
      <c r="N1487" s="1992"/>
      <c r="O1487" s="2403">
        <f>'Part VIII Scoring Criteria'!O293</f>
        <v>0</v>
      </c>
      <c r="P1487" s="2000"/>
      <c r="Q1487" s="2001"/>
      <c r="R1487" s="2001"/>
      <c r="S1487" s="2001"/>
      <c r="T1487" s="2001"/>
      <c r="U1487" s="2001"/>
      <c r="V1487" s="2001"/>
      <c r="W1487" s="2001"/>
      <c r="X1487" s="2001"/>
      <c r="Y1487" s="2001"/>
      <c r="Z1487" s="2001"/>
      <c r="AA1487" s="2001"/>
      <c r="AB1487" s="2001"/>
      <c r="AC1487" s="2001"/>
      <c r="AD1487" s="2001"/>
      <c r="AE1487" s="2001"/>
      <c r="AF1487" s="2001"/>
    </row>
    <row r="1488" spans="1:32" ht="14">
      <c r="A1488" s="2001"/>
      <c r="B1488" s="2001"/>
      <c r="C1488" s="2001" t="s">
        <v>5043</v>
      </c>
      <c r="D1488" s="2001"/>
      <c r="E1488" s="2001"/>
      <c r="F1488" s="2001"/>
      <c r="G1488" s="2001"/>
      <c r="H1488" s="2001"/>
      <c r="I1488" s="2001"/>
      <c r="J1488" s="2001"/>
      <c r="K1488" s="2001"/>
      <c r="L1488" s="2001"/>
      <c r="M1488" s="2001"/>
      <c r="N1488" s="1992"/>
      <c r="O1488" s="2403">
        <f>'Part VIII Scoring Criteria'!O294</f>
        <v>0</v>
      </c>
      <c r="P1488" s="2000"/>
      <c r="Q1488" s="2001"/>
      <c r="R1488" s="2001"/>
      <c r="S1488" s="2001"/>
      <c r="T1488" s="2001"/>
      <c r="U1488" s="2001"/>
      <c r="V1488" s="2001"/>
      <c r="W1488" s="2001"/>
      <c r="X1488" s="2001"/>
      <c r="Y1488" s="2001"/>
      <c r="Z1488" s="2001"/>
      <c r="AA1488" s="2001"/>
      <c r="AB1488" s="2001"/>
      <c r="AC1488" s="2001"/>
      <c r="AD1488" s="2001"/>
      <c r="AE1488" s="2001"/>
      <c r="AF1488" s="2001"/>
    </row>
    <row r="1489" spans="1:32" ht="14">
      <c r="A1489" s="2403" t="s">
        <v>697</v>
      </c>
      <c r="B1489" s="1973" t="s">
        <v>4890</v>
      </c>
      <c r="C1489" s="2001"/>
      <c r="D1489" s="2001"/>
      <c r="E1489" s="2001"/>
      <c r="F1489" s="2001"/>
      <c r="G1489" s="2004"/>
      <c r="H1489" s="2001"/>
      <c r="I1489" s="2877"/>
      <c r="J1489" s="2001"/>
      <c r="K1489" s="2001"/>
      <c r="L1489" s="2910" t="s">
        <v>4866</v>
      </c>
      <c r="M1489" s="1987">
        <v>3</v>
      </c>
      <c r="N1489" s="2401"/>
      <c r="O1489" s="2403">
        <f>'Part VIII Scoring Criteria'!O295</f>
        <v>0</v>
      </c>
      <c r="P1489" s="2000"/>
      <c r="Q1489" s="2879" t="str">
        <f>IF(OR($O1489&lt;=$M1489,$O1489=""),"","*CHECK!*")</f>
        <v/>
      </c>
      <c r="R1489" s="2880"/>
      <c r="S1489" s="2001"/>
      <c r="T1489" s="2001"/>
      <c r="U1489" s="2001"/>
      <c r="V1489" s="2001"/>
      <c r="W1489" s="2001"/>
      <c r="X1489" s="2001"/>
      <c r="Y1489" s="2001"/>
      <c r="Z1489" s="2001"/>
      <c r="AA1489" s="2001"/>
      <c r="AB1489" s="2001"/>
      <c r="AC1489" s="2001"/>
      <c r="AD1489" s="2001"/>
      <c r="AE1489" s="2001"/>
      <c r="AF1489" s="2001"/>
    </row>
    <row r="1490" spans="1:32" ht="14">
      <c r="A1490" s="2001"/>
      <c r="B1490" s="2001"/>
      <c r="C1490" s="2001" t="s">
        <v>4954</v>
      </c>
      <c r="D1490" s="2001"/>
      <c r="E1490" s="2001"/>
      <c r="F1490" s="2001"/>
      <c r="G1490" s="2001"/>
      <c r="H1490" s="2001"/>
      <c r="I1490" s="2001"/>
      <c r="J1490" s="2001"/>
      <c r="K1490" s="2001"/>
      <c r="L1490" s="2001"/>
      <c r="M1490" s="2001"/>
      <c r="N1490" s="1992"/>
      <c r="O1490" s="2979">
        <f>'Part VIII Scoring Criteria'!O296</f>
        <v>0</v>
      </c>
      <c r="P1490" s="2979"/>
      <c r="Q1490" s="2001"/>
      <c r="R1490" s="2001"/>
      <c r="S1490" s="2001"/>
      <c r="T1490" s="2001"/>
      <c r="U1490" s="2001"/>
      <c r="V1490" s="2001"/>
      <c r="W1490" s="2001"/>
      <c r="X1490" s="2001"/>
      <c r="Y1490" s="2001"/>
      <c r="Z1490" s="2001"/>
      <c r="AA1490" s="2001"/>
      <c r="AB1490" s="2001"/>
      <c r="AC1490" s="2001"/>
      <c r="AD1490" s="2001"/>
      <c r="AE1490" s="2001"/>
      <c r="AF1490" s="2001"/>
    </row>
    <row r="1491" spans="1:32" ht="14">
      <c r="A1491" s="2001"/>
      <c r="B1491" s="2001"/>
      <c r="C1491" s="2001"/>
      <c r="D1491" s="2001"/>
      <c r="E1491" s="2001"/>
      <c r="F1491" s="2001"/>
      <c r="G1491" s="2001"/>
      <c r="H1491" s="2001"/>
      <c r="I1491" s="2001"/>
      <c r="J1491" s="2001"/>
      <c r="K1491" s="2001"/>
      <c r="L1491" s="2001"/>
      <c r="M1491" s="2001"/>
      <c r="N1491" s="1992"/>
      <c r="O1491" s="2003"/>
      <c r="P1491" s="2003"/>
      <c r="Q1491" s="2001"/>
      <c r="R1491" s="2001"/>
      <c r="S1491" s="2001"/>
      <c r="T1491" s="2001"/>
      <c r="U1491" s="2001"/>
      <c r="V1491" s="2001"/>
      <c r="W1491" s="2001"/>
      <c r="X1491" s="2001"/>
      <c r="Y1491" s="2001"/>
      <c r="Z1491" s="2001"/>
      <c r="AA1491" s="2001"/>
      <c r="AB1491" s="2001"/>
      <c r="AC1491" s="2001"/>
      <c r="AD1491" s="2001"/>
      <c r="AE1491" s="2001"/>
      <c r="AF1491" s="2001"/>
    </row>
    <row r="1492" spans="1:32" ht="14.5">
      <c r="A1492" s="1974"/>
      <c r="B1492" s="2872" t="s">
        <v>5176</v>
      </c>
      <c r="C1492" s="1974"/>
      <c r="D1492" s="1974"/>
      <c r="E1492" s="1974"/>
      <c r="F1492" s="1974"/>
      <c r="G1492" s="1974"/>
      <c r="H1492" s="1974"/>
      <c r="I1492" s="1974"/>
      <c r="J1492" s="1974"/>
      <c r="K1492" s="1974"/>
      <c r="L1492" s="2001"/>
      <c r="M1492" s="1987"/>
      <c r="N1492" s="1992"/>
      <c r="O1492" s="2000"/>
      <c r="P1492" s="2003"/>
      <c r="Q1492" s="2001"/>
      <c r="R1492" s="2001"/>
      <c r="S1492" s="2001"/>
      <c r="T1492" s="2001"/>
      <c r="U1492" s="2001"/>
      <c r="V1492" s="2001"/>
      <c r="W1492" s="2001"/>
      <c r="X1492" s="2001"/>
      <c r="Y1492" s="2001"/>
      <c r="Z1492" s="2001"/>
      <c r="AA1492" s="2001"/>
      <c r="AB1492" s="2001"/>
      <c r="AC1492" s="2001"/>
      <c r="AD1492" s="2001"/>
      <c r="AE1492" s="2001"/>
      <c r="AF1492" s="2001"/>
    </row>
    <row r="1493" spans="1:32" ht="14">
      <c r="A1493" s="2008" t="str">
        <f>'Part VIII Scoring Criteria'!A299</f>
        <v xml:space="preserve">N/A for 4% Preservation applications. </v>
      </c>
      <c r="B1493" s="2007"/>
      <c r="C1493" s="2007"/>
      <c r="D1493" s="2007"/>
      <c r="E1493" s="2007"/>
      <c r="F1493" s="2007"/>
      <c r="G1493" s="2007"/>
      <c r="H1493" s="2007"/>
      <c r="I1493" s="2007"/>
      <c r="J1493" s="2007"/>
      <c r="K1493" s="2007"/>
      <c r="L1493" s="2007"/>
      <c r="M1493" s="2007"/>
      <c r="N1493" s="2007"/>
      <c r="O1493" s="2007"/>
      <c r="P1493" s="2007"/>
      <c r="Q1493" s="1973"/>
      <c r="R1493" s="2001"/>
      <c r="S1493" s="2001"/>
      <c r="T1493" s="2001"/>
      <c r="U1493" s="2001"/>
      <c r="V1493" s="2001"/>
      <c r="W1493" s="2001"/>
      <c r="X1493" s="2001"/>
      <c r="Y1493" s="2001"/>
      <c r="Z1493" s="2001"/>
      <c r="AA1493" s="2001"/>
      <c r="AB1493" s="2001"/>
      <c r="AC1493" s="2001"/>
      <c r="AD1493" s="2001"/>
      <c r="AE1493" s="2001"/>
      <c r="AF1493" s="2001"/>
    </row>
    <row r="1494" spans="1:32" ht="14.5">
      <c r="A1494" s="2001"/>
      <c r="B1494" s="2890" t="s">
        <v>1725</v>
      </c>
      <c r="C1494" s="1974"/>
      <c r="D1494" s="2890"/>
      <c r="E1494" s="2007"/>
      <c r="F1494" s="2007"/>
      <c r="G1494" s="2007"/>
      <c r="H1494" s="2007"/>
      <c r="I1494" s="2007"/>
      <c r="J1494" s="2007"/>
      <c r="K1494" s="2007"/>
      <c r="L1494" s="2007"/>
      <c r="M1494" s="2007"/>
      <c r="N1494" s="2007"/>
      <c r="O1494" s="2866"/>
      <c r="P1494" s="1973"/>
      <c r="Q1494" s="2001"/>
      <c r="R1494" s="2001"/>
      <c r="S1494" s="2001"/>
      <c r="T1494" s="2001"/>
      <c r="U1494" s="2001"/>
      <c r="V1494" s="2001"/>
      <c r="W1494" s="2001"/>
      <c r="X1494" s="2001"/>
      <c r="Y1494" s="2001"/>
      <c r="Z1494" s="2001"/>
      <c r="AA1494" s="2001"/>
      <c r="AB1494" s="2001"/>
      <c r="AC1494" s="2001"/>
      <c r="AD1494" s="2001"/>
      <c r="AE1494" s="2001"/>
      <c r="AF1494" s="2001"/>
    </row>
    <row r="1495" spans="1:32" ht="14">
      <c r="A1495" s="2007"/>
      <c r="B1495" s="2007"/>
      <c r="C1495" s="2007"/>
      <c r="D1495" s="2007"/>
      <c r="E1495" s="2007"/>
      <c r="F1495" s="2007"/>
      <c r="G1495" s="2007"/>
      <c r="H1495" s="2007"/>
      <c r="I1495" s="2007"/>
      <c r="J1495" s="2007"/>
      <c r="K1495" s="2007"/>
      <c r="L1495" s="2007"/>
      <c r="M1495" s="2007"/>
      <c r="N1495" s="2007"/>
      <c r="O1495" s="2007"/>
      <c r="P1495" s="2007"/>
      <c r="Q1495" s="1973"/>
      <c r="R1495" s="2001"/>
      <c r="S1495" s="2001"/>
      <c r="T1495" s="2001"/>
      <c r="U1495" s="2001"/>
      <c r="V1495" s="2001"/>
      <c r="W1495" s="2001"/>
      <c r="X1495" s="2001"/>
      <c r="Y1495" s="2001"/>
      <c r="Z1495" s="2001"/>
      <c r="AA1495" s="2001"/>
      <c r="AB1495" s="2001"/>
      <c r="AC1495" s="2001"/>
      <c r="AD1495" s="2001"/>
      <c r="AE1495" s="2001"/>
      <c r="AF1495" s="2001"/>
    </row>
    <row r="1496" spans="1:32" ht="14">
      <c r="A1496" s="2001"/>
      <c r="B1496" s="2001"/>
      <c r="C1496" s="2001"/>
      <c r="D1496" s="2001"/>
      <c r="E1496" s="2001"/>
      <c r="F1496" s="2001"/>
      <c r="G1496" s="2001"/>
      <c r="H1496" s="2001"/>
      <c r="I1496" s="2001"/>
      <c r="J1496" s="2001"/>
      <c r="K1496" s="2001"/>
      <c r="L1496" s="2001"/>
      <c r="M1496" s="2001"/>
      <c r="N1496" s="2001"/>
      <c r="O1496" s="2009"/>
      <c r="P1496" s="2009"/>
      <c r="Q1496" s="2001"/>
      <c r="R1496" s="2001"/>
      <c r="S1496" s="2001"/>
      <c r="T1496" s="2001"/>
      <c r="U1496" s="2001"/>
      <c r="V1496" s="2001"/>
      <c r="W1496" s="2001"/>
      <c r="X1496" s="2001"/>
      <c r="Y1496" s="2001"/>
      <c r="Z1496" s="2001"/>
      <c r="AA1496" s="2001"/>
      <c r="AB1496" s="2001"/>
      <c r="AC1496" s="2001"/>
      <c r="AD1496" s="2001"/>
      <c r="AE1496" s="2001"/>
      <c r="AF1496" s="2001"/>
    </row>
    <row r="1497" spans="1:32" ht="14">
      <c r="A1497" s="2001"/>
      <c r="B1497" s="2001"/>
      <c r="C1497" s="2001"/>
      <c r="D1497" s="2001"/>
      <c r="E1497" s="2001"/>
      <c r="F1497" s="2001"/>
      <c r="G1497" s="2001"/>
      <c r="H1497" s="2001"/>
      <c r="I1497" s="2001"/>
      <c r="J1497" s="2001"/>
      <c r="K1497" s="2001"/>
      <c r="L1497" s="2001"/>
      <c r="M1497" s="2001"/>
      <c r="N1497" s="1992"/>
      <c r="O1497" s="2003"/>
      <c r="P1497" s="2003"/>
      <c r="Q1497" s="2001"/>
      <c r="R1497" s="2001"/>
      <c r="S1497" s="2001"/>
      <c r="T1497" s="2001"/>
      <c r="U1497" s="2001"/>
      <c r="V1497" s="2001"/>
      <c r="W1497" s="2001"/>
      <c r="X1497" s="2001"/>
      <c r="Y1497" s="2001"/>
      <c r="Z1497" s="2001"/>
      <c r="AA1497" s="2001"/>
      <c r="AB1497" s="2001"/>
      <c r="AC1497" s="2001"/>
      <c r="AD1497" s="2001"/>
      <c r="AE1497" s="2001"/>
      <c r="AF1497" s="2001"/>
    </row>
    <row r="1498" spans="1:32" ht="14.5">
      <c r="A1498" s="2398" t="s">
        <v>3284</v>
      </c>
      <c r="B1498" s="2399" t="s">
        <v>4820</v>
      </c>
      <c r="C1498" s="1974"/>
      <c r="D1498" s="2399"/>
      <c r="E1498" s="2399"/>
      <c r="F1498" s="1974"/>
      <c r="G1498" s="2892"/>
      <c r="H1498" s="1974"/>
      <c r="I1498" s="1974"/>
      <c r="J1498" s="2406" t="str">
        <f>IF(OR($O$206&gt;0,$O$238&gt;0,$O$265&gt;0),"Points already claimed in another restricted section!","")</f>
        <v/>
      </c>
      <c r="K1498" s="2406" t="str">
        <f>IF(AND(O1498&gt;0,NOT($H$11="New Affordability")), "Not New Affordability!","")</f>
        <v/>
      </c>
      <c r="L1498" s="2876" t="s">
        <v>4866</v>
      </c>
      <c r="M1498" s="2403">
        <v>10</v>
      </c>
      <c r="N1498" s="1987"/>
      <c r="O1498" s="2000">
        <f>'Part VIII Scoring Criteria'!O304</f>
        <v>0</v>
      </c>
      <c r="P1498" s="2000">
        <f>'Part VIII Scoring Criteria'!P304</f>
        <v>0</v>
      </c>
      <c r="Q1498" s="2403" t="s">
        <v>415</v>
      </c>
      <c r="R1498" s="2961" t="s">
        <v>4957</v>
      </c>
      <c r="S1498" s="1973"/>
      <c r="T1498" s="1973"/>
      <c r="U1498" s="1973"/>
      <c r="V1498" s="2957">
        <f>$H$15</f>
        <v>0</v>
      </c>
      <c r="W1498" s="1974"/>
      <c r="X1498" s="1974"/>
      <c r="Y1498" s="1974"/>
      <c r="Z1498" s="1974"/>
      <c r="AA1498" s="1974"/>
      <c r="AB1498" s="1974"/>
      <c r="AC1498" s="1974"/>
      <c r="AD1498" s="1974"/>
      <c r="AE1498" s="1974"/>
      <c r="AF1498" s="1974"/>
    </row>
    <row r="1499" spans="1:32" ht="14">
      <c r="A1499" s="2398"/>
      <c r="B1499" s="2399"/>
      <c r="C1499" s="1974"/>
      <c r="D1499" s="2399"/>
      <c r="E1499" s="2399"/>
      <c r="F1499" s="1974"/>
      <c r="G1499" s="1974"/>
      <c r="H1499" s="1974"/>
      <c r="I1499" s="1974"/>
      <c r="J1499" s="1974"/>
      <c r="K1499" s="1974"/>
      <c r="L1499" s="2406"/>
      <c r="M1499" s="2403"/>
      <c r="N1499" s="1987"/>
      <c r="O1499" s="2000"/>
      <c r="P1499" s="2000"/>
      <c r="Q1499" s="2403"/>
      <c r="R1499" s="2880"/>
      <c r="S1499" s="1973"/>
      <c r="T1499" s="1973"/>
      <c r="U1499" s="1973"/>
      <c r="V1499" s="2001"/>
      <c r="W1499" s="2001"/>
      <c r="X1499" s="2001"/>
      <c r="Y1499" s="1974"/>
      <c r="Z1499" s="1974"/>
      <c r="AA1499" s="1974"/>
      <c r="AB1499" s="1974"/>
      <c r="AC1499" s="1974"/>
      <c r="AD1499" s="1974"/>
      <c r="AE1499" s="1974"/>
      <c r="AF1499" s="1974"/>
    </row>
    <row r="1500" spans="1:32" ht="14">
      <c r="A1500" s="2398"/>
      <c r="B1500" s="1974"/>
      <c r="C1500" s="1974" t="s">
        <v>4882</v>
      </c>
      <c r="D1500" s="2399"/>
      <c r="E1500" s="2399"/>
      <c r="F1500" s="1974"/>
      <c r="G1500" s="1974"/>
      <c r="H1500" s="1974"/>
      <c r="I1500" s="1974"/>
      <c r="J1500" s="2403" t="s">
        <v>2881</v>
      </c>
      <c r="K1500" s="2403" t="s">
        <v>245</v>
      </c>
      <c r="L1500" s="2406"/>
      <c r="M1500" s="2403"/>
      <c r="N1500" s="1987"/>
      <c r="O1500" s="2000"/>
      <c r="P1500" s="2000"/>
      <c r="Q1500" s="2403"/>
      <c r="R1500" s="2880"/>
      <c r="S1500" s="1973"/>
      <c r="T1500" s="1973"/>
      <c r="U1500" s="1973"/>
      <c r="V1500" s="2001"/>
      <c r="W1500" s="2001"/>
      <c r="X1500" s="2001"/>
      <c r="Y1500" s="1974"/>
      <c r="Z1500" s="1974"/>
      <c r="AA1500" s="1974"/>
      <c r="AB1500" s="1974"/>
      <c r="AC1500" s="1974"/>
      <c r="AD1500" s="1974"/>
      <c r="AE1500" s="1974"/>
      <c r="AF1500" s="1974"/>
    </row>
    <row r="1501" spans="1:32" ht="14">
      <c r="A1501" s="2398"/>
      <c r="B1501" s="2399"/>
      <c r="C1501" s="1974"/>
      <c r="D1501" s="1974" t="s">
        <v>3307</v>
      </c>
      <c r="E1501" s="2399"/>
      <c r="F1501" s="1974"/>
      <c r="G1501" s="1974"/>
      <c r="H1501" s="1974"/>
      <c r="I1501" s="1974"/>
      <c r="J1501" s="2950">
        <f>'Part VIII Scoring Criteria'!J307</f>
        <v>0</v>
      </c>
      <c r="K1501" s="2950">
        <f>'Part VIII Scoring Criteria'!K307</f>
        <v>0</v>
      </c>
      <c r="L1501" s="2406"/>
      <c r="M1501" s="1973" t="str">
        <f>'Part VIII Scoring Criteria'!M307</f>
        <v>Atlanta Metro</v>
      </c>
      <c r="N1501" s="1973"/>
      <c r="O1501" s="1973"/>
      <c r="P1501" s="1973"/>
      <c r="Q1501" s="2403"/>
      <c r="R1501" s="2880"/>
      <c r="S1501" s="1973"/>
      <c r="T1501" s="1973"/>
      <c r="U1501" s="1973"/>
      <c r="V1501" s="2001"/>
      <c r="W1501" s="2001"/>
      <c r="X1501" s="2001"/>
      <c r="Y1501" s="1974"/>
      <c r="Z1501" s="1974"/>
      <c r="AA1501" s="1974"/>
      <c r="AB1501" s="1974"/>
      <c r="AC1501" s="1974"/>
      <c r="AD1501" s="1974"/>
      <c r="AE1501" s="1974"/>
      <c r="AF1501" s="1974"/>
    </row>
    <row r="1502" spans="1:32" ht="14">
      <c r="A1502" s="2398"/>
      <c r="B1502" s="2399"/>
      <c r="C1502" s="1974"/>
      <c r="D1502" s="1974" t="s">
        <v>3908</v>
      </c>
      <c r="E1502" s="2399"/>
      <c r="F1502" s="1974"/>
      <c r="G1502" s="1974"/>
      <c r="H1502" s="1974"/>
      <c r="I1502" s="1974"/>
      <c r="J1502" s="2870">
        <f>'Part VIII Scoring Criteria'!J308</f>
        <v>8</v>
      </c>
      <c r="K1502" s="2870">
        <f>'Part VIII Scoring Criteria'!K308</f>
        <v>0</v>
      </c>
      <c r="L1502" s="2406"/>
      <c r="M1502" s="1973"/>
      <c r="N1502" s="1974"/>
      <c r="O1502" s="2891"/>
      <c r="P1502" s="2891"/>
      <c r="Q1502" s="2403"/>
      <c r="R1502" s="2880"/>
      <c r="S1502" s="1973"/>
      <c r="T1502" s="1973"/>
      <c r="U1502" s="1973"/>
      <c r="V1502" s="2001"/>
      <c r="W1502" s="2001"/>
      <c r="X1502" s="2001"/>
      <c r="Y1502" s="1974"/>
      <c r="Z1502" s="1974"/>
      <c r="AA1502" s="1974"/>
      <c r="AB1502" s="1974"/>
      <c r="AC1502" s="1974"/>
      <c r="AD1502" s="1974"/>
      <c r="AE1502" s="1974"/>
      <c r="AF1502" s="1974"/>
    </row>
    <row r="1503" spans="1:32" ht="14">
      <c r="A1503" s="2398"/>
      <c r="B1503" s="2399"/>
      <c r="C1503" s="1974"/>
      <c r="D1503" s="2399"/>
      <c r="E1503" s="2399"/>
      <c r="F1503" s="1974"/>
      <c r="G1503" s="1974"/>
      <c r="H1503" s="1974"/>
      <c r="I1503" s="1974"/>
      <c r="J1503" s="1974"/>
      <c r="K1503" s="1974"/>
      <c r="L1503" s="2406"/>
      <c r="M1503" s="2403"/>
      <c r="N1503" s="1987"/>
      <c r="O1503" s="2000"/>
      <c r="P1503" s="2000"/>
      <c r="Q1503" s="2403"/>
      <c r="R1503" s="2880"/>
      <c r="S1503" s="1973"/>
      <c r="T1503" s="1973"/>
      <c r="U1503" s="1973"/>
      <c r="V1503" s="2001"/>
      <c r="W1503" s="2001"/>
      <c r="X1503" s="2001"/>
      <c r="Y1503" s="1974"/>
      <c r="Z1503" s="1974"/>
      <c r="AA1503" s="1974"/>
      <c r="AB1503" s="1974"/>
      <c r="AC1503" s="1974"/>
      <c r="AD1503" s="1974"/>
      <c r="AE1503" s="1974"/>
      <c r="AF1503" s="1974"/>
    </row>
    <row r="1504" spans="1:32" ht="14">
      <c r="A1504" s="2403" t="s">
        <v>1836</v>
      </c>
      <c r="B1504" s="2896" t="s">
        <v>4892</v>
      </c>
      <c r="C1504" s="2001"/>
      <c r="D1504" s="2008"/>
      <c r="E1504" s="2008"/>
      <c r="F1504" s="2008"/>
      <c r="G1504" s="2008"/>
      <c r="H1504" s="2008"/>
      <c r="I1504" s="2001"/>
      <c r="J1504" s="2001"/>
      <c r="K1504" s="2001"/>
      <c r="L1504" s="2878" t="str">
        <f t="shared" ref="L1504:L1505" si="456">IF(OR($O1504=$M1504,$O1504=0,$O1504=""),"","* * Check Score! * *")</f>
        <v/>
      </c>
      <c r="M1504" s="1987">
        <v>5</v>
      </c>
      <c r="N1504" s="2401"/>
      <c r="O1504" s="2403">
        <f>'Part VIII Scoring Criteria'!O310</f>
        <v>0</v>
      </c>
      <c r="P1504" s="2000"/>
      <c r="Q1504" s="1992"/>
      <c r="R1504" s="1973"/>
      <c r="S1504" s="1973"/>
      <c r="T1504" s="1973"/>
      <c r="U1504" s="1973"/>
      <c r="V1504" s="1973"/>
      <c r="W1504" s="2001"/>
      <c r="X1504" s="2001"/>
      <c r="Y1504" s="2001"/>
      <c r="Z1504" s="2001"/>
      <c r="AA1504" s="2001"/>
      <c r="AB1504" s="2001"/>
      <c r="AC1504" s="2001"/>
      <c r="AD1504" s="2001"/>
      <c r="AE1504" s="2001"/>
      <c r="AF1504" s="2001"/>
    </row>
    <row r="1505" spans="1:32" ht="14">
      <c r="A1505" s="2403" t="s">
        <v>1838</v>
      </c>
      <c r="B1505" s="2896" t="s">
        <v>4893</v>
      </c>
      <c r="C1505" s="2001"/>
      <c r="D1505" s="2008"/>
      <c r="E1505" s="2001"/>
      <c r="F1505" s="2001"/>
      <c r="G1505" s="2001"/>
      <c r="H1505" s="2001"/>
      <c r="I1505" s="2001"/>
      <c r="J1505" s="2980" t="str">
        <f>'Part VIII Scoring Criteria'!J311</f>
        <v>Currently not eligible</v>
      </c>
      <c r="K1505" s="2001"/>
      <c r="L1505" s="2878" t="str">
        <f t="shared" si="456"/>
        <v/>
      </c>
      <c r="M1505" s="1987">
        <v>5</v>
      </c>
      <c r="N1505" s="2401"/>
      <c r="O1505" s="2000">
        <f>'Part VIII Scoring Criteria'!O311</f>
        <v>0</v>
      </c>
      <c r="P1505" s="2000">
        <f>'Part VIII Scoring Criteria'!P311</f>
        <v>0</v>
      </c>
      <c r="Q1505" s="1992"/>
      <c r="R1505" s="1973"/>
      <c r="S1505" s="1973"/>
      <c r="T1505" s="1973"/>
      <c r="U1505" s="1973"/>
      <c r="V1505" s="1973"/>
      <c r="W1505" s="2001"/>
      <c r="X1505" s="2001"/>
      <c r="Y1505" s="2001"/>
      <c r="Z1505" s="2001"/>
      <c r="AA1505" s="2001"/>
      <c r="AB1505" s="2001"/>
      <c r="AC1505" s="2001"/>
      <c r="AD1505" s="2001"/>
      <c r="AE1505" s="2001"/>
      <c r="AF1505" s="2001"/>
    </row>
    <row r="1506" spans="1:32" ht="14.5">
      <c r="A1506" s="1974"/>
      <c r="B1506" s="2872" t="s">
        <v>5176</v>
      </c>
      <c r="C1506" s="1974"/>
      <c r="D1506" s="1974"/>
      <c r="E1506" s="1974"/>
      <c r="F1506" s="1974"/>
      <c r="G1506" s="1974"/>
      <c r="H1506" s="1974"/>
      <c r="I1506" s="1974"/>
      <c r="J1506" s="1974"/>
      <c r="K1506" s="1974"/>
      <c r="L1506" s="2001"/>
      <c r="M1506" s="1987"/>
      <c r="N1506" s="1992"/>
      <c r="O1506" s="2000"/>
      <c r="P1506" s="2003"/>
      <c r="Q1506" s="2001"/>
      <c r="R1506" s="1973"/>
      <c r="S1506" s="1973"/>
      <c r="T1506" s="1973"/>
      <c r="U1506" s="1973"/>
      <c r="V1506" s="1973"/>
      <c r="W1506" s="2001"/>
      <c r="X1506" s="2001"/>
      <c r="Y1506" s="2001"/>
      <c r="Z1506" s="2001"/>
      <c r="AA1506" s="2001"/>
      <c r="AB1506" s="2001"/>
      <c r="AC1506" s="2001"/>
      <c r="AD1506" s="2001"/>
      <c r="AE1506" s="2001"/>
      <c r="AF1506" s="2001"/>
    </row>
    <row r="1507" spans="1:32" ht="14">
      <c r="A1507" s="2008" t="str">
        <f>'Part VIII Scoring Criteria'!A313</f>
        <v xml:space="preserve">N/A for 4% Preservation applications. </v>
      </c>
      <c r="B1507" s="2007"/>
      <c r="C1507" s="2007"/>
      <c r="D1507" s="2007"/>
      <c r="E1507" s="2007"/>
      <c r="F1507" s="2007"/>
      <c r="G1507" s="2007"/>
      <c r="H1507" s="2007"/>
      <c r="I1507" s="2007"/>
      <c r="J1507" s="2007"/>
      <c r="K1507" s="2007"/>
      <c r="L1507" s="2007"/>
      <c r="M1507" s="2007"/>
      <c r="N1507" s="2007"/>
      <c r="O1507" s="2007"/>
      <c r="P1507" s="2007"/>
      <c r="Q1507" s="1973"/>
      <c r="R1507" s="2001"/>
      <c r="S1507" s="2001"/>
      <c r="T1507" s="2001"/>
      <c r="U1507" s="2001"/>
      <c r="V1507" s="2001"/>
      <c r="W1507" s="2001"/>
      <c r="X1507" s="2001"/>
      <c r="Y1507" s="2001"/>
      <c r="Z1507" s="2001"/>
      <c r="AA1507" s="2001"/>
      <c r="AB1507" s="2001"/>
      <c r="AC1507" s="2001"/>
      <c r="AD1507" s="2001"/>
      <c r="AE1507" s="2001"/>
      <c r="AF1507" s="2001"/>
    </row>
    <row r="1508" spans="1:32" ht="14.5">
      <c r="A1508" s="1974"/>
      <c r="B1508" s="2890" t="s">
        <v>1725</v>
      </c>
      <c r="C1508" s="1974"/>
      <c r="D1508" s="2890"/>
      <c r="E1508" s="2007"/>
      <c r="F1508" s="2007"/>
      <c r="G1508" s="2007"/>
      <c r="H1508" s="2007"/>
      <c r="I1508" s="2007"/>
      <c r="J1508" s="2007"/>
      <c r="K1508" s="2007"/>
      <c r="L1508" s="2007"/>
      <c r="M1508" s="2007"/>
      <c r="N1508" s="2007"/>
      <c r="O1508" s="2866"/>
      <c r="P1508" s="1973"/>
      <c r="Q1508" s="2001"/>
      <c r="R1508" s="2001"/>
      <c r="S1508" s="2001"/>
      <c r="T1508" s="2001"/>
      <c r="U1508" s="2001"/>
      <c r="V1508" s="2001"/>
      <c r="W1508" s="2001"/>
      <c r="X1508" s="2001"/>
      <c r="Y1508" s="2001"/>
      <c r="Z1508" s="2001"/>
      <c r="AA1508" s="2001"/>
      <c r="AB1508" s="2001"/>
      <c r="AC1508" s="2001"/>
      <c r="AD1508" s="2001"/>
      <c r="AE1508" s="2001"/>
      <c r="AF1508" s="2001"/>
    </row>
    <row r="1509" spans="1:32" ht="14">
      <c r="A1509" s="2007"/>
      <c r="B1509" s="2007"/>
      <c r="C1509" s="2007"/>
      <c r="D1509" s="2007"/>
      <c r="E1509" s="2007"/>
      <c r="F1509" s="2007"/>
      <c r="G1509" s="2007"/>
      <c r="H1509" s="2007"/>
      <c r="I1509" s="2007"/>
      <c r="J1509" s="2007"/>
      <c r="K1509" s="2007"/>
      <c r="L1509" s="2007"/>
      <c r="M1509" s="2007"/>
      <c r="N1509" s="2007"/>
      <c r="O1509" s="2007"/>
      <c r="P1509" s="2007"/>
      <c r="Q1509" s="1973"/>
      <c r="R1509" s="2001"/>
      <c r="S1509" s="2001"/>
      <c r="T1509" s="2001"/>
      <c r="U1509" s="2001"/>
      <c r="V1509" s="2001"/>
      <c r="W1509" s="2001"/>
      <c r="X1509" s="2001"/>
      <c r="Y1509" s="2001"/>
      <c r="Z1509" s="2001"/>
      <c r="AA1509" s="2001"/>
      <c r="AB1509" s="2001"/>
      <c r="AC1509" s="2001"/>
      <c r="AD1509" s="2001"/>
      <c r="AE1509" s="2001"/>
      <c r="AF1509" s="2001"/>
    </row>
    <row r="1510" spans="1:32" ht="14">
      <c r="A1510" s="2001"/>
      <c r="B1510" s="2001"/>
      <c r="C1510" s="2001"/>
      <c r="D1510" s="2001"/>
      <c r="E1510" s="2001"/>
      <c r="F1510" s="2001"/>
      <c r="G1510" s="2001"/>
      <c r="H1510" s="2001"/>
      <c r="I1510" s="2001"/>
      <c r="J1510" s="2001"/>
      <c r="K1510" s="2001"/>
      <c r="L1510" s="2001"/>
      <c r="M1510" s="2001"/>
      <c r="N1510" s="2001"/>
      <c r="O1510" s="2009"/>
      <c r="P1510" s="2009"/>
      <c r="Q1510" s="2001"/>
      <c r="R1510" s="2001"/>
      <c r="S1510" s="2001"/>
      <c r="T1510" s="2001"/>
      <c r="U1510" s="2001"/>
      <c r="V1510" s="2001"/>
      <c r="W1510" s="2001"/>
      <c r="X1510" s="2001"/>
      <c r="Y1510" s="2001"/>
      <c r="Z1510" s="2001"/>
      <c r="AA1510" s="2001"/>
      <c r="AB1510" s="2001"/>
      <c r="AC1510" s="2001"/>
      <c r="AD1510" s="2001"/>
      <c r="AE1510" s="2001"/>
      <c r="AF1510" s="2001"/>
    </row>
    <row r="1511" spans="1:32" ht="14">
      <c r="A1511" s="2001"/>
      <c r="B1511" s="2001"/>
      <c r="C1511" s="2001"/>
      <c r="D1511" s="2001"/>
      <c r="E1511" s="2001"/>
      <c r="F1511" s="2001"/>
      <c r="G1511" s="2001"/>
      <c r="H1511" s="2001"/>
      <c r="I1511" s="2001"/>
      <c r="J1511" s="2001"/>
      <c r="K1511" s="2001"/>
      <c r="L1511" s="2001"/>
      <c r="M1511" s="2001"/>
      <c r="N1511" s="1992"/>
      <c r="O1511" s="2003"/>
      <c r="P1511" s="2003"/>
      <c r="Q1511" s="2001"/>
      <c r="R1511" s="2001"/>
      <c r="S1511" s="2001"/>
      <c r="T1511" s="2001"/>
      <c r="U1511" s="2001"/>
      <c r="V1511" s="2001"/>
      <c r="W1511" s="2001"/>
      <c r="X1511" s="2001"/>
      <c r="Y1511" s="2001"/>
      <c r="Z1511" s="2001"/>
      <c r="AA1511" s="2001"/>
      <c r="AB1511" s="2001"/>
      <c r="AC1511" s="2001"/>
      <c r="AD1511" s="2001"/>
      <c r="AE1511" s="2001"/>
      <c r="AF1511" s="2001"/>
    </row>
    <row r="1512" spans="1:32" ht="14">
      <c r="A1512" s="2398" t="s">
        <v>3285</v>
      </c>
      <c r="B1512" s="2399" t="s">
        <v>4821</v>
      </c>
      <c r="C1512" s="1974"/>
      <c r="D1512" s="2399"/>
      <c r="E1512" s="2399"/>
      <c r="F1512" s="1974"/>
      <c r="G1512" s="1974" t="str">
        <f>'Part VIII Scoring Criteria'!G318</f>
        <v>Atlanta Metro</v>
      </c>
      <c r="H1512" s="1974"/>
      <c r="I1512" s="1974"/>
      <c r="J1512" s="2878" t="str">
        <f t="shared" ref="J1512" si="457">IF(OR($O1512=$M1512,$O1512=0,$O1512=""),"","* * Check Score! * *")</f>
        <v/>
      </c>
      <c r="K1512" s="1974"/>
      <c r="L1512" s="2406" t="str">
        <f>IF(AND(O1512&gt;0,$L$11="Atlanta Metro"), "Atlanta Metro is ineligible to score in this section!","")</f>
        <v/>
      </c>
      <c r="M1512" s="2403">
        <v>1</v>
      </c>
      <c r="N1512" s="1987"/>
      <c r="O1512" s="2403">
        <f>'Part VIII Scoring Criteria'!O318</f>
        <v>0</v>
      </c>
      <c r="P1512" s="2408"/>
      <c r="Q1512" s="2403" t="s">
        <v>415</v>
      </c>
      <c r="R1512" s="1973"/>
      <c r="S1512" s="1973"/>
      <c r="T1512" s="1973"/>
      <c r="U1512" s="1973"/>
      <c r="V1512" s="1973"/>
      <c r="W1512" s="1974"/>
      <c r="X1512" s="1974"/>
      <c r="Y1512" s="1974"/>
      <c r="Z1512" s="1974"/>
      <c r="AA1512" s="1974"/>
      <c r="AB1512" s="1974"/>
      <c r="AC1512" s="1974"/>
      <c r="AD1512" s="1974"/>
      <c r="AE1512" s="1974"/>
      <c r="AF1512" s="1974"/>
    </row>
    <row r="1513" spans="1:32" ht="14">
      <c r="A1513" s="2398"/>
      <c r="B1513" s="2399"/>
      <c r="C1513" s="1974"/>
      <c r="D1513" s="2399"/>
      <c r="E1513" s="2399"/>
      <c r="F1513" s="1974"/>
      <c r="G1513" s="1974"/>
      <c r="H1513" s="1974"/>
      <c r="I1513" s="1974"/>
      <c r="J1513" s="1974"/>
      <c r="K1513" s="1974"/>
      <c r="L1513" s="1974"/>
      <c r="M1513" s="2403"/>
      <c r="N1513" s="1974"/>
      <c r="O1513" s="1974"/>
      <c r="P1513" s="1974"/>
      <c r="Q1513" s="2403"/>
      <c r="R1513" s="1973"/>
      <c r="S1513" s="1973"/>
      <c r="T1513" s="1973"/>
      <c r="U1513" s="1973"/>
      <c r="V1513" s="1973"/>
      <c r="W1513" s="2001"/>
      <c r="X1513" s="2001"/>
      <c r="Y1513" s="1974"/>
      <c r="Z1513" s="1974"/>
      <c r="AA1513" s="1974"/>
      <c r="AB1513" s="1974"/>
      <c r="AC1513" s="1974"/>
      <c r="AD1513" s="1974"/>
      <c r="AE1513" s="1974"/>
      <c r="AF1513" s="1974"/>
    </row>
    <row r="1514" spans="1:32" ht="15" customHeight="1">
      <c r="A1514" s="2398"/>
      <c r="B1514" s="2399"/>
      <c r="C1514" s="1974" t="s">
        <v>4901</v>
      </c>
      <c r="D1514" s="2399"/>
      <c r="E1514" s="2399"/>
      <c r="F1514" s="1974"/>
      <c r="G1514" s="1974"/>
      <c r="H1514" s="1974"/>
      <c r="I1514" s="1974"/>
      <c r="J1514" s="1974"/>
      <c r="K1514" s="1974"/>
      <c r="L1514" s="1974" t="s">
        <v>4903</v>
      </c>
      <c r="M1514" s="1974"/>
      <c r="N1514" s="1974"/>
      <c r="O1514" s="1974" t="s">
        <v>4904</v>
      </c>
      <c r="P1514" s="1974"/>
      <c r="Q1514" s="2403"/>
      <c r="R1514" s="1973"/>
      <c r="S1514" s="1973"/>
      <c r="T1514" s="1973"/>
      <c r="U1514" s="1973"/>
      <c r="V1514" s="1973"/>
      <c r="W1514" s="2001"/>
      <c r="X1514" s="2001"/>
      <c r="Y1514" s="1974"/>
      <c r="Z1514" s="1974"/>
      <c r="AA1514" s="1974"/>
      <c r="AB1514" s="1974"/>
      <c r="AC1514" s="1974"/>
      <c r="AD1514" s="1974"/>
      <c r="AE1514" s="1974"/>
      <c r="AF1514" s="1974"/>
    </row>
    <row r="1515" spans="1:32" ht="14">
      <c r="A1515" s="2398"/>
      <c r="B1515" s="1974"/>
      <c r="C1515" s="1974" t="s">
        <v>4902</v>
      </c>
      <c r="D1515" s="2399"/>
      <c r="E1515" s="2399"/>
      <c r="F1515" s="1974" t="s">
        <v>4116</v>
      </c>
      <c r="G1515" s="1974"/>
      <c r="H1515" s="1974"/>
      <c r="I1515" s="1974" t="s">
        <v>574</v>
      </c>
      <c r="J1515" s="1974"/>
      <c r="K1515" s="1987" t="s">
        <v>4726</v>
      </c>
      <c r="L1515" s="1974"/>
      <c r="M1515" s="1974"/>
      <c r="N1515" s="1974"/>
      <c r="O1515" s="1974"/>
      <c r="P1515" s="1974"/>
      <c r="Q1515" s="2403"/>
      <c r="R1515" s="1973"/>
      <c r="S1515" s="1973"/>
      <c r="T1515" s="1973"/>
      <c r="U1515" s="1973"/>
      <c r="V1515" s="1973"/>
      <c r="W1515" s="2001"/>
      <c r="X1515" s="2001"/>
      <c r="Y1515" s="1974"/>
      <c r="Z1515" s="1974"/>
      <c r="AA1515" s="1974"/>
      <c r="AB1515" s="1974"/>
      <c r="AC1515" s="1974"/>
      <c r="AD1515" s="1974"/>
      <c r="AE1515" s="1974"/>
      <c r="AF1515" s="1974"/>
    </row>
    <row r="1516" spans="1:32" ht="14">
      <c r="A1516" s="2398"/>
      <c r="B1516" s="2963" t="s">
        <v>1839</v>
      </c>
      <c r="C1516" s="2008">
        <f>'Part VIII Scoring Criteria'!C322</f>
        <v>0</v>
      </c>
      <c r="D1516" s="2930"/>
      <c r="E1516" s="2930"/>
      <c r="F1516" s="2008">
        <f>'Part VIII Scoring Criteria'!F322</f>
        <v>0</v>
      </c>
      <c r="G1516" s="2930"/>
      <c r="H1516" s="2930"/>
      <c r="I1516" s="2008">
        <f>'Part VIII Scoring Criteria'!I322</f>
        <v>0</v>
      </c>
      <c r="J1516" s="2930"/>
      <c r="K1516" s="2981">
        <f>'Part VIII Scoring Criteria'!K322</f>
        <v>0</v>
      </c>
      <c r="L1516" s="2930">
        <f>'Part VIII Scoring Criteria'!L322</f>
        <v>0</v>
      </c>
      <c r="M1516" s="2930"/>
      <c r="N1516" s="2959"/>
      <c r="O1516" s="2930">
        <f>'Part VIII Scoring Criteria'!O322</f>
        <v>0</v>
      </c>
      <c r="P1516" s="2959"/>
      <c r="Q1516" s="2403"/>
      <c r="R1516" s="1973"/>
      <c r="S1516" s="1973"/>
      <c r="T1516" s="1973"/>
      <c r="U1516" s="1973"/>
      <c r="V1516" s="1973"/>
      <c r="W1516" s="2001"/>
      <c r="X1516" s="2001"/>
      <c r="Y1516" s="1974"/>
      <c r="Z1516" s="1974"/>
      <c r="AA1516" s="1974"/>
      <c r="AB1516" s="1974"/>
      <c r="AC1516" s="1974"/>
      <c r="AD1516" s="1974"/>
      <c r="AE1516" s="1974"/>
      <c r="AF1516" s="1974"/>
    </row>
    <row r="1517" spans="1:32" ht="14">
      <c r="A1517" s="2398"/>
      <c r="B1517" s="2881" t="s">
        <v>1841</v>
      </c>
      <c r="C1517" s="2008">
        <f>'Part VIII Scoring Criteria'!C323</f>
        <v>0</v>
      </c>
      <c r="D1517" s="2930"/>
      <c r="E1517" s="2930"/>
      <c r="F1517" s="2008">
        <f>'Part VIII Scoring Criteria'!F323</f>
        <v>0</v>
      </c>
      <c r="G1517" s="2930"/>
      <c r="H1517" s="2930"/>
      <c r="I1517" s="2008">
        <f>'Part VIII Scoring Criteria'!I323</f>
        <v>0</v>
      </c>
      <c r="J1517" s="2930"/>
      <c r="K1517" s="2981">
        <f>'Part VIII Scoring Criteria'!K323</f>
        <v>0</v>
      </c>
      <c r="L1517" s="2930">
        <f>'Part VIII Scoring Criteria'!L323</f>
        <v>0</v>
      </c>
      <c r="M1517" s="2930"/>
      <c r="N1517" s="2959"/>
      <c r="O1517" s="2930">
        <f>'Part VIII Scoring Criteria'!O323</f>
        <v>0</v>
      </c>
      <c r="P1517" s="2959"/>
      <c r="Q1517" s="2403"/>
      <c r="R1517" s="1973"/>
      <c r="S1517" s="1973"/>
      <c r="T1517" s="1973"/>
      <c r="U1517" s="1973"/>
      <c r="V1517" s="1973"/>
      <c r="W1517" s="2001"/>
      <c r="X1517" s="2001"/>
      <c r="Y1517" s="1974"/>
      <c r="Z1517" s="1974"/>
      <c r="AA1517" s="1974"/>
      <c r="AB1517" s="1974"/>
      <c r="AC1517" s="1974"/>
      <c r="AD1517" s="1974"/>
      <c r="AE1517" s="1974"/>
      <c r="AF1517" s="1974"/>
    </row>
    <row r="1518" spans="1:32" ht="14">
      <c r="A1518" s="2398"/>
      <c r="B1518" s="2881" t="s">
        <v>2326</v>
      </c>
      <c r="C1518" s="2008">
        <f>'Part VIII Scoring Criteria'!C324</f>
        <v>0</v>
      </c>
      <c r="D1518" s="2930"/>
      <c r="E1518" s="2930"/>
      <c r="F1518" s="2008">
        <f>'Part VIII Scoring Criteria'!F324</f>
        <v>0</v>
      </c>
      <c r="G1518" s="2930"/>
      <c r="H1518" s="2930"/>
      <c r="I1518" s="2008">
        <f>'Part VIII Scoring Criteria'!I324</f>
        <v>0</v>
      </c>
      <c r="J1518" s="2930"/>
      <c r="K1518" s="2981">
        <f>'Part VIII Scoring Criteria'!K324</f>
        <v>0</v>
      </c>
      <c r="L1518" s="2930">
        <f>'Part VIII Scoring Criteria'!L324</f>
        <v>0</v>
      </c>
      <c r="M1518" s="2930"/>
      <c r="N1518" s="2959"/>
      <c r="O1518" s="2930">
        <f>'Part VIII Scoring Criteria'!O324</f>
        <v>0</v>
      </c>
      <c r="P1518" s="2959"/>
      <c r="Q1518" s="2403"/>
      <c r="R1518" s="1973"/>
      <c r="S1518" s="1973"/>
      <c r="T1518" s="1973"/>
      <c r="U1518" s="1973"/>
      <c r="V1518" s="1973"/>
      <c r="W1518" s="2001"/>
      <c r="X1518" s="2001"/>
      <c r="Y1518" s="1974"/>
      <c r="Z1518" s="1974"/>
      <c r="AA1518" s="1974"/>
      <c r="AB1518" s="1974"/>
      <c r="AC1518" s="1974"/>
      <c r="AD1518" s="1974"/>
      <c r="AE1518" s="1974"/>
      <c r="AF1518" s="1974"/>
    </row>
    <row r="1519" spans="1:32" ht="14">
      <c r="A1519" s="2398"/>
      <c r="B1519" s="2881" t="s">
        <v>1149</v>
      </c>
      <c r="C1519" s="2008">
        <f>'Part VIII Scoring Criteria'!C325</f>
        <v>0</v>
      </c>
      <c r="D1519" s="2930"/>
      <c r="E1519" s="2930"/>
      <c r="F1519" s="2008">
        <f>'Part VIII Scoring Criteria'!F325</f>
        <v>0</v>
      </c>
      <c r="G1519" s="2930"/>
      <c r="H1519" s="2930"/>
      <c r="I1519" s="2008">
        <f>'Part VIII Scoring Criteria'!I325</f>
        <v>0</v>
      </c>
      <c r="J1519" s="2930"/>
      <c r="K1519" s="2981">
        <f>'Part VIII Scoring Criteria'!K325</f>
        <v>0</v>
      </c>
      <c r="L1519" s="2930">
        <f>'Part VIII Scoring Criteria'!L325</f>
        <v>0</v>
      </c>
      <c r="M1519" s="2930"/>
      <c r="N1519" s="2959"/>
      <c r="O1519" s="2930">
        <f>'Part VIII Scoring Criteria'!O325</f>
        <v>0</v>
      </c>
      <c r="P1519" s="2959"/>
      <c r="Q1519" s="2403"/>
      <c r="R1519" s="1973"/>
      <c r="S1519" s="1973"/>
      <c r="T1519" s="1973"/>
      <c r="U1519" s="1973"/>
      <c r="V1519" s="1973"/>
      <c r="W1519" s="2001"/>
      <c r="X1519" s="2001"/>
      <c r="Y1519" s="1974"/>
      <c r="Z1519" s="1974"/>
      <c r="AA1519" s="1974"/>
      <c r="AB1519" s="1974"/>
      <c r="AC1519" s="1974"/>
      <c r="AD1519" s="1974"/>
      <c r="AE1519" s="1974"/>
      <c r="AF1519" s="1974"/>
    </row>
    <row r="1520" spans="1:32" ht="14.5">
      <c r="A1520" s="1974"/>
      <c r="B1520" s="2872" t="s">
        <v>5176</v>
      </c>
      <c r="C1520" s="1974"/>
      <c r="D1520" s="1974"/>
      <c r="E1520" s="1974"/>
      <c r="F1520" s="1974"/>
      <c r="G1520" s="1974"/>
      <c r="H1520" s="1974"/>
      <c r="I1520" s="1974"/>
      <c r="J1520" s="1974"/>
      <c r="K1520" s="1974"/>
      <c r="L1520" s="2001"/>
      <c r="M1520" s="1974"/>
      <c r="N1520" s="1992"/>
      <c r="O1520" s="2891"/>
      <c r="P1520" s="2009"/>
      <c r="Q1520" s="2001"/>
      <c r="R1520" s="1973"/>
      <c r="S1520" s="1973"/>
      <c r="T1520" s="1973"/>
      <c r="U1520" s="1973"/>
      <c r="V1520" s="1973"/>
      <c r="W1520" s="2001"/>
      <c r="X1520" s="2001"/>
      <c r="Y1520" s="2001"/>
      <c r="Z1520" s="2001"/>
      <c r="AA1520" s="2001"/>
      <c r="AB1520" s="2001"/>
      <c r="AC1520" s="2001"/>
      <c r="AD1520" s="2001"/>
      <c r="AE1520" s="2001"/>
      <c r="AF1520" s="2001"/>
    </row>
    <row r="1521" spans="1:32" ht="14">
      <c r="A1521" s="2008" t="str">
        <f>'Part VIII Scoring Criteria'!A327</f>
        <v xml:space="preserve">N/A for 4% Preservation applications. </v>
      </c>
      <c r="B1521" s="2007"/>
      <c r="C1521" s="2007"/>
      <c r="D1521" s="2007"/>
      <c r="E1521" s="2007"/>
      <c r="F1521" s="2007"/>
      <c r="G1521" s="2007"/>
      <c r="H1521" s="2007"/>
      <c r="I1521" s="2007"/>
      <c r="J1521" s="2007"/>
      <c r="K1521" s="2007"/>
      <c r="L1521" s="2007"/>
      <c r="M1521" s="2007"/>
      <c r="N1521" s="2007"/>
      <c r="O1521" s="2007"/>
      <c r="P1521" s="2007"/>
      <c r="Q1521" s="1973"/>
      <c r="R1521" s="2001"/>
      <c r="S1521" s="2001"/>
      <c r="T1521" s="2001"/>
      <c r="U1521" s="2001"/>
      <c r="V1521" s="2001"/>
      <c r="W1521" s="2001"/>
      <c r="X1521" s="2001"/>
      <c r="Y1521" s="2001"/>
      <c r="Z1521" s="2001"/>
      <c r="AA1521" s="2001"/>
      <c r="AB1521" s="2001"/>
      <c r="AC1521" s="2001"/>
      <c r="AD1521" s="2001"/>
      <c r="AE1521" s="2001"/>
      <c r="AF1521" s="2001"/>
    </row>
    <row r="1522" spans="1:32" ht="14.5">
      <c r="A1522" s="1974"/>
      <c r="B1522" s="2890" t="s">
        <v>1725</v>
      </c>
      <c r="C1522" s="1974"/>
      <c r="D1522" s="2890"/>
      <c r="E1522" s="2007"/>
      <c r="F1522" s="2007"/>
      <c r="G1522" s="2007"/>
      <c r="H1522" s="2007"/>
      <c r="I1522" s="2007"/>
      <c r="J1522" s="2007"/>
      <c r="K1522" s="2007"/>
      <c r="L1522" s="2007"/>
      <c r="M1522" s="2007"/>
      <c r="N1522" s="2007"/>
      <c r="O1522" s="2866"/>
      <c r="P1522" s="1973"/>
      <c r="Q1522" s="2001"/>
      <c r="R1522" s="2001"/>
      <c r="S1522" s="2001"/>
      <c r="T1522" s="2001"/>
      <c r="U1522" s="2001"/>
      <c r="V1522" s="2001"/>
      <c r="W1522" s="2001"/>
      <c r="X1522" s="2001"/>
      <c r="Y1522" s="2001"/>
      <c r="Z1522" s="2001"/>
      <c r="AA1522" s="2001"/>
      <c r="AB1522" s="2001"/>
      <c r="AC1522" s="2001"/>
      <c r="AD1522" s="2001"/>
      <c r="AE1522" s="2001"/>
      <c r="AF1522" s="2001"/>
    </row>
    <row r="1523" spans="1:32" ht="14">
      <c r="A1523" s="2007"/>
      <c r="B1523" s="2007"/>
      <c r="C1523" s="2007"/>
      <c r="D1523" s="2007"/>
      <c r="E1523" s="2007"/>
      <c r="F1523" s="2007"/>
      <c r="G1523" s="2007"/>
      <c r="H1523" s="2007"/>
      <c r="I1523" s="2007"/>
      <c r="J1523" s="2007"/>
      <c r="K1523" s="2007"/>
      <c r="L1523" s="2007"/>
      <c r="M1523" s="2007"/>
      <c r="N1523" s="2007"/>
      <c r="O1523" s="2007"/>
      <c r="P1523" s="2007"/>
      <c r="Q1523" s="1973"/>
      <c r="R1523" s="2001"/>
      <c r="S1523" s="2001"/>
      <c r="T1523" s="2001"/>
      <c r="U1523" s="2001"/>
      <c r="V1523" s="2001"/>
      <c r="W1523" s="2001"/>
      <c r="X1523" s="2001"/>
      <c r="Y1523" s="2001"/>
      <c r="Z1523" s="2001"/>
      <c r="AA1523" s="2001"/>
      <c r="AB1523" s="2001"/>
      <c r="AC1523" s="2001"/>
      <c r="AD1523" s="2001"/>
      <c r="AE1523" s="2001"/>
      <c r="AF1523" s="2001"/>
    </row>
    <row r="1524" spans="1:32" ht="14">
      <c r="A1524" s="1974"/>
      <c r="B1524" s="2001"/>
      <c r="C1524" s="2001"/>
      <c r="D1524" s="1974"/>
      <c r="E1524" s="1974"/>
      <c r="F1524" s="1973"/>
      <c r="G1524" s="1973"/>
      <c r="H1524" s="1973"/>
      <c r="I1524" s="1973"/>
      <c r="J1524" s="1974"/>
      <c r="K1524" s="1974"/>
      <c r="L1524" s="1974"/>
      <c r="M1524" s="1974"/>
      <c r="N1524" s="1973"/>
      <c r="O1524" s="2009"/>
      <c r="P1524" s="2891"/>
      <c r="Q1524" s="2001"/>
      <c r="R1524" s="2001"/>
      <c r="S1524" s="2001"/>
      <c r="T1524" s="2001"/>
      <c r="U1524" s="2001"/>
      <c r="V1524" s="2001"/>
      <c r="W1524" s="2001"/>
      <c r="X1524" s="2001"/>
      <c r="Y1524" s="2001"/>
      <c r="Z1524" s="2001"/>
      <c r="AA1524" s="2001"/>
      <c r="AB1524" s="2001"/>
      <c r="AC1524" s="2001"/>
      <c r="AD1524" s="2001"/>
      <c r="AE1524" s="2001"/>
      <c r="AF1524" s="2001"/>
    </row>
    <row r="1525" spans="1:32" ht="14">
      <c r="A1525" s="1974"/>
      <c r="B1525" s="2001"/>
      <c r="C1525" s="2001"/>
      <c r="D1525" s="1974"/>
      <c r="E1525" s="1974"/>
      <c r="F1525" s="2403"/>
      <c r="G1525" s="2403"/>
      <c r="H1525" s="2403"/>
      <c r="I1525" s="2403"/>
      <c r="J1525" s="2004"/>
      <c r="K1525" s="2004"/>
      <c r="L1525" s="2004"/>
      <c r="M1525" s="1987"/>
      <c r="N1525" s="2403"/>
      <c r="O1525" s="2003"/>
      <c r="P1525" s="2000"/>
      <c r="Q1525" s="2001"/>
      <c r="R1525" s="2001"/>
      <c r="S1525" s="2001"/>
      <c r="T1525" s="2001"/>
      <c r="U1525" s="2001"/>
      <c r="V1525" s="2001"/>
      <c r="W1525" s="2001"/>
      <c r="X1525" s="2001"/>
      <c r="Y1525" s="2001"/>
      <c r="Z1525" s="2001"/>
      <c r="AA1525" s="2001"/>
      <c r="AB1525" s="2001"/>
      <c r="AC1525" s="2001"/>
      <c r="AD1525" s="2001"/>
      <c r="AE1525" s="2001"/>
      <c r="AF1525" s="2001"/>
    </row>
    <row r="1526" spans="1:32" ht="14">
      <c r="A1526" s="2398" t="s">
        <v>3288</v>
      </c>
      <c r="B1526" s="2916" t="s">
        <v>3904</v>
      </c>
      <c r="C1526" s="2001"/>
      <c r="D1526" s="2001"/>
      <c r="E1526" s="2001"/>
      <c r="F1526" s="2001"/>
      <c r="G1526" s="2001"/>
      <c r="H1526" s="2001"/>
      <c r="I1526" s="2001"/>
      <c r="J1526" s="2001"/>
      <c r="K1526" s="2001"/>
      <c r="L1526" s="2001"/>
      <c r="M1526" s="2403">
        <v>1</v>
      </c>
      <c r="N1526" s="1992"/>
      <c r="O1526" s="2000">
        <f>'Part VIII Scoring Criteria'!O332</f>
        <v>0</v>
      </c>
      <c r="P1526" s="2000">
        <f>'Part VIII Scoring Criteria'!P332</f>
        <v>0</v>
      </c>
      <c r="Q1526" s="2403" t="s">
        <v>415</v>
      </c>
      <c r="R1526" s="2880" t="str">
        <f>IF(AND(O1526&gt;0,NOT($H$11="New Affordability")), "Ineligible to score in this section, not New Affordability!","")</f>
        <v/>
      </c>
      <c r="S1526" s="2001"/>
      <c r="T1526" s="2001"/>
      <c r="U1526" s="2001"/>
      <c r="V1526" s="2001"/>
      <c r="W1526" s="2001"/>
      <c r="X1526" s="2001"/>
      <c r="Y1526" s="2001"/>
      <c r="Z1526" s="2001"/>
      <c r="AA1526" s="2001"/>
      <c r="AB1526" s="2001"/>
      <c r="AC1526" s="2001"/>
      <c r="AD1526" s="2001"/>
      <c r="AE1526" s="2001"/>
      <c r="AF1526" s="2001"/>
    </row>
    <row r="1527" spans="1:32" ht="14">
      <c r="A1527" s="2403" t="s">
        <v>1836</v>
      </c>
      <c r="B1527" s="2009" t="s">
        <v>4894</v>
      </c>
      <c r="C1527" s="2001"/>
      <c r="D1527" s="2001"/>
      <c r="E1527" s="2001"/>
      <c r="F1527" s="2001"/>
      <c r="G1527" s="2912" t="s">
        <v>3069</v>
      </c>
      <c r="H1527" s="2982">
        <f>IF('Part V-Revenues &amp; Expenses'!$P$76=0,0,'Part V-Revenues &amp; Expenses'!$P$73/'Part V-Revenues &amp; Expenses'!$P$76)</f>
        <v>6.0344827586206899E-2</v>
      </c>
      <c r="I1527" s="2001"/>
      <c r="J1527" s="2001"/>
      <c r="K1527" s="2001"/>
      <c r="L1527" s="2878" t="str">
        <f t="shared" ref="L1527:L1528" si="458">IF(OR($O1527=$M1527,$O1527=0,$O1527=""),"","* * Check Score! * *")</f>
        <v/>
      </c>
      <c r="M1527" s="1987">
        <v>1</v>
      </c>
      <c r="N1527" s="2401"/>
      <c r="O1527" s="2403">
        <f>'Part VIII Scoring Criteria'!O333</f>
        <v>0</v>
      </c>
      <c r="P1527" s="2000"/>
      <c r="Q1527" s="2879" t="str">
        <f>IF(OR($O1527=$M1527,$O1527=0,$O1527=""),"","*CHECK!*")</f>
        <v/>
      </c>
      <c r="R1527" s="2880"/>
      <c r="S1527" s="2001"/>
      <c r="T1527" s="2001"/>
      <c r="U1527" s="2001"/>
      <c r="V1527" s="2001"/>
      <c r="W1527" s="2001"/>
      <c r="X1527" s="2001"/>
      <c r="Y1527" s="2001"/>
      <c r="Z1527" s="2001"/>
      <c r="AA1527" s="2001"/>
      <c r="AB1527" s="2001"/>
      <c r="AC1527" s="2001"/>
      <c r="AD1527" s="2001"/>
      <c r="AE1527" s="2001"/>
      <c r="AF1527" s="2001"/>
    </row>
    <row r="1528" spans="1:32" ht="14">
      <c r="A1528" s="2403" t="s">
        <v>1838</v>
      </c>
      <c r="B1528" s="2009" t="s">
        <v>3689</v>
      </c>
      <c r="C1528" s="2001"/>
      <c r="D1528" s="2001"/>
      <c r="E1528" s="2001"/>
      <c r="F1528" s="2001"/>
      <c r="G1528" s="2969" t="str">
        <f>'Part V-Revenues &amp; Expenses'!$O$62</f>
        <v>40% of Units at 60% of AMI</v>
      </c>
      <c r="H1528" s="2969"/>
      <c r="I1528" s="2001"/>
      <c r="J1528" s="2001"/>
      <c r="K1528" s="2001"/>
      <c r="L1528" s="2878" t="str">
        <f t="shared" si="458"/>
        <v/>
      </c>
      <c r="M1528" s="1992">
        <v>1</v>
      </c>
      <c r="N1528" s="2401"/>
      <c r="O1528" s="2403">
        <f>'Part VIII Scoring Criteria'!O334</f>
        <v>0</v>
      </c>
      <c r="P1528" s="2000"/>
      <c r="Q1528" s="2879" t="str">
        <f>IF(OR($O1528=$M1528,$O1528=0,$O1528=""),"","*CHECK!*")</f>
        <v/>
      </c>
      <c r="R1528" s="2880"/>
      <c r="S1528" s="2001"/>
      <c r="T1528" s="2001"/>
      <c r="U1528" s="2001"/>
      <c r="V1528" s="2001"/>
      <c r="W1528" s="2001"/>
      <c r="X1528" s="2001"/>
      <c r="Y1528" s="2001"/>
      <c r="Z1528" s="2001"/>
      <c r="AA1528" s="2001"/>
      <c r="AB1528" s="2001"/>
      <c r="AC1528" s="2001"/>
      <c r="AD1528" s="2001"/>
      <c r="AE1528" s="2001"/>
      <c r="AF1528" s="2001"/>
    </row>
    <row r="1529" spans="1:32" ht="14">
      <c r="A1529" s="2009"/>
      <c r="B1529" s="2881"/>
      <c r="C1529" s="2001"/>
      <c r="D1529" s="2001"/>
      <c r="E1529" s="2001"/>
      <c r="F1529" s="2001"/>
      <c r="G1529" s="2001"/>
      <c r="H1529" s="2001"/>
      <c r="I1529" s="2001"/>
      <c r="J1529" s="2001"/>
      <c r="K1529" s="2001"/>
      <c r="L1529" s="2001"/>
      <c r="M1529" s="1987"/>
      <c r="N1529" s="1992"/>
      <c r="O1529" s="2403"/>
      <c r="P1529" s="2403"/>
      <c r="Q1529" s="2001"/>
      <c r="R1529" s="2001"/>
      <c r="S1529" s="2001"/>
      <c r="T1529" s="2001"/>
      <c r="U1529" s="2001"/>
      <c r="V1529" s="2001"/>
      <c r="W1529" s="2001"/>
      <c r="X1529" s="2001"/>
      <c r="Y1529" s="2001"/>
      <c r="Z1529" s="2001"/>
      <c r="AA1529" s="2001"/>
      <c r="AB1529" s="2001"/>
      <c r="AC1529" s="2001"/>
      <c r="AD1529" s="2001"/>
      <c r="AE1529" s="2001"/>
      <c r="AF1529" s="2001"/>
    </row>
    <row r="1530" spans="1:32" ht="14.5">
      <c r="A1530" s="1974"/>
      <c r="B1530" s="2890" t="s">
        <v>1725</v>
      </c>
      <c r="C1530" s="1974"/>
      <c r="D1530" s="2890"/>
      <c r="E1530" s="2008"/>
      <c r="F1530" s="2008"/>
      <c r="G1530" s="2008"/>
      <c r="H1530" s="2008"/>
      <c r="I1530" s="2008"/>
      <c r="J1530" s="2008"/>
      <c r="K1530" s="2008"/>
      <c r="L1530" s="2008"/>
      <c r="M1530" s="2008"/>
      <c r="N1530" s="2006"/>
      <c r="O1530" s="2885"/>
      <c r="P1530" s="2403"/>
      <c r="Q1530" s="2001"/>
      <c r="R1530" s="2001"/>
      <c r="S1530" s="2001"/>
      <c r="T1530" s="2001"/>
      <c r="U1530" s="2001"/>
      <c r="V1530" s="2001"/>
      <c r="W1530" s="2001"/>
      <c r="X1530" s="2001"/>
      <c r="Y1530" s="2001"/>
      <c r="Z1530" s="2001"/>
      <c r="AA1530" s="2001"/>
      <c r="AB1530" s="2001"/>
      <c r="AC1530" s="2001"/>
      <c r="AD1530" s="2001"/>
      <c r="AE1530" s="2001"/>
      <c r="AF1530" s="2001"/>
    </row>
    <row r="1531" spans="1:32" ht="14">
      <c r="A1531" s="2007"/>
      <c r="B1531" s="2007"/>
      <c r="C1531" s="2007"/>
      <c r="D1531" s="2007"/>
      <c r="E1531" s="2007"/>
      <c r="F1531" s="2007"/>
      <c r="G1531" s="2007"/>
      <c r="H1531" s="2007"/>
      <c r="I1531" s="2007"/>
      <c r="J1531" s="2007"/>
      <c r="K1531" s="2007"/>
      <c r="L1531" s="2007"/>
      <c r="M1531" s="2007"/>
      <c r="N1531" s="2007"/>
      <c r="O1531" s="2007"/>
      <c r="P1531" s="2007"/>
      <c r="Q1531" s="1973"/>
      <c r="R1531" s="2001"/>
      <c r="S1531" s="2001"/>
      <c r="T1531" s="2001"/>
      <c r="U1531" s="2001"/>
      <c r="V1531" s="2001"/>
      <c r="W1531" s="2001"/>
      <c r="X1531" s="2001"/>
      <c r="Y1531" s="2001"/>
      <c r="Z1531" s="2001"/>
      <c r="AA1531" s="2001"/>
      <c r="AB1531" s="2001"/>
      <c r="AC1531" s="2001"/>
      <c r="AD1531" s="2001"/>
      <c r="AE1531" s="2001"/>
      <c r="AF1531" s="2001"/>
    </row>
    <row r="1532" spans="1:32" ht="14">
      <c r="A1532" s="1974"/>
      <c r="B1532" s="2001"/>
      <c r="C1532" s="2001"/>
      <c r="D1532" s="1974"/>
      <c r="E1532" s="1974"/>
      <c r="F1532" s="1973"/>
      <c r="G1532" s="1973"/>
      <c r="H1532" s="1973"/>
      <c r="I1532" s="1973"/>
      <c r="J1532" s="1974"/>
      <c r="K1532" s="1974"/>
      <c r="L1532" s="1974"/>
      <c r="M1532" s="1974"/>
      <c r="N1532" s="1973"/>
      <c r="O1532" s="2009"/>
      <c r="P1532" s="2891"/>
      <c r="Q1532" s="2001"/>
      <c r="R1532" s="2001"/>
      <c r="S1532" s="2001"/>
      <c r="T1532" s="2001"/>
      <c r="U1532" s="2001"/>
      <c r="V1532" s="2001"/>
      <c r="W1532" s="2001"/>
      <c r="X1532" s="2001"/>
      <c r="Y1532" s="2001"/>
      <c r="Z1532" s="2001"/>
      <c r="AA1532" s="2001"/>
      <c r="AB1532" s="2001"/>
      <c r="AC1532" s="2001"/>
      <c r="AD1532" s="2001"/>
      <c r="AE1532" s="2001"/>
      <c r="AF1532" s="2001"/>
    </row>
    <row r="1533" spans="1:32" ht="14">
      <c r="A1533" s="1974"/>
      <c r="B1533" s="1974"/>
      <c r="C1533" s="2008"/>
      <c r="D1533" s="2008"/>
      <c r="E1533" s="2008"/>
      <c r="F1533" s="2008"/>
      <c r="G1533" s="2008"/>
      <c r="H1533" s="2008"/>
      <c r="I1533" s="2008"/>
      <c r="J1533" s="2008"/>
      <c r="K1533" s="2008"/>
      <c r="L1533" s="2008"/>
      <c r="M1533" s="2008"/>
      <c r="N1533" s="2006"/>
      <c r="O1533" s="2885"/>
      <c r="P1533" s="2403"/>
      <c r="Q1533" s="2001"/>
      <c r="R1533" s="2001"/>
      <c r="S1533" s="2001"/>
      <c r="T1533" s="2001"/>
      <c r="U1533" s="2001"/>
      <c r="V1533" s="2001"/>
      <c r="W1533" s="2001"/>
      <c r="X1533" s="2001"/>
      <c r="Y1533" s="2001"/>
      <c r="Z1533" s="2001"/>
      <c r="AA1533" s="2001"/>
      <c r="AB1533" s="2001"/>
      <c r="AC1533" s="2001"/>
      <c r="AD1533" s="2001"/>
      <c r="AE1533" s="2001"/>
      <c r="AF1533" s="2001"/>
    </row>
    <row r="1534" spans="1:32" ht="14">
      <c r="A1534" s="2398" t="s">
        <v>3289</v>
      </c>
      <c r="B1534" s="2399" t="s">
        <v>2463</v>
      </c>
      <c r="C1534" s="2001"/>
      <c r="D1534" s="2004"/>
      <c r="E1534" s="2001"/>
      <c r="F1534" s="2001"/>
      <c r="G1534" s="2008"/>
      <c r="H1534" s="2008"/>
      <c r="I1534" s="2008"/>
      <c r="J1534" s="2008"/>
      <c r="K1534" s="2008"/>
      <c r="L1534" s="2008"/>
      <c r="M1534" s="2403">
        <v>2</v>
      </c>
      <c r="N1534" s="2401"/>
      <c r="O1534" s="2000">
        <f>'Part VIII Scoring Criteria'!O340</f>
        <v>0</v>
      </c>
      <c r="P1534" s="2000">
        <f>'Part VIII Scoring Criteria'!P340</f>
        <v>0</v>
      </c>
      <c r="Q1534" s="2403" t="s">
        <v>415</v>
      </c>
      <c r="R1534" s="2880" t="str">
        <f>IF(AND(O1534&gt;0,NOT($H$11="New Affordability")), "Ineligible to score in this section, not New Affordability!","")</f>
        <v/>
      </c>
      <c r="S1534" s="2001"/>
      <c r="T1534" s="2001"/>
      <c r="U1534" s="2001"/>
      <c r="V1534" s="2001"/>
      <c r="W1534" s="2001"/>
      <c r="X1534" s="2001"/>
      <c r="Y1534" s="2001"/>
      <c r="Z1534" s="2001"/>
      <c r="AA1534" s="2001"/>
      <c r="AB1534" s="2001"/>
      <c r="AC1534" s="2001"/>
      <c r="AD1534" s="2001"/>
      <c r="AE1534" s="2001"/>
      <c r="AF1534" s="2001"/>
    </row>
    <row r="1535" spans="1:32" ht="14">
      <c r="A1535" s="2916"/>
      <c r="B1535" s="2942" t="s">
        <v>2989</v>
      </c>
      <c r="C1535" s="2007"/>
      <c r="D1535" s="2007"/>
      <c r="E1535" s="2007"/>
      <c r="F1535" s="2007"/>
      <c r="G1535" s="2008" t="str">
        <f>'Part VIII Scoring Criteria'!G341</f>
        <v>&lt;Select applicable status&gt;</v>
      </c>
      <c r="H1535" s="1974"/>
      <c r="I1535" s="1974"/>
      <c r="J1535" s="1974"/>
      <c r="K1535" s="1974"/>
      <c r="L1535" s="1974"/>
      <c r="M1535" s="2006"/>
      <c r="N1535" s="2006"/>
      <c r="O1535" s="2006"/>
      <c r="P1535" s="2006"/>
      <c r="Q1535" s="1974"/>
      <c r="R1535" s="2007"/>
      <c r="S1535" s="2007"/>
      <c r="T1535" s="2007"/>
      <c r="U1535" s="2007"/>
      <c r="V1535" s="2007"/>
      <c r="W1535" s="2007"/>
      <c r="X1535" s="2007"/>
      <c r="Y1535" s="2007"/>
      <c r="Z1535" s="2007"/>
      <c r="AA1535" s="2007"/>
      <c r="AB1535" s="2007"/>
      <c r="AC1535" s="2007"/>
      <c r="AD1535" s="2007"/>
      <c r="AE1535" s="2007"/>
      <c r="AF1535" s="2007"/>
    </row>
    <row r="1536" spans="1:32" ht="14">
      <c r="A1536" s="2899" t="s">
        <v>1836</v>
      </c>
      <c r="B1536" s="1973" t="s">
        <v>3828</v>
      </c>
      <c r="C1536" s="2007"/>
      <c r="D1536" s="2007"/>
      <c r="E1536" s="2007"/>
      <c r="F1536" s="2007"/>
      <c r="G1536" s="2007"/>
      <c r="H1536" s="2007"/>
      <c r="I1536" s="2007"/>
      <c r="J1536" s="2007"/>
      <c r="K1536" s="2007"/>
      <c r="L1536" s="2399" t="str">
        <f t="shared" ref="L1536" si="459">IF(OR($O1536=$M1536,$O1536=0,$O1536=""),"","* * Check Score! * *")</f>
        <v/>
      </c>
      <c r="M1536" s="2006">
        <v>2</v>
      </c>
      <c r="N1536" s="2887"/>
      <c r="O1536" s="2403">
        <f>'Part VIII Scoring Criteria'!O342</f>
        <v>0</v>
      </c>
      <c r="P1536" s="2000"/>
      <c r="Q1536" s="2879" t="str">
        <f>IF(OR($O1536=$M1536,$O1536=0,$O1536=""),"","*CHECK!*")</f>
        <v/>
      </c>
      <c r="R1536" s="2880"/>
      <c r="S1536" s="2007"/>
      <c r="T1536" s="2007"/>
      <c r="U1536" s="2007"/>
      <c r="V1536" s="2007"/>
      <c r="W1536" s="2007"/>
      <c r="X1536" s="2007"/>
      <c r="Y1536" s="2007"/>
      <c r="Z1536" s="2007"/>
      <c r="AA1536" s="2007"/>
      <c r="AB1536" s="2007"/>
      <c r="AC1536" s="2007"/>
      <c r="AD1536" s="2007"/>
      <c r="AE1536" s="2007"/>
      <c r="AF1536" s="2007"/>
    </row>
    <row r="1537" spans="1:32" ht="15" customHeight="1">
      <c r="A1537" s="2003"/>
      <c r="B1537" s="2008" t="str">
        <f>'Part VIII Scoring Criteria'!B343</f>
        <v>&lt;&lt; Enter here Applicant's Narrative of how building will be reused. Adjust row height as needed. &gt;&gt;</v>
      </c>
      <c r="C1537" s="2007"/>
      <c r="D1537" s="2007"/>
      <c r="E1537" s="2007"/>
      <c r="F1537" s="2007"/>
      <c r="G1537" s="2007"/>
      <c r="H1537" s="2007"/>
      <c r="I1537" s="2007"/>
      <c r="J1537" s="2007"/>
      <c r="K1537" s="2007"/>
      <c r="L1537" s="2007"/>
      <c r="M1537" s="2007"/>
      <c r="N1537" s="2007"/>
      <c r="O1537" s="2007"/>
      <c r="P1537" s="2007"/>
      <c r="Q1537" s="1973"/>
      <c r="R1537" s="1973"/>
      <c r="S1537" s="1973"/>
      <c r="T1537" s="2001"/>
      <c r="U1537" s="2001"/>
      <c r="V1537" s="2001"/>
      <c r="W1537" s="2001"/>
      <c r="X1537" s="2001"/>
      <c r="Y1537" s="2001"/>
      <c r="Z1537" s="2001"/>
      <c r="AA1537" s="2001"/>
      <c r="AB1537" s="2001"/>
      <c r="AC1537" s="2001"/>
      <c r="AD1537" s="2001"/>
      <c r="AE1537" s="2001"/>
      <c r="AF1537" s="2001"/>
    </row>
    <row r="1538" spans="1:32" ht="14">
      <c r="A1538" s="2977" t="s">
        <v>1838</v>
      </c>
      <c r="B1538" s="2866" t="s">
        <v>3829</v>
      </c>
      <c r="C1538" s="2007"/>
      <c r="D1538" s="2007"/>
      <c r="E1538" s="2007"/>
      <c r="F1538" s="2007"/>
      <c r="G1538" s="2007"/>
      <c r="H1538" s="2007"/>
      <c r="I1538" s="2007"/>
      <c r="J1538" s="2007"/>
      <c r="K1538" s="2007"/>
      <c r="L1538" s="2399" t="str">
        <f t="shared" ref="L1538" si="460">IF(OR($O1538=$M1538,$O1538=0,$O1538=""),"","* * Check Score! * *")</f>
        <v/>
      </c>
      <c r="M1538" s="2007">
        <v>2</v>
      </c>
      <c r="N1538" s="2007"/>
      <c r="O1538" s="2403">
        <f>'Part VIII Scoring Criteria'!O344</f>
        <v>0</v>
      </c>
      <c r="P1538" s="2891"/>
      <c r="Q1538" s="2879" t="str">
        <f>IF(OR($O1538=$M1538,$O1538=0,$O1538=""),"","*CHECK!*")</f>
        <v/>
      </c>
      <c r="R1538" s="2880"/>
      <c r="S1538" s="2007"/>
      <c r="T1538" s="2007"/>
      <c r="U1538" s="2007"/>
      <c r="V1538" s="2007"/>
      <c r="W1538" s="2007"/>
      <c r="X1538" s="2007"/>
      <c r="Y1538" s="2007"/>
      <c r="Z1538" s="2007"/>
      <c r="AA1538" s="2007"/>
      <c r="AB1538" s="2007"/>
      <c r="AC1538" s="2007"/>
      <c r="AD1538" s="2007"/>
      <c r="AE1538" s="2007"/>
      <c r="AF1538" s="2007"/>
    </row>
    <row r="1539" spans="1:32" ht="14.5">
      <c r="A1539" s="1974"/>
      <c r="B1539" s="2872" t="s">
        <v>5176</v>
      </c>
      <c r="C1539" s="1974"/>
      <c r="D1539" s="1974"/>
      <c r="E1539" s="1974"/>
      <c r="F1539" s="1974"/>
      <c r="G1539" s="1974"/>
      <c r="H1539" s="1974"/>
      <c r="I1539" s="1974"/>
      <c r="J1539" s="1974"/>
      <c r="K1539" s="1974"/>
      <c r="L1539" s="2001"/>
      <c r="M1539" s="1987"/>
      <c r="N1539" s="1992"/>
      <c r="O1539" s="2000"/>
      <c r="P1539" s="2003"/>
      <c r="Q1539" s="2001"/>
      <c r="R1539" s="2001"/>
      <c r="S1539" s="2001"/>
      <c r="T1539" s="2001"/>
      <c r="U1539" s="2001"/>
      <c r="V1539" s="2001"/>
      <c r="W1539" s="2001"/>
      <c r="X1539" s="2001"/>
      <c r="Y1539" s="2001"/>
      <c r="Z1539" s="2001"/>
      <c r="AA1539" s="2001"/>
      <c r="AB1539" s="2001"/>
      <c r="AC1539" s="2001"/>
      <c r="AD1539" s="2001"/>
      <c r="AE1539" s="2001"/>
      <c r="AF1539" s="2001"/>
    </row>
    <row r="1540" spans="1:32" ht="14">
      <c r="A1540" s="2008" t="str">
        <f>'Part VIII Scoring Criteria'!A346</f>
        <v xml:space="preserve">NA for 4%  Preservation applications. </v>
      </c>
      <c r="B1540" s="2930"/>
      <c r="C1540" s="2930"/>
      <c r="D1540" s="2930"/>
      <c r="E1540" s="2930"/>
      <c r="F1540" s="2930"/>
      <c r="G1540" s="2930"/>
      <c r="H1540" s="2930"/>
      <c r="I1540" s="2930"/>
      <c r="J1540" s="2930"/>
      <c r="K1540" s="2930"/>
      <c r="L1540" s="2930"/>
      <c r="M1540" s="2930"/>
      <c r="N1540" s="2930"/>
      <c r="O1540" s="2930"/>
      <c r="P1540" s="2930"/>
      <c r="Q1540" s="1973"/>
      <c r="R1540" s="1973"/>
      <c r="S1540" s="2001"/>
      <c r="T1540" s="2001"/>
      <c r="U1540" s="2001"/>
      <c r="V1540" s="2001"/>
      <c r="W1540" s="2001"/>
      <c r="X1540" s="2001"/>
      <c r="Y1540" s="2001"/>
      <c r="Z1540" s="2001"/>
      <c r="AA1540" s="2001"/>
      <c r="AB1540" s="2001"/>
      <c r="AC1540" s="2001"/>
      <c r="AD1540" s="2001"/>
      <c r="AE1540" s="2001"/>
      <c r="AF1540" s="2001"/>
    </row>
    <row r="1541" spans="1:32" ht="14.5">
      <c r="A1541" s="2001"/>
      <c r="B1541" s="2890" t="s">
        <v>1725</v>
      </c>
      <c r="C1541" s="1974"/>
      <c r="D1541" s="2890"/>
      <c r="E1541" s="2007"/>
      <c r="F1541" s="2007"/>
      <c r="G1541" s="2007"/>
      <c r="H1541" s="2007"/>
      <c r="I1541" s="2007"/>
      <c r="J1541" s="2007"/>
      <c r="K1541" s="2007"/>
      <c r="L1541" s="2007"/>
      <c r="M1541" s="2007"/>
      <c r="N1541" s="2007"/>
      <c r="O1541" s="2866"/>
      <c r="P1541" s="1973"/>
      <c r="Q1541" s="2001"/>
      <c r="R1541" s="2001"/>
      <c r="S1541" s="2001"/>
      <c r="T1541" s="2001"/>
      <c r="U1541" s="2001"/>
      <c r="V1541" s="2001"/>
      <c r="W1541" s="2001"/>
      <c r="X1541" s="2001"/>
      <c r="Y1541" s="2001"/>
      <c r="Z1541" s="2001"/>
      <c r="AA1541" s="2001"/>
      <c r="AB1541" s="2001"/>
      <c r="AC1541" s="2001"/>
      <c r="AD1541" s="2001"/>
      <c r="AE1541" s="2001"/>
      <c r="AF1541" s="2001"/>
    </row>
    <row r="1542" spans="1:32" ht="14">
      <c r="A1542" s="2007"/>
      <c r="B1542" s="2007"/>
      <c r="C1542" s="2007"/>
      <c r="D1542" s="2007"/>
      <c r="E1542" s="2007"/>
      <c r="F1542" s="2007"/>
      <c r="G1542" s="2007"/>
      <c r="H1542" s="2007"/>
      <c r="I1542" s="2007"/>
      <c r="J1542" s="2007"/>
      <c r="K1542" s="2007"/>
      <c r="L1542" s="2007"/>
      <c r="M1542" s="2007"/>
      <c r="N1542" s="2007"/>
      <c r="O1542" s="2007"/>
      <c r="P1542" s="2007"/>
      <c r="Q1542" s="1973"/>
      <c r="R1542" s="2001"/>
      <c r="S1542" s="2001"/>
      <c r="T1542" s="2001"/>
      <c r="U1542" s="2001"/>
      <c r="V1542" s="2001"/>
      <c r="W1542" s="2001"/>
      <c r="X1542" s="2001"/>
      <c r="Y1542" s="2001"/>
      <c r="Z1542" s="2001"/>
      <c r="AA1542" s="2001"/>
      <c r="AB1542" s="2001"/>
      <c r="AC1542" s="2001"/>
      <c r="AD1542" s="2001"/>
      <c r="AE1542" s="2001"/>
      <c r="AF1542" s="2001"/>
    </row>
    <row r="1543" spans="1:32" ht="14">
      <c r="A1543" s="1974"/>
      <c r="B1543" s="1974"/>
      <c r="C1543" s="2007"/>
      <c r="D1543" s="2007"/>
      <c r="E1543" s="2007"/>
      <c r="F1543" s="2007"/>
      <c r="G1543" s="2007"/>
      <c r="H1543" s="2007"/>
      <c r="I1543" s="2007"/>
      <c r="J1543" s="2007"/>
      <c r="K1543" s="2007"/>
      <c r="L1543" s="2007"/>
      <c r="M1543" s="2007"/>
      <c r="N1543" s="2007"/>
      <c r="O1543" s="2866"/>
      <c r="P1543" s="1973"/>
      <c r="Q1543" s="2001"/>
      <c r="R1543" s="2001"/>
      <c r="S1543" s="2001"/>
      <c r="T1543" s="2001"/>
      <c r="U1543" s="2001"/>
      <c r="V1543" s="2001"/>
      <c r="W1543" s="2001"/>
      <c r="X1543" s="2001"/>
      <c r="Y1543" s="2001"/>
      <c r="Z1543" s="2001"/>
      <c r="AA1543" s="2001"/>
      <c r="AB1543" s="2001"/>
      <c r="AC1543" s="2001"/>
      <c r="AD1543" s="2001"/>
      <c r="AE1543" s="2001"/>
      <c r="AF1543" s="2001"/>
    </row>
    <row r="1544" spans="1:32" ht="14">
      <c r="A1544" s="1974"/>
      <c r="B1544" s="2001"/>
      <c r="C1544" s="2001"/>
      <c r="D1544" s="1974"/>
      <c r="E1544" s="1974"/>
      <c r="F1544" s="2403"/>
      <c r="G1544" s="2403"/>
      <c r="H1544" s="2403"/>
      <c r="I1544" s="2403"/>
      <c r="J1544" s="2004"/>
      <c r="K1544" s="2004"/>
      <c r="L1544" s="2004"/>
      <c r="M1544" s="1987"/>
      <c r="N1544" s="2403"/>
      <c r="O1544" s="2003"/>
      <c r="P1544" s="2000"/>
      <c r="Q1544" s="2001"/>
      <c r="R1544" s="2001"/>
      <c r="S1544" s="2001"/>
      <c r="T1544" s="2001"/>
      <c r="U1544" s="2001"/>
      <c r="V1544" s="2001"/>
      <c r="W1544" s="2001"/>
      <c r="X1544" s="2001"/>
      <c r="Y1544" s="2001"/>
      <c r="Z1544" s="2001"/>
      <c r="AA1544" s="2001"/>
      <c r="AB1544" s="2001"/>
      <c r="AC1544" s="2001"/>
      <c r="AD1544" s="2001"/>
      <c r="AE1544" s="2001"/>
      <c r="AF1544" s="2001"/>
    </row>
    <row r="1545" spans="1:32" ht="14.5">
      <c r="A1545" s="2398" t="s">
        <v>3290</v>
      </c>
      <c r="B1545" s="2399" t="s">
        <v>4474</v>
      </c>
      <c r="C1545" s="1974"/>
      <c r="D1545" s="2399"/>
      <c r="E1545" s="2399"/>
      <c r="F1545" s="1974"/>
      <c r="G1545" s="2892"/>
      <c r="H1545" s="1974"/>
      <c r="I1545" s="1974"/>
      <c r="J1545" s="1974"/>
      <c r="K1545" s="1974"/>
      <c r="L1545" s="1974"/>
      <c r="M1545" s="2403">
        <v>2</v>
      </c>
      <c r="N1545" s="1987"/>
      <c r="O1545" s="2000">
        <f>'Part VIII Scoring Criteria'!O351</f>
        <v>0</v>
      </c>
      <c r="P1545" s="2000">
        <f>'Part VIII Scoring Criteria'!P351</f>
        <v>0</v>
      </c>
      <c r="Q1545" s="2403" t="s">
        <v>415</v>
      </c>
      <c r="R1545" s="1973"/>
      <c r="S1545" s="1973"/>
      <c r="T1545" s="1973"/>
      <c r="U1545" s="1973"/>
      <c r="V1545" s="1973"/>
      <c r="W1545" s="1974"/>
      <c r="X1545" s="1974"/>
      <c r="Y1545" s="1974"/>
      <c r="Z1545" s="1974"/>
      <c r="AA1545" s="1974"/>
      <c r="AB1545" s="1974"/>
      <c r="AC1545" s="1974"/>
      <c r="AD1545" s="1974"/>
      <c r="AE1545" s="1974"/>
      <c r="AF1545" s="1974"/>
    </row>
    <row r="1546" spans="1:32" ht="14">
      <c r="A1546" s="2403" t="s">
        <v>1836</v>
      </c>
      <c r="B1546" s="2896" t="s">
        <v>4475</v>
      </c>
      <c r="C1546" s="2001"/>
      <c r="D1546" s="2008"/>
      <c r="E1546" s="2001"/>
      <c r="F1546" s="2004" t="s">
        <v>4486</v>
      </c>
      <c r="G1546" s="2001"/>
      <c r="H1546" s="2001"/>
      <c r="I1546" s="2001"/>
      <c r="J1546" s="2008">
        <f>'Part VIII Scoring Criteria'!J352</f>
        <v>0</v>
      </c>
      <c r="K1546" s="2009"/>
      <c r="L1546" s="2009"/>
      <c r="M1546" s="1992">
        <v>2</v>
      </c>
      <c r="N1546" s="2401"/>
      <c r="O1546" s="2403">
        <f>'Part VIII Scoring Criteria'!O352</f>
        <v>0</v>
      </c>
      <c r="P1546" s="2000"/>
      <c r="Q1546" s="2003" t="str">
        <f>IF(OR(O1546=0,O1546="",O1546=$M1546),"","Check!")</f>
        <v/>
      </c>
      <c r="R1546" s="2878" t="str">
        <f t="shared" ref="R1546:R1547" si="461">IF(OR($O1546=$M1546,$O1546=0,$O1546=""),"","* * Check Score! * *")</f>
        <v/>
      </c>
      <c r="S1546" s="1973"/>
      <c r="T1546" s="1973"/>
      <c r="U1546" s="1973"/>
      <c r="V1546" s="1973"/>
      <c r="W1546" s="2001"/>
      <c r="X1546" s="2001"/>
      <c r="Y1546" s="2001"/>
      <c r="Z1546" s="2001"/>
      <c r="AA1546" s="2001"/>
      <c r="AB1546" s="2001"/>
      <c r="AC1546" s="2001"/>
      <c r="AD1546" s="2001"/>
      <c r="AE1546" s="2001"/>
      <c r="AF1546" s="2001"/>
    </row>
    <row r="1547" spans="1:32" ht="14">
      <c r="A1547" s="2403" t="s">
        <v>1838</v>
      </c>
      <c r="B1547" s="2896" t="s">
        <v>4476</v>
      </c>
      <c r="C1547" s="2001"/>
      <c r="D1547" s="2001"/>
      <c r="E1547" s="2001"/>
      <c r="F1547" s="2004" t="s">
        <v>5075</v>
      </c>
      <c r="G1547" s="2001"/>
      <c r="H1547" s="2001"/>
      <c r="I1547" s="2001"/>
      <c r="J1547" s="2008">
        <f>'Part VIII Scoring Criteria'!J353</f>
        <v>0</v>
      </c>
      <c r="K1547" s="2009"/>
      <c r="L1547" s="2009"/>
      <c r="M1547" s="1992">
        <v>2</v>
      </c>
      <c r="N1547" s="2401"/>
      <c r="O1547" s="2403">
        <f>'Part VIII Scoring Criteria'!O353</f>
        <v>0</v>
      </c>
      <c r="P1547" s="2000"/>
      <c r="Q1547" s="2003" t="str">
        <f>IF(OR(O1547=0,O1547="",O1547=$M1547),"","Check!")</f>
        <v/>
      </c>
      <c r="R1547" s="2878" t="str">
        <f t="shared" si="461"/>
        <v/>
      </c>
      <c r="S1547" s="1973"/>
      <c r="T1547" s="1973"/>
      <c r="U1547" s="1973"/>
      <c r="V1547" s="1973"/>
      <c r="W1547" s="2001"/>
      <c r="X1547" s="2001"/>
      <c r="Y1547" s="2001"/>
      <c r="Z1547" s="2001"/>
      <c r="AA1547" s="2001"/>
      <c r="AB1547" s="2001"/>
      <c r="AC1547" s="2001"/>
      <c r="AD1547" s="2001"/>
      <c r="AE1547" s="2001"/>
      <c r="AF1547" s="2001"/>
    </row>
    <row r="1548" spans="1:32" ht="14.5">
      <c r="A1548" s="1974"/>
      <c r="B1548" s="2872" t="s">
        <v>5176</v>
      </c>
      <c r="C1548" s="1974"/>
      <c r="D1548" s="1974"/>
      <c r="E1548" s="1974"/>
      <c r="F1548" s="1974"/>
      <c r="G1548" s="1974"/>
      <c r="H1548" s="1974"/>
      <c r="I1548" s="1974"/>
      <c r="J1548" s="1974"/>
      <c r="K1548" s="1974"/>
      <c r="L1548" s="2001"/>
      <c r="M1548" s="1987"/>
      <c r="N1548" s="1992"/>
      <c r="O1548" s="2000"/>
      <c r="P1548" s="2003"/>
      <c r="Q1548" s="2001"/>
      <c r="R1548" s="1973"/>
      <c r="S1548" s="1973"/>
      <c r="T1548" s="1973"/>
      <c r="U1548" s="1973"/>
      <c r="V1548" s="1973"/>
      <c r="W1548" s="2001"/>
      <c r="X1548" s="2001"/>
      <c r="Y1548" s="2001"/>
      <c r="Z1548" s="2001"/>
      <c r="AA1548" s="2001"/>
      <c r="AB1548" s="2001"/>
      <c r="AC1548" s="2001"/>
      <c r="AD1548" s="2001"/>
      <c r="AE1548" s="2001"/>
      <c r="AF1548" s="2001"/>
    </row>
    <row r="1549" spans="1:32" ht="14">
      <c r="A1549" s="2008" t="str">
        <f>'Part VIII Scoring Criteria'!A355</f>
        <v xml:space="preserve">N/A for 4% Preservation applications. </v>
      </c>
      <c r="B1549" s="2930"/>
      <c r="C1549" s="2930"/>
      <c r="D1549" s="2930"/>
      <c r="E1549" s="2930"/>
      <c r="F1549" s="2930"/>
      <c r="G1549" s="2930"/>
      <c r="H1549" s="2930"/>
      <c r="I1549" s="2930"/>
      <c r="J1549" s="2930"/>
      <c r="K1549" s="2930"/>
      <c r="L1549" s="2930"/>
      <c r="M1549" s="2930"/>
      <c r="N1549" s="2930"/>
      <c r="O1549" s="2930"/>
      <c r="P1549" s="2930"/>
      <c r="Q1549" s="1973"/>
      <c r="R1549" s="2001"/>
      <c r="S1549" s="2001"/>
      <c r="T1549" s="2001"/>
      <c r="U1549" s="2001"/>
      <c r="V1549" s="2001"/>
      <c r="W1549" s="2001"/>
      <c r="X1549" s="2001"/>
      <c r="Y1549" s="2001"/>
      <c r="Z1549" s="2001"/>
      <c r="AA1549" s="2001"/>
      <c r="AB1549" s="2001"/>
      <c r="AC1549" s="2001"/>
      <c r="AD1549" s="2001"/>
      <c r="AE1549" s="2001"/>
      <c r="AF1549" s="2001"/>
    </row>
    <row r="1550" spans="1:32" ht="14.5">
      <c r="A1550" s="1974"/>
      <c r="B1550" s="2890" t="s">
        <v>1725</v>
      </c>
      <c r="C1550" s="1974"/>
      <c r="D1550" s="2890"/>
      <c r="E1550" s="2007"/>
      <c r="F1550" s="2007"/>
      <c r="G1550" s="2007"/>
      <c r="H1550" s="2007"/>
      <c r="I1550" s="2007"/>
      <c r="J1550" s="2007"/>
      <c r="K1550" s="2007"/>
      <c r="L1550" s="2007"/>
      <c r="M1550" s="2007"/>
      <c r="N1550" s="2007"/>
      <c r="O1550" s="2866"/>
      <c r="P1550" s="1973"/>
      <c r="Q1550" s="2001"/>
      <c r="R1550" s="2001"/>
      <c r="S1550" s="2001"/>
      <c r="T1550" s="2001"/>
      <c r="U1550" s="2001"/>
      <c r="V1550" s="2001"/>
      <c r="W1550" s="2001"/>
      <c r="X1550" s="2001"/>
      <c r="Y1550" s="2001"/>
      <c r="Z1550" s="2001"/>
      <c r="AA1550" s="2001"/>
      <c r="AB1550" s="2001"/>
      <c r="AC1550" s="2001"/>
      <c r="AD1550" s="2001"/>
      <c r="AE1550" s="2001"/>
      <c r="AF1550" s="2001"/>
    </row>
    <row r="1551" spans="1:32" ht="14">
      <c r="A1551" s="2007"/>
      <c r="B1551" s="2007"/>
      <c r="C1551" s="2007"/>
      <c r="D1551" s="2007"/>
      <c r="E1551" s="2007"/>
      <c r="F1551" s="2007"/>
      <c r="G1551" s="2007"/>
      <c r="H1551" s="2007"/>
      <c r="I1551" s="2007"/>
      <c r="J1551" s="2007"/>
      <c r="K1551" s="2007"/>
      <c r="L1551" s="2007"/>
      <c r="M1551" s="2007"/>
      <c r="N1551" s="2007"/>
      <c r="O1551" s="2007"/>
      <c r="P1551" s="2007"/>
      <c r="Q1551" s="1973"/>
      <c r="R1551" s="2001"/>
      <c r="S1551" s="2001"/>
      <c r="T1551" s="2001"/>
      <c r="U1551" s="2001"/>
      <c r="V1551" s="2001"/>
      <c r="W1551" s="2001"/>
      <c r="X1551" s="2001"/>
      <c r="Y1551" s="2001"/>
      <c r="Z1551" s="2001"/>
      <c r="AA1551" s="2001"/>
      <c r="AB1551" s="2001"/>
      <c r="AC1551" s="2001"/>
      <c r="AD1551" s="2001"/>
      <c r="AE1551" s="2001"/>
      <c r="AF1551" s="2001"/>
    </row>
    <row r="1552" spans="1:32" ht="14">
      <c r="A1552" s="1974"/>
      <c r="B1552" s="2001"/>
      <c r="C1552" s="2001"/>
      <c r="D1552" s="1974"/>
      <c r="E1552" s="1974"/>
      <c r="F1552" s="1973"/>
      <c r="G1552" s="1973"/>
      <c r="H1552" s="1973"/>
      <c r="I1552" s="1973"/>
      <c r="J1552" s="1974"/>
      <c r="K1552" s="1974"/>
      <c r="L1552" s="1974"/>
      <c r="M1552" s="1974"/>
      <c r="N1552" s="1973"/>
      <c r="O1552" s="2009"/>
      <c r="P1552" s="2891"/>
      <c r="Q1552" s="2001"/>
      <c r="R1552" s="2001"/>
      <c r="S1552" s="2001"/>
      <c r="T1552" s="2001"/>
      <c r="U1552" s="2001"/>
      <c r="V1552" s="2001"/>
      <c r="W1552" s="2001"/>
      <c r="X1552" s="2001"/>
      <c r="Y1552" s="2001"/>
      <c r="Z1552" s="2001"/>
      <c r="AA1552" s="2001"/>
      <c r="AB1552" s="2001"/>
      <c r="AC1552" s="2001"/>
      <c r="AD1552" s="2001"/>
      <c r="AE1552" s="2001"/>
      <c r="AF1552" s="2001"/>
    </row>
    <row r="1553" spans="1:32" ht="14">
      <c r="A1553" s="2001"/>
      <c r="B1553" s="2001"/>
      <c r="C1553" s="2001"/>
      <c r="D1553" s="2001"/>
      <c r="E1553" s="2001"/>
      <c r="F1553" s="2001"/>
      <c r="G1553" s="2001"/>
      <c r="H1553" s="2001"/>
      <c r="I1553" s="2001"/>
      <c r="J1553" s="2001"/>
      <c r="K1553" s="2001"/>
      <c r="L1553" s="2001"/>
      <c r="M1553" s="2001"/>
      <c r="N1553" s="1992"/>
      <c r="O1553" s="2003"/>
      <c r="P1553" s="2003"/>
      <c r="Q1553" s="2001"/>
      <c r="R1553" s="2001"/>
      <c r="S1553" s="2001"/>
      <c r="T1553" s="2001"/>
      <c r="U1553" s="2001"/>
      <c r="V1553" s="2001"/>
      <c r="W1553" s="2001"/>
      <c r="X1553" s="2001"/>
      <c r="Y1553" s="2001"/>
      <c r="Z1553" s="2001"/>
      <c r="AA1553" s="2001"/>
      <c r="AB1553" s="2001"/>
      <c r="AC1553" s="2001"/>
      <c r="AD1553" s="2001"/>
      <c r="AE1553" s="2001"/>
      <c r="AF1553" s="2001"/>
    </row>
    <row r="1554" spans="1:32" ht="14.5">
      <c r="A1554" s="2916" t="s">
        <v>3291</v>
      </c>
      <c r="B1554" s="2399" t="s">
        <v>1553</v>
      </c>
      <c r="C1554" s="2001"/>
      <c r="D1554" s="2009"/>
      <c r="E1554" s="2009"/>
      <c r="F1554" s="2001"/>
      <c r="G1554" s="1974"/>
      <c r="H1554" s="2001"/>
      <c r="I1554" s="2001"/>
      <c r="J1554" s="2001"/>
      <c r="K1554" s="2001"/>
      <c r="L1554" s="2941" t="str">
        <f>IF(AND(O1554&gt;0,NOT($C$16="9%")),"Ineligible, not 9%!","")</f>
        <v/>
      </c>
      <c r="M1554" s="2403">
        <v>2</v>
      </c>
      <c r="N1554" s="2878"/>
      <c r="O1554" s="2403">
        <f>'Part VIII Scoring Criteria'!O360</f>
        <v>0</v>
      </c>
      <c r="P1554" s="2408"/>
      <c r="Q1554" s="2403" t="s">
        <v>415</v>
      </c>
      <c r="R1554" s="2866"/>
      <c r="S1554" s="2866"/>
      <c r="T1554" s="2001"/>
      <c r="U1554" s="2001"/>
      <c r="V1554" s="2001"/>
      <c r="W1554" s="2001"/>
      <c r="X1554" s="2001"/>
      <c r="Y1554" s="2001"/>
      <c r="Z1554" s="2001"/>
      <c r="AA1554" s="2001"/>
      <c r="AB1554" s="2001"/>
      <c r="AC1554" s="2001"/>
      <c r="AD1554" s="2001"/>
      <c r="AE1554" s="2001"/>
      <c r="AF1554" s="2001"/>
    </row>
    <row r="1555" spans="1:32" ht="14">
      <c r="A1555" s="2406"/>
      <c r="B1555" s="2880" t="s">
        <v>3070</v>
      </c>
      <c r="C1555" s="2001"/>
      <c r="D1555" s="2009"/>
      <c r="E1555" s="2009"/>
      <c r="F1555" s="2001"/>
      <c r="G1555" s="1974"/>
      <c r="H1555" s="2001"/>
      <c r="I1555" s="2008" t="str">
        <f>'Part VIII Scoring Criteria'!I361</f>
        <v>Enter GICH Community Name here</v>
      </c>
      <c r="J1555" s="1973"/>
      <c r="K1555" s="1973"/>
      <c r="L1555" s="1973"/>
      <c r="M1555" s="1987"/>
      <c r="N1555" s="1987"/>
      <c r="O1555" s="1992"/>
      <c r="P1555" s="1992"/>
      <c r="Q1555" s="2879"/>
      <c r="R1555" s="2866"/>
      <c r="S1555" s="2866"/>
      <c r="T1555" s="2001"/>
      <c r="U1555" s="2001"/>
      <c r="V1555" s="2001"/>
      <c r="W1555" s="2001"/>
      <c r="X1555" s="2001"/>
      <c r="Y1555" s="2001"/>
      <c r="Z1555" s="2001"/>
      <c r="AA1555" s="2001"/>
      <c r="AB1555" s="2001"/>
      <c r="AC1555" s="2001"/>
      <c r="AD1555" s="2001"/>
      <c r="AE1555" s="2001"/>
      <c r="AF1555" s="2001"/>
    </row>
    <row r="1556" spans="1:32" ht="14">
      <c r="A1556" s="2001"/>
      <c r="B1556" s="2880"/>
      <c r="C1556" s="2001"/>
      <c r="D1556" s="1974"/>
      <c r="E1556" s="1974"/>
      <c r="F1556" s="1974"/>
      <c r="G1556" s="1974"/>
      <c r="H1556" s="1974"/>
      <c r="I1556" s="1974"/>
      <c r="J1556" s="1974"/>
      <c r="K1556" s="1974"/>
      <c r="L1556" s="1974"/>
      <c r="M1556" s="1974"/>
      <c r="N1556" s="2401"/>
      <c r="O1556" s="2401"/>
      <c r="P1556" s="2401"/>
      <c r="Q1556" s="2001"/>
      <c r="R1556" s="2001"/>
      <c r="S1556" s="2001"/>
      <c r="T1556" s="2001"/>
      <c r="U1556" s="2001"/>
      <c r="V1556" s="2001"/>
      <c r="W1556" s="2001"/>
      <c r="X1556" s="2001"/>
      <c r="Y1556" s="2001"/>
      <c r="Z1556" s="2001"/>
      <c r="AA1556" s="2001"/>
      <c r="AB1556" s="2001"/>
      <c r="AC1556" s="2001"/>
      <c r="AD1556" s="2001"/>
      <c r="AE1556" s="2001"/>
      <c r="AF1556" s="2001"/>
    </row>
    <row r="1557" spans="1:32" ht="14.5">
      <c r="A1557" s="1974"/>
      <c r="B1557" s="2872" t="s">
        <v>5176</v>
      </c>
      <c r="C1557" s="1974"/>
      <c r="D1557" s="1974"/>
      <c r="E1557" s="1974"/>
      <c r="F1557" s="1974"/>
      <c r="G1557" s="1974"/>
      <c r="H1557" s="1974"/>
      <c r="I1557" s="1974"/>
      <c r="J1557" s="1974"/>
      <c r="K1557" s="1974"/>
      <c r="L1557" s="2001"/>
      <c r="M1557" s="1987"/>
      <c r="N1557" s="1992"/>
      <c r="O1557" s="2000"/>
      <c r="P1557" s="2003"/>
      <c r="Q1557" s="1974"/>
      <c r="R1557" s="1974"/>
      <c r="S1557" s="1974"/>
      <c r="T1557" s="1974"/>
      <c r="U1557" s="1974"/>
      <c r="V1557" s="1974"/>
      <c r="W1557" s="1974"/>
      <c r="X1557" s="1974"/>
      <c r="Y1557" s="1974"/>
      <c r="Z1557" s="1974"/>
      <c r="AA1557" s="1974"/>
      <c r="AB1557" s="1974"/>
      <c r="AC1557" s="1974"/>
      <c r="AD1557" s="1974"/>
      <c r="AE1557" s="1974"/>
      <c r="AF1557" s="1974"/>
    </row>
    <row r="1558" spans="1:32" ht="14">
      <c r="A1558" s="2008" t="str">
        <f>'Part VIII Scoring Criteria'!A364</f>
        <v xml:space="preserve">N/A for 4% Preservation applications. </v>
      </c>
      <c r="B1558" s="2930"/>
      <c r="C1558" s="2930"/>
      <c r="D1558" s="2930"/>
      <c r="E1558" s="2930"/>
      <c r="F1558" s="2930"/>
      <c r="G1558" s="2930"/>
      <c r="H1558" s="2930"/>
      <c r="I1558" s="2930"/>
      <c r="J1558" s="2930"/>
      <c r="K1558" s="2930"/>
      <c r="L1558" s="2930"/>
      <c r="M1558" s="2930"/>
      <c r="N1558" s="2930"/>
      <c r="O1558" s="2930"/>
      <c r="P1558" s="2930"/>
      <c r="Q1558" s="1973"/>
      <c r="R1558" s="2001"/>
      <c r="S1558" s="2001"/>
      <c r="T1558" s="2001"/>
      <c r="U1558" s="2001"/>
      <c r="V1558" s="2001"/>
      <c r="W1558" s="2001"/>
      <c r="X1558" s="2001"/>
      <c r="Y1558" s="2001"/>
      <c r="Z1558" s="2001"/>
      <c r="AA1558" s="2001"/>
      <c r="AB1558" s="2001"/>
      <c r="AC1558" s="2001"/>
      <c r="AD1558" s="2001"/>
      <c r="AE1558" s="2001"/>
      <c r="AF1558" s="2001"/>
    </row>
    <row r="1559" spans="1:32" ht="14.5">
      <c r="A1559" s="1974"/>
      <c r="B1559" s="2872" t="s">
        <v>1725</v>
      </c>
      <c r="C1559" s="1974"/>
      <c r="D1559" s="2872"/>
      <c r="E1559" s="1974"/>
      <c r="F1559" s="1974"/>
      <c r="G1559" s="1974"/>
      <c r="H1559" s="1974"/>
      <c r="I1559" s="1974"/>
      <c r="J1559" s="1974"/>
      <c r="K1559" s="1974"/>
      <c r="L1559" s="1974"/>
      <c r="M1559" s="1974"/>
      <c r="N1559" s="1974"/>
      <c r="O1559" s="1973"/>
      <c r="P1559" s="1973"/>
      <c r="Q1559" s="2001"/>
      <c r="R1559" s="1974"/>
      <c r="S1559" s="1974"/>
      <c r="T1559" s="1974"/>
      <c r="U1559" s="1974"/>
      <c r="V1559" s="1974"/>
      <c r="W1559" s="1974"/>
      <c r="X1559" s="1974"/>
      <c r="Y1559" s="1974"/>
      <c r="Z1559" s="1974"/>
      <c r="AA1559" s="1974"/>
      <c r="AB1559" s="1974"/>
      <c r="AC1559" s="1974"/>
      <c r="AD1559" s="1974"/>
      <c r="AE1559" s="1974"/>
      <c r="AF1559" s="1974"/>
    </row>
    <row r="1560" spans="1:32" ht="14">
      <c r="A1560" s="2007"/>
      <c r="B1560" s="2007"/>
      <c r="C1560" s="2007"/>
      <c r="D1560" s="2007"/>
      <c r="E1560" s="2007"/>
      <c r="F1560" s="2007"/>
      <c r="G1560" s="2007"/>
      <c r="H1560" s="2007"/>
      <c r="I1560" s="2007"/>
      <c r="J1560" s="2007"/>
      <c r="K1560" s="2007"/>
      <c r="L1560" s="2007"/>
      <c r="M1560" s="2007"/>
      <c r="N1560" s="2007"/>
      <c r="O1560" s="2007"/>
      <c r="P1560" s="2007"/>
      <c r="Q1560" s="1973"/>
      <c r="R1560" s="2001"/>
      <c r="S1560" s="2001"/>
      <c r="T1560" s="2001"/>
      <c r="U1560" s="2001"/>
      <c r="V1560" s="2001"/>
      <c r="W1560" s="2001"/>
      <c r="X1560" s="2001"/>
      <c r="Y1560" s="2001"/>
      <c r="Z1560" s="2001"/>
      <c r="AA1560" s="2001"/>
      <c r="AB1560" s="2001"/>
      <c r="AC1560" s="2001"/>
      <c r="AD1560" s="2001"/>
      <c r="AE1560" s="2001"/>
      <c r="AF1560" s="2001"/>
    </row>
    <row r="1561" spans="1:32" ht="14">
      <c r="A1561" s="2001"/>
      <c r="B1561" s="2001"/>
      <c r="C1561" s="2001"/>
      <c r="D1561" s="2001"/>
      <c r="E1561" s="2001"/>
      <c r="F1561" s="2001"/>
      <c r="G1561" s="2001"/>
      <c r="H1561" s="2001"/>
      <c r="I1561" s="2001"/>
      <c r="J1561" s="2001"/>
      <c r="K1561" s="2001"/>
      <c r="L1561" s="2001"/>
      <c r="M1561" s="2001"/>
      <c r="N1561" s="2001"/>
      <c r="O1561" s="2009"/>
      <c r="P1561" s="2009"/>
      <c r="Q1561" s="2001"/>
      <c r="R1561" s="2001"/>
      <c r="S1561" s="2001"/>
      <c r="T1561" s="2001"/>
      <c r="U1561" s="2001"/>
      <c r="V1561" s="2001"/>
      <c r="W1561" s="2001"/>
      <c r="X1561" s="2001"/>
      <c r="Y1561" s="2001"/>
      <c r="Z1561" s="2001"/>
      <c r="AA1561" s="2001"/>
      <c r="AB1561" s="2001"/>
      <c r="AC1561" s="2001"/>
      <c r="AD1561" s="2001"/>
      <c r="AE1561" s="2001"/>
      <c r="AF1561" s="2001"/>
    </row>
    <row r="1562" spans="1:32" ht="14">
      <c r="A1562" s="2916"/>
      <c r="B1562" s="1974"/>
      <c r="C1562" s="2008"/>
      <c r="D1562" s="2008"/>
      <c r="E1562" s="2008"/>
      <c r="F1562" s="2008"/>
      <c r="G1562" s="2001"/>
      <c r="H1562" s="2001"/>
      <c r="I1562" s="2008"/>
      <c r="J1562" s="2008"/>
      <c r="K1562" s="2008"/>
      <c r="L1562" s="2008"/>
      <c r="M1562" s="2008"/>
      <c r="N1562" s="2006"/>
      <c r="O1562" s="2885"/>
      <c r="P1562" s="2403"/>
      <c r="Q1562" s="2001"/>
      <c r="R1562" s="2001"/>
      <c r="S1562" s="2001"/>
      <c r="T1562" s="2001"/>
      <c r="U1562" s="2001"/>
      <c r="V1562" s="2001"/>
      <c r="W1562" s="2001"/>
      <c r="X1562" s="2001"/>
      <c r="Y1562" s="2001"/>
      <c r="Z1562" s="2001"/>
      <c r="AA1562" s="2001"/>
      <c r="AB1562" s="2001"/>
      <c r="AC1562" s="2001"/>
      <c r="AD1562" s="2001"/>
      <c r="AE1562" s="2001"/>
      <c r="AF1562" s="2001"/>
    </row>
    <row r="1563" spans="1:32" ht="14.5">
      <c r="A1563" s="2916" t="s">
        <v>3292</v>
      </c>
      <c r="B1563" s="2399" t="s">
        <v>4822</v>
      </c>
      <c r="C1563" s="1974"/>
      <c r="D1563" s="2399"/>
      <c r="E1563" s="2399"/>
      <c r="F1563" s="1974"/>
      <c r="G1563" s="1974"/>
      <c r="H1563" s="1974"/>
      <c r="I1563" s="2941" t="str">
        <f>IF(AND($O1563&gt;0,NOT($H$11="Preservation")),"Ineligible, not Preservation!","")</f>
        <v>Ineligible, not Preservation!</v>
      </c>
      <c r="J1563" s="1974"/>
      <c r="K1563" s="1974"/>
      <c r="L1563" s="1974"/>
      <c r="M1563" s="2403"/>
      <c r="N1563" s="1987"/>
      <c r="O1563" s="2408">
        <f>'Part VIII Scoring Criteria'!O369</f>
        <v>26</v>
      </c>
      <c r="P1563" s="2408">
        <f>'Part VIII Scoring Criteria'!P369</f>
        <v>0</v>
      </c>
      <c r="Q1563" s="2403" t="s">
        <v>415</v>
      </c>
      <c r="R1563" s="2880"/>
      <c r="S1563" s="1974"/>
      <c r="T1563" s="1974"/>
      <c r="U1563" s="1974"/>
      <c r="V1563" s="1974"/>
      <c r="W1563" s="1974"/>
      <c r="X1563" s="1974"/>
      <c r="Y1563" s="1974"/>
      <c r="Z1563" s="1974"/>
      <c r="AA1563" s="1974"/>
      <c r="AB1563" s="1974"/>
      <c r="AC1563" s="1974"/>
      <c r="AD1563" s="1974"/>
      <c r="AE1563" s="1974"/>
      <c r="AF1563" s="1974"/>
    </row>
    <row r="1564" spans="1:32" ht="14">
      <c r="A1564" s="2916"/>
      <c r="B1564" s="1974"/>
      <c r="C1564" s="2008"/>
      <c r="D1564" s="2008"/>
      <c r="E1564" s="2008"/>
      <c r="F1564" s="2008"/>
      <c r="G1564" s="2008"/>
      <c r="H1564" s="2008"/>
      <c r="I1564" s="2001"/>
      <c r="J1564" s="2008"/>
      <c r="K1564" s="2008"/>
      <c r="L1564" s="2008"/>
      <c r="M1564" s="2008"/>
      <c r="N1564" s="2006"/>
      <c r="O1564" s="2885"/>
      <c r="P1564" s="2885"/>
      <c r="Q1564" s="2001"/>
      <c r="R1564" s="2001"/>
      <c r="S1564" s="2001"/>
      <c r="T1564" s="2001"/>
      <c r="U1564" s="2001"/>
      <c r="V1564" s="2001"/>
      <c r="W1564" s="2001"/>
      <c r="X1564" s="2001"/>
      <c r="Y1564" s="2001"/>
      <c r="Z1564" s="2001"/>
      <c r="AA1564" s="2001"/>
      <c r="AB1564" s="2001"/>
      <c r="AC1564" s="2001"/>
      <c r="AD1564" s="2001"/>
      <c r="AE1564" s="2001"/>
      <c r="AF1564" s="2001"/>
    </row>
    <row r="1565" spans="1:32" ht="14">
      <c r="A1565" s="2403" t="s">
        <v>1836</v>
      </c>
      <c r="B1565" s="1973" t="s">
        <v>4029</v>
      </c>
      <c r="C1565" s="1974"/>
      <c r="D1565" s="2399"/>
      <c r="E1565" s="2399"/>
      <c r="F1565" s="1974"/>
      <c r="G1565" s="1974"/>
      <c r="H1565" s="1974"/>
      <c r="I1565" s="1974"/>
      <c r="J1565" s="1974"/>
      <c r="K1565" s="1974"/>
      <c r="L1565" s="2910" t="s">
        <v>4866</v>
      </c>
      <c r="M1565" s="2403">
        <v>6</v>
      </c>
      <c r="N1565" s="1987"/>
      <c r="O1565" s="2403">
        <f>'Part VIII Scoring Criteria'!O371</f>
        <v>4</v>
      </c>
      <c r="P1565" s="2000"/>
      <c r="Q1565" s="2403"/>
      <c r="R1565" s="2880"/>
      <c r="S1565" s="1974"/>
      <c r="T1565" s="1974"/>
      <c r="U1565" s="1974"/>
      <c r="V1565" s="1974"/>
      <c r="W1565" s="1974"/>
      <c r="X1565" s="1974"/>
      <c r="Y1565" s="1974"/>
      <c r="Z1565" s="1974"/>
      <c r="AA1565" s="1974"/>
      <c r="AB1565" s="1974"/>
      <c r="AC1565" s="1974"/>
      <c r="AD1565" s="1974"/>
      <c r="AE1565" s="1974"/>
      <c r="AF1565" s="1974"/>
    </row>
    <row r="1566" spans="1:32" ht="14">
      <c r="A1566" s="2885" t="s">
        <v>1838</v>
      </c>
      <c r="B1566" s="1973" t="s">
        <v>4720</v>
      </c>
      <c r="C1566" s="1974"/>
      <c r="D1566" s="2399"/>
      <c r="E1566" s="2399"/>
      <c r="F1566" s="1974"/>
      <c r="G1566" s="2903" t="s">
        <v>5191</v>
      </c>
      <c r="H1566" s="1974"/>
      <c r="I1566" s="1974"/>
      <c r="J1566" s="2903"/>
      <c r="K1566" s="2879" t="str">
        <f>IF(OR($O1566=$M1566,$O1566=0,$O1566=""),"","*CHECK!*")</f>
        <v/>
      </c>
      <c r="L1566" s="2910" t="s">
        <v>4866</v>
      </c>
      <c r="M1566" s="2403">
        <v>6</v>
      </c>
      <c r="N1566" s="1987"/>
      <c r="O1566" s="1987"/>
      <c r="P1566" s="2000"/>
      <c r="Q1566" s="2403"/>
      <c r="R1566" s="2880"/>
      <c r="S1566" s="1974"/>
      <c r="T1566" s="1974"/>
      <c r="U1566" s="1974"/>
      <c r="V1566" s="1974"/>
      <c r="W1566" s="1974"/>
      <c r="X1566" s="1974"/>
      <c r="Y1566" s="1974"/>
      <c r="Z1566" s="1974"/>
      <c r="AA1566" s="1974"/>
      <c r="AB1566" s="1974"/>
      <c r="AC1566" s="1974"/>
      <c r="AD1566" s="1974"/>
      <c r="AE1566" s="1974"/>
      <c r="AF1566" s="1974"/>
    </row>
    <row r="1567" spans="1:32" ht="14">
      <c r="A1567" s="2916"/>
      <c r="B1567" s="1974" t="s">
        <v>4694</v>
      </c>
      <c r="C1567" s="1974"/>
      <c r="D1567" s="2399"/>
      <c r="E1567" s="2399"/>
      <c r="F1567" s="1973"/>
      <c r="G1567" s="1974"/>
      <c r="H1567" s="1974"/>
      <c r="I1567" s="1974"/>
      <c r="J1567" s="1974"/>
      <c r="K1567" s="1974"/>
      <c r="L1567" s="2879"/>
      <c r="M1567" s="2403"/>
      <c r="N1567" s="1987"/>
      <c r="O1567" s="2403" t="str">
        <f>'Part VIII Scoring Criteria'!O373</f>
        <v>Yes</v>
      </c>
      <c r="P1567" s="2403"/>
      <c r="Q1567" s="2403"/>
      <c r="R1567" s="2880"/>
      <c r="S1567" s="1974"/>
      <c r="T1567" s="1974"/>
      <c r="U1567" s="1974"/>
      <c r="V1567" s="1974"/>
      <c r="W1567" s="1974"/>
      <c r="X1567" s="1974"/>
      <c r="Y1567" s="1974"/>
      <c r="Z1567" s="1974"/>
      <c r="AA1567" s="1974"/>
      <c r="AB1567" s="1974"/>
      <c r="AC1567" s="1974"/>
      <c r="AD1567" s="1974"/>
      <c r="AE1567" s="1974"/>
      <c r="AF1567" s="1974"/>
    </row>
    <row r="1568" spans="1:32" ht="15" customHeight="1">
      <c r="A1568" s="2403" t="s">
        <v>697</v>
      </c>
      <c r="B1568" s="2866" t="s">
        <v>4031</v>
      </c>
      <c r="C1568" s="2007"/>
      <c r="D1568" s="2007"/>
      <c r="E1568" s="2007"/>
      <c r="F1568" s="2007"/>
      <c r="G1568" s="2875" t="s">
        <v>5000</v>
      </c>
      <c r="H1568" s="2875"/>
      <c r="I1568" s="2875"/>
      <c r="J1568" s="1973" t="str">
        <f>IF(AND(O1568&gt;0, O1569&gt;0), "Choose EITHER C OR D, but not both!","")</f>
        <v/>
      </c>
      <c r="K1568" s="1973"/>
      <c r="L1568" s="2910" t="s">
        <v>4866</v>
      </c>
      <c r="M1568" s="2403">
        <v>4</v>
      </c>
      <c r="N1568" s="2401"/>
      <c r="O1568" s="2403">
        <f>'Part VIII Scoring Criteria'!O374</f>
        <v>2</v>
      </c>
      <c r="P1568" s="2000"/>
      <c r="Q1568" s="2879"/>
      <c r="R1568" s="2880"/>
      <c r="S1568" s="2007"/>
      <c r="T1568" s="2007"/>
      <c r="U1568" s="2007"/>
      <c r="V1568" s="2007"/>
      <c r="W1568" s="2007"/>
      <c r="X1568" s="2007"/>
      <c r="Y1568" s="2007"/>
      <c r="Z1568" s="2007"/>
      <c r="AA1568" s="2007"/>
      <c r="AB1568" s="2007"/>
      <c r="AC1568" s="2007"/>
      <c r="AD1568" s="2007"/>
      <c r="AE1568" s="2007"/>
      <c r="AF1568" s="2007"/>
    </row>
    <row r="1569" spans="1:32" ht="15" customHeight="1">
      <c r="A1569" s="2403" t="s">
        <v>1957</v>
      </c>
      <c r="B1569" s="1973" t="s">
        <v>4030</v>
      </c>
      <c r="C1569" s="2001"/>
      <c r="D1569" s="2001"/>
      <c r="E1569" s="2009"/>
      <c r="F1569" s="2001"/>
      <c r="G1569" s="2875"/>
      <c r="H1569" s="2875"/>
      <c r="I1569" s="2875"/>
      <c r="J1569" s="1973"/>
      <c r="K1569" s="1973"/>
      <c r="L1569" s="2910" t="s">
        <v>4866</v>
      </c>
      <c r="M1569" s="2403">
        <v>4</v>
      </c>
      <c r="N1569" s="2401"/>
      <c r="O1569" s="2403">
        <f>'Part VIII Scoring Criteria'!O375</f>
        <v>0</v>
      </c>
      <c r="P1569" s="2000"/>
      <c r="Q1569" s="2879"/>
      <c r="R1569" s="2880"/>
      <c r="S1569" s="2001"/>
      <c r="T1569" s="2001"/>
      <c r="U1569" s="2001"/>
      <c r="V1569" s="2001"/>
      <c r="W1569" s="2001"/>
      <c r="X1569" s="2001"/>
      <c r="Y1569" s="2001"/>
      <c r="Z1569" s="2001"/>
      <c r="AA1569" s="2001"/>
      <c r="AB1569" s="2001"/>
      <c r="AC1569" s="2001"/>
      <c r="AD1569" s="2001"/>
      <c r="AE1569" s="2001"/>
      <c r="AF1569" s="2001"/>
    </row>
    <row r="1570" spans="1:32" ht="14">
      <c r="A1570" s="2403" t="s">
        <v>1609</v>
      </c>
      <c r="B1570" s="1973" t="s">
        <v>4823</v>
      </c>
      <c r="C1570" s="1974"/>
      <c r="D1570" s="2399"/>
      <c r="E1570" s="1974"/>
      <c r="F1570" s="1974"/>
      <c r="G1570" s="2903" t="s">
        <v>5191</v>
      </c>
      <c r="H1570" s="1974"/>
      <c r="I1570" s="1974"/>
      <c r="J1570" s="2903"/>
      <c r="K1570" s="1639" t="str">
        <f>IF(AND($O1570&gt;0,NOT($H$11="Preservation")),"Ineligible, not Preservation!","")</f>
        <v>Ineligible, not Preservation!</v>
      </c>
      <c r="L1570" s="2910" t="s">
        <v>4866</v>
      </c>
      <c r="M1570" s="2403">
        <v>20</v>
      </c>
      <c r="N1570" s="1987"/>
      <c r="O1570" s="2000">
        <f>'Part VIII Scoring Criteria'!O376</f>
        <v>20</v>
      </c>
      <c r="P1570" s="2000">
        <f>'Part VIII Scoring Criteria'!P376</f>
        <v>0</v>
      </c>
      <c r="Q1570" s="2403"/>
      <c r="R1570" s="2880"/>
      <c r="S1570" s="1974"/>
      <c r="T1570" s="1974"/>
      <c r="U1570" s="1974"/>
      <c r="V1570" s="1974"/>
      <c r="W1570" s="1974"/>
      <c r="X1570" s="1974"/>
      <c r="Y1570" s="1974"/>
      <c r="Z1570" s="1974"/>
      <c r="AA1570" s="1974"/>
      <c r="AB1570" s="1974"/>
      <c r="AC1570" s="1974"/>
      <c r="AD1570" s="1974"/>
      <c r="AE1570" s="1974"/>
      <c r="AF1570" s="1974"/>
    </row>
    <row r="1571" spans="1:32" ht="14">
      <c r="A1571" s="2403"/>
      <c r="B1571" s="1973"/>
      <c r="C1571" s="1974"/>
      <c r="D1571" s="1974"/>
      <c r="E1571" s="1974"/>
      <c r="F1571" s="1974" t="s">
        <v>5071</v>
      </c>
      <c r="G1571" s="2399"/>
      <c r="H1571" s="1974"/>
      <c r="I1571" s="1974"/>
      <c r="J1571" s="1974"/>
      <c r="K1571" s="2406" t="s">
        <v>2881</v>
      </c>
      <c r="L1571" s="2403" t="s">
        <v>245</v>
      </c>
      <c r="M1571" s="1974"/>
      <c r="N1571" s="1974"/>
      <c r="O1571" s="1974"/>
      <c r="P1571" s="1974"/>
      <c r="Q1571" s="1974"/>
      <c r="R1571" s="2403"/>
      <c r="S1571" s="2403"/>
      <c r="T1571" s="2403"/>
      <c r="U1571" s="2403"/>
      <c r="V1571" s="2403"/>
      <c r="W1571" s="2403"/>
      <c r="X1571" s="2403"/>
      <c r="Y1571" s="2403"/>
      <c r="Z1571" s="2403"/>
      <c r="AA1571" s="2403"/>
      <c r="AB1571" s="1974"/>
      <c r="AC1571" s="1974"/>
      <c r="AD1571" s="1974"/>
      <c r="AE1571" s="1974"/>
      <c r="AF1571" s="1974"/>
    </row>
    <row r="1572" spans="1:32" ht="14">
      <c r="A1572" s="2403"/>
      <c r="B1572" s="1973"/>
      <c r="C1572" s="1974"/>
      <c r="D1572" s="1974"/>
      <c r="E1572" s="1974"/>
      <c r="F1572" s="1974"/>
      <c r="G1572" s="2959" t="s">
        <v>3306</v>
      </c>
      <c r="H1572" s="1974"/>
      <c r="I1572" s="1974"/>
      <c r="J1572" s="1974"/>
      <c r="K1572" s="2950">
        <f>'Part VIII Scoring Criteria'!K378</f>
        <v>20</v>
      </c>
      <c r="L1572" s="2950">
        <f>MAX(P1354,P1355-P1356)</f>
        <v>0</v>
      </c>
      <c r="M1572" s="1974"/>
      <c r="N1572" s="1974"/>
      <c r="O1572" s="1974"/>
      <c r="P1572" s="1974"/>
      <c r="Q1572" s="1974"/>
      <c r="R1572" s="2403"/>
      <c r="S1572" s="2403"/>
      <c r="T1572" s="2403"/>
      <c r="U1572" s="2403"/>
      <c r="V1572" s="2403"/>
      <c r="W1572" s="2403"/>
      <c r="X1572" s="2403"/>
      <c r="Y1572" s="2403"/>
      <c r="Z1572" s="2403"/>
      <c r="AA1572" s="2403"/>
      <c r="AB1572" s="1974"/>
      <c r="AC1572" s="1974"/>
      <c r="AD1572" s="1974"/>
      <c r="AE1572" s="1974"/>
      <c r="AF1572" s="1974"/>
    </row>
    <row r="1573" spans="1:32" ht="14">
      <c r="A1573" s="2403"/>
      <c r="B1573" s="1973"/>
      <c r="C1573" s="1974"/>
      <c r="D1573" s="1974"/>
      <c r="E1573" s="1974"/>
      <c r="F1573" s="1974"/>
      <c r="G1573" s="2959" t="s">
        <v>3907</v>
      </c>
      <c r="H1573" s="1974"/>
      <c r="I1573" s="1974"/>
      <c r="J1573" s="1974"/>
      <c r="K1573" s="2950">
        <f>'Part VIII Scoring Criteria'!K379</f>
        <v>4</v>
      </c>
      <c r="L1573" s="2950">
        <f>MAX(P1363,P1372+P1373+P1375+P1376+P1377)</f>
        <v>0</v>
      </c>
      <c r="M1573" s="1974"/>
      <c r="N1573" s="1974"/>
      <c r="O1573" s="1974"/>
      <c r="P1573" s="1974"/>
      <c r="Q1573" s="1974"/>
      <c r="R1573" s="2403"/>
      <c r="S1573" s="2403"/>
      <c r="T1573" s="2403"/>
      <c r="U1573" s="2403"/>
      <c r="V1573" s="2403"/>
      <c r="W1573" s="2403"/>
      <c r="X1573" s="2403"/>
      <c r="Y1573" s="2403"/>
      <c r="Z1573" s="2403"/>
      <c r="AA1573" s="2403"/>
      <c r="AB1573" s="1974"/>
      <c r="AC1573" s="1974"/>
      <c r="AD1573" s="1974"/>
      <c r="AE1573" s="1974"/>
      <c r="AF1573" s="1974"/>
    </row>
    <row r="1574" spans="1:32" ht="14">
      <c r="A1574" s="2403"/>
      <c r="B1574" s="1973"/>
      <c r="C1574" s="1974"/>
      <c r="D1574" s="1974"/>
      <c r="E1574" s="1974"/>
      <c r="F1574" s="1974"/>
      <c r="G1574" s="2959" t="s">
        <v>3251</v>
      </c>
      <c r="H1574" s="1974"/>
      <c r="I1574" s="1974"/>
      <c r="J1574" s="1974"/>
      <c r="K1574" s="2983">
        <f>'Part VIII Scoring Criteria'!K380</f>
        <v>1.5</v>
      </c>
      <c r="L1574" s="2984">
        <f>$P$190</f>
        <v>205632</v>
      </c>
      <c r="M1574" s="1974"/>
      <c r="N1574" s="1974"/>
      <c r="O1574" s="1974"/>
      <c r="P1574" s="1974"/>
      <c r="Q1574" s="1974"/>
      <c r="R1574" s="2403"/>
      <c r="S1574" s="2403"/>
      <c r="T1574" s="2403"/>
      <c r="U1574" s="2403"/>
      <c r="V1574" s="2403"/>
      <c r="W1574" s="2403"/>
      <c r="X1574" s="2403"/>
      <c r="Y1574" s="2403"/>
      <c r="Z1574" s="2403"/>
      <c r="AA1574" s="2403"/>
      <c r="AB1574" s="1974"/>
      <c r="AC1574" s="1974"/>
      <c r="AD1574" s="1974"/>
      <c r="AE1574" s="1974"/>
      <c r="AF1574" s="1974"/>
    </row>
    <row r="1575" spans="1:32" ht="14">
      <c r="A1575" s="2403"/>
      <c r="B1575" s="1973"/>
      <c r="C1575" s="1974"/>
      <c r="D1575" s="1974"/>
      <c r="E1575" s="1974"/>
      <c r="F1575" s="1974" t="s">
        <v>4955</v>
      </c>
      <c r="G1575" s="1974"/>
      <c r="H1575" s="1974"/>
      <c r="I1575" s="1974"/>
      <c r="J1575" s="2935" t="s">
        <v>4956</v>
      </c>
      <c r="K1575" s="2950">
        <f>MAX(K1576:K1578)</f>
        <v>8</v>
      </c>
      <c r="L1575" s="2950">
        <f>MAX(L1576:L1578)</f>
        <v>0</v>
      </c>
      <c r="M1575" s="1974"/>
      <c r="N1575" s="1974"/>
      <c r="O1575" s="1974"/>
      <c r="P1575" s="1974"/>
      <c r="Q1575" s="1974"/>
      <c r="R1575" s="2403"/>
      <c r="S1575" s="2403"/>
      <c r="T1575" s="2403"/>
      <c r="U1575" s="2403"/>
      <c r="V1575" s="2403"/>
      <c r="W1575" s="2403"/>
      <c r="X1575" s="2403"/>
      <c r="Y1575" s="2403"/>
      <c r="Z1575" s="2403"/>
      <c r="AA1575" s="2403"/>
      <c r="AB1575" s="1974"/>
      <c r="AC1575" s="1974"/>
      <c r="AD1575" s="1974"/>
      <c r="AE1575" s="1974"/>
      <c r="AF1575" s="1974"/>
    </row>
    <row r="1576" spans="1:32" ht="14">
      <c r="A1576" s="2403"/>
      <c r="B1576" s="1973"/>
      <c r="C1576" s="1974"/>
      <c r="D1576" s="1974"/>
      <c r="E1576" s="1974"/>
      <c r="F1576" s="1974"/>
      <c r="G1576" s="2959" t="s">
        <v>3307</v>
      </c>
      <c r="H1576" s="1974"/>
      <c r="I1576" s="1974"/>
      <c r="J1576" s="1974"/>
      <c r="K1576" s="2950">
        <f>'Part VIII Scoring Criteria'!K382</f>
        <v>0</v>
      </c>
      <c r="L1576" s="2950">
        <f>P1401</f>
        <v>0</v>
      </c>
      <c r="M1576" s="1974"/>
      <c r="N1576" s="1974"/>
      <c r="O1576" s="1974"/>
      <c r="P1576" s="1974"/>
      <c r="Q1576" s="1974"/>
      <c r="R1576" s="2403"/>
      <c r="S1576" s="2403"/>
      <c r="T1576" s="2403"/>
      <c r="U1576" s="2403"/>
      <c r="V1576" s="2403"/>
      <c r="W1576" s="2403"/>
      <c r="X1576" s="2403"/>
      <c r="Y1576" s="2403"/>
      <c r="Z1576" s="2403"/>
      <c r="AA1576" s="2403"/>
      <c r="AB1576" s="1974"/>
      <c r="AC1576" s="1974"/>
      <c r="AD1576" s="1974"/>
      <c r="AE1576" s="1974"/>
      <c r="AF1576" s="1974"/>
    </row>
    <row r="1577" spans="1:32" ht="14">
      <c r="A1577" s="2403"/>
      <c r="B1577" s="1973"/>
      <c r="C1577" s="1974"/>
      <c r="D1577" s="1974"/>
      <c r="E1577" s="1974"/>
      <c r="F1577" s="1974"/>
      <c r="G1577" s="2959" t="s">
        <v>3908</v>
      </c>
      <c r="H1577" s="1974"/>
      <c r="I1577" s="1974"/>
      <c r="J1577" s="1974"/>
      <c r="K1577" s="2870">
        <f>'Part VIII Scoring Criteria'!K383</f>
        <v>8</v>
      </c>
      <c r="L1577" s="2870">
        <f>MAX($K$251,$P$238)</f>
        <v>0</v>
      </c>
      <c r="M1577" s="1974"/>
      <c r="N1577" s="1974"/>
      <c r="O1577" s="1974"/>
      <c r="P1577" s="1974"/>
      <c r="Q1577" s="1974"/>
      <c r="R1577" s="2403"/>
      <c r="S1577" s="2403"/>
      <c r="T1577" s="2403"/>
      <c r="U1577" s="2403"/>
      <c r="V1577" s="2403"/>
      <c r="W1577" s="2403"/>
      <c r="X1577" s="2403"/>
      <c r="Y1577" s="2403"/>
      <c r="Z1577" s="2403"/>
      <c r="AA1577" s="2403"/>
      <c r="AB1577" s="1974"/>
      <c r="AC1577" s="1974"/>
      <c r="AD1577" s="1974"/>
      <c r="AE1577" s="1974"/>
      <c r="AF1577" s="1974"/>
    </row>
    <row r="1578" spans="1:32" ht="14">
      <c r="A1578" s="2403"/>
      <c r="B1578" s="1973"/>
      <c r="C1578" s="1974"/>
      <c r="D1578" s="1974"/>
      <c r="E1578" s="1974"/>
      <c r="F1578" s="1974"/>
      <c r="G1578" s="2959" t="s">
        <v>3179</v>
      </c>
      <c r="H1578" s="1974"/>
      <c r="I1578" s="1974"/>
      <c r="J1578" s="1974"/>
      <c r="K1578" s="2870">
        <f>'Part VIII Scoring Criteria'!K384</f>
        <v>0</v>
      </c>
      <c r="L1578" s="2870">
        <f>IF(OR(P1460="Yes",P1461="Yes"),M1459,0)</f>
        <v>0</v>
      </c>
      <c r="M1578" s="1974"/>
      <c r="N1578" s="1974"/>
      <c r="O1578" s="1974"/>
      <c r="P1578" s="1974"/>
      <c r="Q1578" s="1974"/>
      <c r="R1578" s="2403"/>
      <c r="S1578" s="2403"/>
      <c r="T1578" s="2403"/>
      <c r="U1578" s="2403"/>
      <c r="V1578" s="2403"/>
      <c r="W1578" s="2403"/>
      <c r="X1578" s="2403"/>
      <c r="Y1578" s="2403"/>
      <c r="Z1578" s="2403"/>
      <c r="AA1578" s="2403"/>
      <c r="AB1578" s="1974"/>
      <c r="AC1578" s="1974"/>
      <c r="AD1578" s="1974"/>
      <c r="AE1578" s="1974"/>
      <c r="AF1578" s="1974"/>
    </row>
    <row r="1579" spans="1:32" ht="14">
      <c r="A1579" s="2403" t="s">
        <v>1610</v>
      </c>
      <c r="B1579" s="1973" t="s">
        <v>4824</v>
      </c>
      <c r="C1579" s="1974"/>
      <c r="D1579" s="2399"/>
      <c r="E1579" s="1974"/>
      <c r="F1579" s="1974"/>
      <c r="G1579" s="2877"/>
      <c r="H1579" s="1974"/>
      <c r="I1579" s="1974"/>
      <c r="J1579" s="1974"/>
      <c r="K1579" s="2879" t="str">
        <f>IF(OR($O1579&lt;=$M1579,$O1579=0,$O1579=""),"","*CHECK!*")</f>
        <v/>
      </c>
      <c r="L1579" s="2401" t="s">
        <v>4866</v>
      </c>
      <c r="M1579" s="2403">
        <v>22</v>
      </c>
      <c r="N1579" s="1987"/>
      <c r="O1579" s="2000">
        <f>'Part VIII Scoring Criteria'!O385</f>
        <v>0</v>
      </c>
      <c r="P1579" s="2000">
        <f>'Part VIII Scoring Criteria'!P385</f>
        <v>0</v>
      </c>
      <c r="Q1579" s="2403" t="s">
        <v>415</v>
      </c>
      <c r="R1579" s="2880"/>
      <c r="S1579" s="1974"/>
      <c r="T1579" s="1974"/>
      <c r="U1579" s="1974"/>
      <c r="V1579" s="1974"/>
      <c r="W1579" s="1974"/>
      <c r="X1579" s="1974"/>
      <c r="Y1579" s="1974"/>
      <c r="Z1579" s="1974"/>
      <c r="AA1579" s="1974"/>
      <c r="AB1579" s="1974"/>
      <c r="AC1579" s="1974"/>
      <c r="AD1579" s="1974"/>
      <c r="AE1579" s="1974"/>
      <c r="AF1579" s="1974"/>
    </row>
    <row r="1580" spans="1:32" ht="14">
      <c r="A1580" s="2403"/>
      <c r="B1580" s="2881"/>
      <c r="C1580" s="2004" t="s">
        <v>4895</v>
      </c>
      <c r="D1580" s="1974"/>
      <c r="E1580" s="1974"/>
      <c r="F1580" s="1974"/>
      <c r="G1580" s="2960" t="s">
        <v>4907</v>
      </c>
      <c r="H1580" s="1974"/>
      <c r="I1580" s="2403"/>
      <c r="J1580" s="1974"/>
      <c r="K1580" s="2924">
        <f>'Part VIII Scoring Criteria'!K386</f>
        <v>0</v>
      </c>
      <c r="L1580" s="1974"/>
      <c r="M1580" s="2910" t="s">
        <v>4866</v>
      </c>
      <c r="N1580" s="2912">
        <v>3</v>
      </c>
      <c r="O1580" s="2403">
        <f>'Part VIII Scoring Criteria'!O386</f>
        <v>0</v>
      </c>
      <c r="P1580" s="2000"/>
      <c r="Q1580" s="2880"/>
      <c r="R1580" s="1974"/>
      <c r="S1580" s="1974"/>
      <c r="T1580" s="1974"/>
      <c r="U1580" s="1974"/>
      <c r="V1580" s="2399"/>
      <c r="W1580" s="1974"/>
      <c r="X1580" s="1974"/>
      <c r="Y1580" s="1974"/>
      <c r="Z1580" s="1974"/>
      <c r="AA1580" s="1974"/>
      <c r="AB1580" s="1974"/>
      <c r="AC1580" s="1974"/>
      <c r="AD1580" s="1974"/>
      <c r="AE1580" s="1974"/>
      <c r="AF1580" s="1974"/>
    </row>
    <row r="1581" spans="1:32" ht="14">
      <c r="A1581" s="2403"/>
      <c r="B1581" s="2883"/>
      <c r="C1581" s="2007" t="s">
        <v>4896</v>
      </c>
      <c r="D1581" s="2007"/>
      <c r="E1581" s="2007"/>
      <c r="F1581" s="1974"/>
      <c r="G1581" s="2959" t="s">
        <v>4906</v>
      </c>
      <c r="H1581" s="1974"/>
      <c r="I1581" s="2007"/>
      <c r="J1581" s="1974"/>
      <c r="K1581" s="2006">
        <f>'Part VIII Scoring Criteria'!K387</f>
        <v>0</v>
      </c>
      <c r="L1581" s="1974"/>
      <c r="M1581" s="2910" t="s">
        <v>4866</v>
      </c>
      <c r="N1581" s="2912">
        <v>3</v>
      </c>
      <c r="O1581" s="2403">
        <f>'Part VIII Scoring Criteria'!O387</f>
        <v>0</v>
      </c>
      <c r="P1581" s="2000"/>
      <c r="Q1581" s="2401"/>
      <c r="R1581" s="1974"/>
      <c r="S1581" s="1974"/>
      <c r="T1581" s="1974"/>
      <c r="U1581" s="1974"/>
      <c r="V1581" s="2399"/>
      <c r="W1581" s="1974"/>
      <c r="X1581" s="1974"/>
      <c r="Y1581" s="1974"/>
      <c r="Z1581" s="1974"/>
      <c r="AA1581" s="1974"/>
      <c r="AB1581" s="1974"/>
      <c r="AC1581" s="1974"/>
      <c r="AD1581" s="1974"/>
      <c r="AE1581" s="1974"/>
      <c r="AF1581" s="1974"/>
    </row>
    <row r="1582" spans="1:32" ht="14">
      <c r="A1582" s="2001"/>
      <c r="B1582" s="2881"/>
      <c r="C1582" s="1974" t="s">
        <v>4721</v>
      </c>
      <c r="D1582" s="2001"/>
      <c r="E1582" s="2001"/>
      <c r="F1582" s="2001"/>
      <c r="G1582" s="2903" t="s">
        <v>4897</v>
      </c>
      <c r="H1582" s="2001"/>
      <c r="I1582" s="2001"/>
      <c r="J1582" s="2001"/>
      <c r="K1582" s="1987" t="str">
        <f>'Part VIII Scoring Criteria'!K388</f>
        <v/>
      </c>
      <c r="L1582" s="2001"/>
      <c r="M1582" s="2910" t="s">
        <v>4866</v>
      </c>
      <c r="N1582" s="2912">
        <v>10</v>
      </c>
      <c r="O1582" s="2403">
        <f>'Part VIII Scoring Criteria'!O388</f>
        <v>0</v>
      </c>
      <c r="P1582" s="2000"/>
      <c r="Q1582" s="2879" t="str">
        <f>IF(OR($O1582&lt;=$N1582,$O1582=0,$O1582=""),"","*CHECK!*")</f>
        <v/>
      </c>
      <c r="R1582" s="2880"/>
      <c r="S1582" s="2001"/>
      <c r="T1582" s="2001"/>
      <c r="U1582" s="2001"/>
      <c r="V1582" s="2001"/>
      <c r="W1582" s="2001"/>
      <c r="X1582" s="2001"/>
      <c r="Y1582" s="2001"/>
      <c r="Z1582" s="2001"/>
      <c r="AA1582" s="2001"/>
      <c r="AB1582" s="2001"/>
      <c r="AC1582" s="2001"/>
      <c r="AD1582" s="2001"/>
      <c r="AE1582" s="2001"/>
      <c r="AF1582" s="2001"/>
    </row>
    <row r="1583" spans="1:32" ht="14">
      <c r="A1583" s="2403"/>
      <c r="B1583" s="2001" t="s">
        <v>1132</v>
      </c>
      <c r="C1583" s="2001"/>
      <c r="D1583" s="2001" t="s">
        <v>4725</v>
      </c>
      <c r="E1583" s="1974"/>
      <c r="F1583" s="1974"/>
      <c r="G1583" s="1974" t="s">
        <v>4116</v>
      </c>
      <c r="H1583" s="1974"/>
      <c r="I1583" s="1974"/>
      <c r="J1583" s="1974" t="s">
        <v>574</v>
      </c>
      <c r="K1583" s="1974"/>
      <c r="L1583" s="1992" t="s">
        <v>4726</v>
      </c>
      <c r="M1583" s="2001" t="s">
        <v>4730</v>
      </c>
      <c r="N1583" s="2001"/>
      <c r="O1583" s="2001"/>
      <c r="P1583" s="2001"/>
      <c r="Q1583" s="2879"/>
      <c r="R1583" s="2001"/>
      <c r="S1583" s="2001"/>
      <c r="T1583" s="2001"/>
      <c r="U1583" s="2001"/>
      <c r="V1583" s="2001"/>
      <c r="W1583" s="2001"/>
      <c r="X1583" s="2001"/>
      <c r="Y1583" s="2001"/>
      <c r="Z1583" s="2001"/>
      <c r="AA1583" s="2001"/>
      <c r="AB1583" s="2001"/>
      <c r="AC1583" s="2001"/>
      <c r="AD1583" s="2001"/>
      <c r="AE1583" s="2001"/>
      <c r="AF1583" s="2001"/>
    </row>
    <row r="1584" spans="1:32" ht="14">
      <c r="A1584" s="2882" t="s">
        <v>1958</v>
      </c>
      <c r="B1584" s="2008">
        <f>'Part VIII Scoring Criteria'!B390</f>
        <v>0</v>
      </c>
      <c r="C1584" s="1974"/>
      <c r="D1584" s="2008">
        <f>'Part VIII Scoring Criteria'!D390</f>
        <v>0</v>
      </c>
      <c r="E1584" s="1974"/>
      <c r="F1584" s="1974"/>
      <c r="G1584" s="2008">
        <f>'Part VIII Scoring Criteria'!G390</f>
        <v>0</v>
      </c>
      <c r="H1584" s="1974"/>
      <c r="I1584" s="1974"/>
      <c r="J1584" s="2008">
        <f>'Part VIII Scoring Criteria'!J390</f>
        <v>0</v>
      </c>
      <c r="K1584" s="1974"/>
      <c r="L1584" s="2985">
        <f>'Part VIII Scoring Criteria'!L390</f>
        <v>0</v>
      </c>
      <c r="M1584" s="2008">
        <f>'Part VIII Scoring Criteria'!M390</f>
        <v>0</v>
      </c>
      <c r="N1584" s="1974"/>
      <c r="O1584" s="1974"/>
      <c r="P1584" s="1974"/>
      <c r="Q1584" s="2879"/>
      <c r="R1584" s="2001"/>
      <c r="S1584" s="2001"/>
      <c r="T1584" s="2001"/>
      <c r="U1584" s="2001"/>
      <c r="V1584" s="2001"/>
      <c r="W1584" s="2001"/>
      <c r="X1584" s="2001"/>
      <c r="Y1584" s="2001"/>
      <c r="Z1584" s="2001"/>
      <c r="AA1584" s="2001"/>
      <c r="AB1584" s="2001"/>
      <c r="AC1584" s="2001"/>
      <c r="AD1584" s="2001"/>
      <c r="AE1584" s="2001"/>
      <c r="AF1584" s="2001"/>
    </row>
    <row r="1585" spans="1:32" ht="14">
      <c r="A1585" s="2882" t="s">
        <v>1959</v>
      </c>
      <c r="B1585" s="2008">
        <f>'Part VIII Scoring Criteria'!B391</f>
        <v>0</v>
      </c>
      <c r="C1585" s="1974"/>
      <c r="D1585" s="2008">
        <f>'Part VIII Scoring Criteria'!D391</f>
        <v>0</v>
      </c>
      <c r="E1585" s="1974"/>
      <c r="F1585" s="1974"/>
      <c r="G1585" s="2008">
        <f>'Part VIII Scoring Criteria'!G391</f>
        <v>0</v>
      </c>
      <c r="H1585" s="1974"/>
      <c r="I1585" s="1974"/>
      <c r="J1585" s="2008">
        <f>'Part VIII Scoring Criteria'!J391</f>
        <v>0</v>
      </c>
      <c r="K1585" s="1974"/>
      <c r="L1585" s="2985">
        <f>'Part VIII Scoring Criteria'!L391</f>
        <v>0</v>
      </c>
      <c r="M1585" s="2008">
        <f>'Part VIII Scoring Criteria'!M391</f>
        <v>0</v>
      </c>
      <c r="N1585" s="1974"/>
      <c r="O1585" s="1974"/>
      <c r="P1585" s="1974"/>
      <c r="Q1585" s="2879"/>
      <c r="R1585" s="2001"/>
      <c r="S1585" s="2001"/>
      <c r="T1585" s="2001"/>
      <c r="U1585" s="2001"/>
      <c r="V1585" s="2001"/>
      <c r="W1585" s="2001"/>
      <c r="X1585" s="2001"/>
      <c r="Y1585" s="2001"/>
      <c r="Z1585" s="2001"/>
      <c r="AA1585" s="2001"/>
      <c r="AB1585" s="2001"/>
      <c r="AC1585" s="2001"/>
      <c r="AD1585" s="2001"/>
      <c r="AE1585" s="2001"/>
      <c r="AF1585" s="2001"/>
    </row>
    <row r="1586" spans="1:32" ht="14">
      <c r="A1586" s="2882" t="s">
        <v>1608</v>
      </c>
      <c r="B1586" s="2008">
        <f>'Part VIII Scoring Criteria'!B392</f>
        <v>0</v>
      </c>
      <c r="C1586" s="1974"/>
      <c r="D1586" s="2008">
        <f>'Part VIII Scoring Criteria'!D392</f>
        <v>0</v>
      </c>
      <c r="E1586" s="1974"/>
      <c r="F1586" s="1974"/>
      <c r="G1586" s="2008">
        <f>'Part VIII Scoring Criteria'!G392</f>
        <v>0</v>
      </c>
      <c r="H1586" s="1974"/>
      <c r="I1586" s="1974"/>
      <c r="J1586" s="2008">
        <f>'Part VIII Scoring Criteria'!J392</f>
        <v>0</v>
      </c>
      <c r="K1586" s="1974"/>
      <c r="L1586" s="2985">
        <f>'Part VIII Scoring Criteria'!L392</f>
        <v>0</v>
      </c>
      <c r="M1586" s="2008">
        <f>'Part VIII Scoring Criteria'!M392</f>
        <v>0</v>
      </c>
      <c r="N1586" s="1974"/>
      <c r="O1586" s="1974"/>
      <c r="P1586" s="1974"/>
      <c r="Q1586" s="2879"/>
      <c r="R1586" s="2001"/>
      <c r="S1586" s="2001"/>
      <c r="T1586" s="2001"/>
      <c r="U1586" s="2001"/>
      <c r="V1586" s="2001"/>
      <c r="W1586" s="2001"/>
      <c r="X1586" s="2001"/>
      <c r="Y1586" s="2001"/>
      <c r="Z1586" s="2001"/>
      <c r="AA1586" s="2001"/>
      <c r="AB1586" s="2001"/>
      <c r="AC1586" s="2001"/>
      <c r="AD1586" s="2001"/>
      <c r="AE1586" s="2001"/>
      <c r="AF1586" s="2001"/>
    </row>
    <row r="1587" spans="1:32" ht="14">
      <c r="A1587" s="2882" t="s">
        <v>3741</v>
      </c>
      <c r="B1587" s="2008">
        <f>'Part VIII Scoring Criteria'!B393</f>
        <v>0</v>
      </c>
      <c r="C1587" s="1974"/>
      <c r="D1587" s="2008">
        <f>'Part VIII Scoring Criteria'!D393</f>
        <v>0</v>
      </c>
      <c r="E1587" s="1974"/>
      <c r="F1587" s="1974"/>
      <c r="G1587" s="2008">
        <f>'Part VIII Scoring Criteria'!G393</f>
        <v>0</v>
      </c>
      <c r="H1587" s="1974"/>
      <c r="I1587" s="1974"/>
      <c r="J1587" s="2008">
        <f>'Part VIII Scoring Criteria'!J393</f>
        <v>0</v>
      </c>
      <c r="K1587" s="1974"/>
      <c r="L1587" s="2985">
        <f>'Part VIII Scoring Criteria'!L393</f>
        <v>0</v>
      </c>
      <c r="M1587" s="2008">
        <f>'Part VIII Scoring Criteria'!M393</f>
        <v>0</v>
      </c>
      <c r="N1587" s="1974"/>
      <c r="O1587" s="1974"/>
      <c r="P1587" s="1974"/>
      <c r="Q1587" s="2879"/>
      <c r="R1587" s="2001"/>
      <c r="S1587" s="2001"/>
      <c r="T1587" s="2001"/>
      <c r="U1587" s="2001"/>
      <c r="V1587" s="2001"/>
      <c r="W1587" s="2001"/>
      <c r="X1587" s="2001"/>
      <c r="Y1587" s="2001"/>
      <c r="Z1587" s="2001"/>
      <c r="AA1587" s="2001"/>
      <c r="AB1587" s="2001"/>
      <c r="AC1587" s="2001"/>
      <c r="AD1587" s="2001"/>
      <c r="AE1587" s="2001"/>
      <c r="AF1587" s="2001"/>
    </row>
    <row r="1588" spans="1:32" ht="14">
      <c r="A1588" s="2882" t="s">
        <v>4674</v>
      </c>
      <c r="B1588" s="2008">
        <f>'Part VIII Scoring Criteria'!B394</f>
        <v>0</v>
      </c>
      <c r="C1588" s="1974"/>
      <c r="D1588" s="2008">
        <f>'Part VIII Scoring Criteria'!D394</f>
        <v>0</v>
      </c>
      <c r="E1588" s="1974"/>
      <c r="F1588" s="1974"/>
      <c r="G1588" s="2008">
        <f>'Part VIII Scoring Criteria'!G394</f>
        <v>0</v>
      </c>
      <c r="H1588" s="1974"/>
      <c r="I1588" s="1974"/>
      <c r="J1588" s="2008">
        <f>'Part VIII Scoring Criteria'!J394</f>
        <v>0</v>
      </c>
      <c r="K1588" s="1974"/>
      <c r="L1588" s="2985">
        <f>'Part VIII Scoring Criteria'!L394</f>
        <v>0</v>
      </c>
      <c r="M1588" s="2008">
        <f>'Part VIII Scoring Criteria'!M394</f>
        <v>0</v>
      </c>
      <c r="N1588" s="1974"/>
      <c r="O1588" s="1974"/>
      <c r="P1588" s="1974"/>
      <c r="Q1588" s="2879"/>
      <c r="R1588" s="2001"/>
      <c r="S1588" s="2001"/>
      <c r="T1588" s="2001"/>
      <c r="U1588" s="2001"/>
      <c r="V1588" s="2001"/>
      <c r="W1588" s="2001"/>
      <c r="X1588" s="2001"/>
      <c r="Y1588" s="2001"/>
      <c r="Z1588" s="2001"/>
      <c r="AA1588" s="2001"/>
      <c r="AB1588" s="2001"/>
      <c r="AC1588" s="2001"/>
      <c r="AD1588" s="2001"/>
      <c r="AE1588" s="2001"/>
      <c r="AF1588" s="2001"/>
    </row>
    <row r="1589" spans="1:32" ht="14">
      <c r="A1589" s="2882" t="s">
        <v>4675</v>
      </c>
      <c r="B1589" s="2008">
        <f>'Part VIII Scoring Criteria'!B395</f>
        <v>0</v>
      </c>
      <c r="C1589" s="1974"/>
      <c r="D1589" s="2008">
        <f>'Part VIII Scoring Criteria'!D395</f>
        <v>0</v>
      </c>
      <c r="E1589" s="1974"/>
      <c r="F1589" s="1974"/>
      <c r="G1589" s="2008">
        <f>'Part VIII Scoring Criteria'!G395</f>
        <v>0</v>
      </c>
      <c r="H1589" s="1974"/>
      <c r="I1589" s="1974"/>
      <c r="J1589" s="2008">
        <f>'Part VIII Scoring Criteria'!J395</f>
        <v>0</v>
      </c>
      <c r="K1589" s="1974"/>
      <c r="L1589" s="2985">
        <f>'Part VIII Scoring Criteria'!L395</f>
        <v>0</v>
      </c>
      <c r="M1589" s="2008">
        <f>'Part VIII Scoring Criteria'!M395</f>
        <v>0</v>
      </c>
      <c r="N1589" s="1974"/>
      <c r="O1589" s="1974"/>
      <c r="P1589" s="1974"/>
      <c r="Q1589" s="2879"/>
      <c r="R1589" s="2001"/>
      <c r="S1589" s="2001"/>
      <c r="T1589" s="2001"/>
      <c r="U1589" s="2001"/>
      <c r="V1589" s="2001"/>
      <c r="W1589" s="2001"/>
      <c r="X1589" s="2001"/>
      <c r="Y1589" s="2001"/>
      <c r="Z1589" s="2001"/>
      <c r="AA1589" s="2001"/>
      <c r="AB1589" s="2001"/>
      <c r="AC1589" s="2001"/>
      <c r="AD1589" s="2001"/>
      <c r="AE1589" s="2001"/>
      <c r="AF1589" s="2001"/>
    </row>
    <row r="1590" spans="1:32" ht="14">
      <c r="A1590" s="2882" t="s">
        <v>4898</v>
      </c>
      <c r="B1590" s="2008">
        <f>'Part VIII Scoring Criteria'!B396</f>
        <v>0</v>
      </c>
      <c r="C1590" s="1974"/>
      <c r="D1590" s="2008">
        <f>'Part VIII Scoring Criteria'!D396</f>
        <v>0</v>
      </c>
      <c r="E1590" s="1974"/>
      <c r="F1590" s="1974"/>
      <c r="G1590" s="2008">
        <f>'Part VIII Scoring Criteria'!G396</f>
        <v>0</v>
      </c>
      <c r="H1590" s="1974"/>
      <c r="I1590" s="1974"/>
      <c r="J1590" s="2008">
        <f>'Part VIII Scoring Criteria'!J396</f>
        <v>0</v>
      </c>
      <c r="K1590" s="1974"/>
      <c r="L1590" s="2985">
        <f>'Part VIII Scoring Criteria'!L396</f>
        <v>0</v>
      </c>
      <c r="M1590" s="2008">
        <f>'Part VIII Scoring Criteria'!M396</f>
        <v>0</v>
      </c>
      <c r="N1590" s="1974"/>
      <c r="O1590" s="1974"/>
      <c r="P1590" s="1974"/>
      <c r="Q1590" s="2879"/>
      <c r="R1590" s="2001"/>
      <c r="S1590" s="2001"/>
      <c r="T1590" s="2001"/>
      <c r="U1590" s="2001"/>
      <c r="V1590" s="2001"/>
      <c r="W1590" s="2001"/>
      <c r="X1590" s="2001"/>
      <c r="Y1590" s="2001"/>
      <c r="Z1590" s="2001"/>
      <c r="AA1590" s="2001"/>
      <c r="AB1590" s="2001"/>
      <c r="AC1590" s="2001"/>
      <c r="AD1590" s="2001"/>
      <c r="AE1590" s="2001"/>
      <c r="AF1590" s="2001"/>
    </row>
    <row r="1591" spans="1:32" ht="14">
      <c r="A1591" s="2882" t="s">
        <v>4899</v>
      </c>
      <c r="B1591" s="2008">
        <f>'Part VIII Scoring Criteria'!B397</f>
        <v>0</v>
      </c>
      <c r="C1591" s="1974"/>
      <c r="D1591" s="2008">
        <f>'Part VIII Scoring Criteria'!D397</f>
        <v>0</v>
      </c>
      <c r="E1591" s="1974"/>
      <c r="F1591" s="1974"/>
      <c r="G1591" s="2008">
        <f>'Part VIII Scoring Criteria'!G397</f>
        <v>0</v>
      </c>
      <c r="H1591" s="1974"/>
      <c r="I1591" s="1974"/>
      <c r="J1591" s="2008">
        <f>'Part VIII Scoring Criteria'!J397</f>
        <v>0</v>
      </c>
      <c r="K1591" s="1974"/>
      <c r="L1591" s="2985">
        <f>'Part VIII Scoring Criteria'!L397</f>
        <v>0</v>
      </c>
      <c r="M1591" s="2008">
        <f>'Part VIII Scoring Criteria'!M397</f>
        <v>0</v>
      </c>
      <c r="N1591" s="1974"/>
      <c r="O1591" s="1974"/>
      <c r="P1591" s="1974"/>
      <c r="Q1591" s="2879"/>
      <c r="R1591" s="2001"/>
      <c r="S1591" s="2001"/>
      <c r="T1591" s="2001"/>
      <c r="U1591" s="2001"/>
      <c r="V1591" s="2001"/>
      <c r="W1591" s="2001"/>
      <c r="X1591" s="2001"/>
      <c r="Y1591" s="2001"/>
      <c r="Z1591" s="2001"/>
      <c r="AA1591" s="2001"/>
      <c r="AB1591" s="2001"/>
      <c r="AC1591" s="2001"/>
      <c r="AD1591" s="2001"/>
      <c r="AE1591" s="2001"/>
      <c r="AF1591" s="2001"/>
    </row>
    <row r="1592" spans="1:32" ht="14">
      <c r="A1592" s="2882" t="s">
        <v>4874</v>
      </c>
      <c r="B1592" s="2008">
        <f>'Part VIII Scoring Criteria'!B398</f>
        <v>0</v>
      </c>
      <c r="C1592" s="1974"/>
      <c r="D1592" s="2008">
        <f>'Part VIII Scoring Criteria'!D398</f>
        <v>0</v>
      </c>
      <c r="E1592" s="1974"/>
      <c r="F1592" s="1974"/>
      <c r="G1592" s="2008">
        <f>'Part VIII Scoring Criteria'!G398</f>
        <v>0</v>
      </c>
      <c r="H1592" s="1974"/>
      <c r="I1592" s="1974"/>
      <c r="J1592" s="2008">
        <f>'Part VIII Scoring Criteria'!J398</f>
        <v>0</v>
      </c>
      <c r="K1592" s="1974"/>
      <c r="L1592" s="2985">
        <f>'Part VIII Scoring Criteria'!L398</f>
        <v>0</v>
      </c>
      <c r="M1592" s="2008">
        <f>'Part VIII Scoring Criteria'!M398</f>
        <v>0</v>
      </c>
      <c r="N1592" s="1974"/>
      <c r="O1592" s="1974"/>
      <c r="P1592" s="1974"/>
      <c r="Q1592" s="2001"/>
      <c r="R1592" s="2001"/>
      <c r="S1592" s="2001"/>
      <c r="T1592" s="2001"/>
      <c r="U1592" s="2001"/>
      <c r="V1592" s="2001"/>
      <c r="W1592" s="2001"/>
      <c r="X1592" s="2001"/>
      <c r="Y1592" s="2001"/>
      <c r="Z1592" s="2001"/>
      <c r="AA1592" s="2001"/>
      <c r="AB1592" s="2001"/>
      <c r="AC1592" s="2001"/>
      <c r="AD1592" s="2001"/>
      <c r="AE1592" s="2001"/>
      <c r="AF1592" s="2001"/>
    </row>
    <row r="1593" spans="1:32" ht="14">
      <c r="A1593" s="2882" t="s">
        <v>4900</v>
      </c>
      <c r="B1593" s="2008">
        <f>'Part VIII Scoring Criteria'!B399</f>
        <v>0</v>
      </c>
      <c r="C1593" s="1974"/>
      <c r="D1593" s="2008">
        <f>'Part VIII Scoring Criteria'!D399</f>
        <v>0</v>
      </c>
      <c r="E1593" s="1974"/>
      <c r="F1593" s="1974"/>
      <c r="G1593" s="2008">
        <f>'Part VIII Scoring Criteria'!G399</f>
        <v>0</v>
      </c>
      <c r="H1593" s="1974"/>
      <c r="I1593" s="1974"/>
      <c r="J1593" s="2008">
        <f>'Part VIII Scoring Criteria'!J399</f>
        <v>0</v>
      </c>
      <c r="K1593" s="1974"/>
      <c r="L1593" s="2985">
        <f>'Part VIII Scoring Criteria'!L399</f>
        <v>0</v>
      </c>
      <c r="M1593" s="2008">
        <f>'Part VIII Scoring Criteria'!M399</f>
        <v>0</v>
      </c>
      <c r="N1593" s="1974"/>
      <c r="O1593" s="1974"/>
      <c r="P1593" s="1974"/>
      <c r="Q1593" s="2879"/>
      <c r="R1593" s="2001"/>
      <c r="S1593" s="2001"/>
      <c r="T1593" s="2001"/>
      <c r="U1593" s="2001"/>
      <c r="V1593" s="2001"/>
      <c r="W1593" s="2001"/>
      <c r="X1593" s="2001"/>
      <c r="Y1593" s="2001"/>
      <c r="Z1593" s="2001"/>
      <c r="AA1593" s="2001"/>
      <c r="AB1593" s="2001"/>
      <c r="AC1593" s="2001"/>
      <c r="AD1593" s="2001"/>
      <c r="AE1593" s="2001"/>
      <c r="AF1593" s="2001"/>
    </row>
    <row r="1594" spans="1:32" ht="14">
      <c r="A1594" s="2885"/>
      <c r="B1594" s="2886"/>
      <c r="C1594" s="2007" t="s">
        <v>4722</v>
      </c>
      <c r="D1594" s="2007"/>
      <c r="E1594" s="2007"/>
      <c r="F1594" s="2007"/>
      <c r="G1594" s="2903" t="s">
        <v>4897</v>
      </c>
      <c r="H1594" s="2007"/>
      <c r="I1594" s="2007"/>
      <c r="J1594" s="2903" t="s">
        <v>4905</v>
      </c>
      <c r="K1594" s="2971">
        <f>'Part VIII Scoring Criteria'!K400</f>
        <v>0</v>
      </c>
      <c r="L1594" s="1987" t="str">
        <f>'Part VIII Scoring Criteria'!L400</f>
        <v/>
      </c>
      <c r="M1594" s="2922" t="s">
        <v>4866</v>
      </c>
      <c r="N1594" s="1974">
        <v>6</v>
      </c>
      <c r="O1594" s="2403">
        <f>'Part VIII Scoring Criteria'!O400</f>
        <v>0</v>
      </c>
      <c r="P1594" s="2891"/>
      <c r="Q1594" s="2879" t="str">
        <f>IF(OR($O1594&lt;=$N1594,$O1594=0,$O1594=""),"","*CHECK!*")</f>
        <v/>
      </c>
      <c r="R1594" s="2007"/>
      <c r="S1594" s="2007"/>
      <c r="T1594" s="2007"/>
      <c r="U1594" s="2007"/>
      <c r="V1594" s="2007"/>
      <c r="W1594" s="2007"/>
      <c r="X1594" s="2007"/>
      <c r="Y1594" s="2007"/>
      <c r="Z1594" s="2007"/>
      <c r="AA1594" s="2007"/>
      <c r="AB1594" s="2007"/>
      <c r="AC1594" s="2007"/>
      <c r="AD1594" s="2007"/>
      <c r="AE1594" s="2007"/>
      <c r="AF1594" s="2007"/>
    </row>
    <row r="1595" spans="1:32" ht="14.5">
      <c r="A1595" s="1974"/>
      <c r="B1595" s="2872" t="s">
        <v>5176</v>
      </c>
      <c r="C1595" s="1974"/>
      <c r="D1595" s="1974"/>
      <c r="E1595" s="1974"/>
      <c r="F1595" s="1974"/>
      <c r="G1595" s="1974"/>
      <c r="H1595" s="1974"/>
      <c r="I1595" s="1974"/>
      <c r="J1595" s="1974"/>
      <c r="K1595" s="1974"/>
      <c r="L1595" s="2001"/>
      <c r="M1595" s="1987"/>
      <c r="N1595" s="1992"/>
      <c r="O1595" s="2000"/>
      <c r="P1595" s="2003"/>
      <c r="Q1595" s="2001"/>
      <c r="R1595" s="2001"/>
      <c r="S1595" s="2001"/>
      <c r="T1595" s="2001"/>
      <c r="U1595" s="2001"/>
      <c r="V1595" s="2001"/>
      <c r="W1595" s="2001"/>
      <c r="X1595" s="2001"/>
      <c r="Y1595" s="2001"/>
      <c r="Z1595" s="2001"/>
      <c r="AA1595" s="2001"/>
      <c r="AB1595" s="2001"/>
      <c r="AC1595" s="2001"/>
      <c r="AD1595" s="2001"/>
      <c r="AE1595" s="2001"/>
      <c r="AF1595" s="2001"/>
    </row>
    <row r="1596" spans="1:32" ht="14">
      <c r="A1596" s="2008" t="str">
        <f>'Part VIII Scoring Criteria'!A402</f>
        <v>Princeton Court is an original 2005 LIHTC project, and is in proximity to a myriad of community amenities including a MARTA rail and bus station. While the property currently has occupancy levels at or above 96%, during September 2024-March 2025, Princeton experienced higher vacancy rates due a newer LIHTC senior property opening in a neighboring community and signifcant capital repairs that have now been addressed.</v>
      </c>
      <c r="B1596" s="2007"/>
      <c r="C1596" s="2007"/>
      <c r="D1596" s="2007"/>
      <c r="E1596" s="2007"/>
      <c r="F1596" s="2007"/>
      <c r="G1596" s="2007"/>
      <c r="H1596" s="2007"/>
      <c r="I1596" s="2007"/>
      <c r="J1596" s="2007"/>
      <c r="K1596" s="2007"/>
      <c r="L1596" s="2007"/>
      <c r="M1596" s="2007"/>
      <c r="N1596" s="2007"/>
      <c r="O1596" s="2007"/>
      <c r="P1596" s="2007"/>
      <c r="Q1596" s="1973"/>
      <c r="R1596" s="1973"/>
      <c r="S1596" s="2001"/>
      <c r="T1596" s="2001"/>
      <c r="U1596" s="2001"/>
      <c r="V1596" s="2001"/>
      <c r="W1596" s="2001"/>
      <c r="X1596" s="2001"/>
      <c r="Y1596" s="2001"/>
      <c r="Z1596" s="2001"/>
      <c r="AA1596" s="2001"/>
      <c r="AB1596" s="2001"/>
      <c r="AC1596" s="2001"/>
      <c r="AD1596" s="2001"/>
      <c r="AE1596" s="2001"/>
      <c r="AF1596" s="2001"/>
    </row>
    <row r="1597" spans="1:32" ht="14.5">
      <c r="A1597" s="2872"/>
      <c r="B1597" s="2872" t="s">
        <v>1725</v>
      </c>
      <c r="C1597" s="1974"/>
      <c r="D1597" s="2872"/>
      <c r="E1597" s="1974"/>
      <c r="F1597" s="1974"/>
      <c r="G1597" s="1974"/>
      <c r="H1597" s="1974"/>
      <c r="I1597" s="1974"/>
      <c r="J1597" s="1974"/>
      <c r="K1597" s="1974"/>
      <c r="L1597" s="1974"/>
      <c r="M1597" s="1974"/>
      <c r="N1597" s="1974"/>
      <c r="O1597" s="1973"/>
      <c r="P1597" s="1973"/>
      <c r="Q1597" s="1974"/>
      <c r="R1597" s="1974"/>
      <c r="S1597" s="1974"/>
      <c r="T1597" s="1974"/>
      <c r="U1597" s="1974"/>
      <c r="V1597" s="1974"/>
      <c r="W1597" s="1974"/>
      <c r="X1597" s="1974"/>
      <c r="Y1597" s="1974"/>
      <c r="Z1597" s="1974"/>
      <c r="AA1597" s="1974"/>
      <c r="AB1597" s="1974"/>
      <c r="AC1597" s="1974"/>
      <c r="AD1597" s="1974"/>
      <c r="AE1597" s="1974"/>
      <c r="AF1597" s="1974"/>
    </row>
    <row r="1598" spans="1:32" ht="14">
      <c r="A1598" s="2007"/>
      <c r="B1598" s="2007"/>
      <c r="C1598" s="2007"/>
      <c r="D1598" s="2007"/>
      <c r="E1598" s="2007"/>
      <c r="F1598" s="2007"/>
      <c r="G1598" s="2007"/>
      <c r="H1598" s="2007"/>
      <c r="I1598" s="2007"/>
      <c r="J1598" s="2007"/>
      <c r="K1598" s="2007"/>
      <c r="L1598" s="2007"/>
      <c r="M1598" s="2007"/>
      <c r="N1598" s="2007"/>
      <c r="O1598" s="2007"/>
      <c r="P1598" s="2007"/>
      <c r="Q1598" s="1973"/>
      <c r="R1598" s="1973"/>
      <c r="S1598" s="2001"/>
      <c r="T1598" s="2001"/>
      <c r="U1598" s="2001"/>
      <c r="V1598" s="2001"/>
      <c r="W1598" s="2001"/>
      <c r="X1598" s="2001"/>
      <c r="Y1598" s="2001"/>
      <c r="Z1598" s="2001"/>
      <c r="AA1598" s="2001"/>
      <c r="AB1598" s="2001"/>
      <c r="AC1598" s="2001"/>
      <c r="AD1598" s="2001"/>
      <c r="AE1598" s="2001"/>
      <c r="AF1598" s="2001"/>
    </row>
    <row r="1599" spans="1:32" ht="15" customHeight="1">
      <c r="A1599" s="1974"/>
      <c r="B1599" s="1974"/>
      <c r="C1599" s="2007"/>
      <c r="D1599" s="2007"/>
      <c r="E1599" s="2007"/>
      <c r="F1599" s="2007"/>
      <c r="G1599" s="2007"/>
      <c r="H1599" s="2007"/>
      <c r="I1599" s="2007"/>
      <c r="J1599" s="2007"/>
      <c r="K1599" s="2007"/>
      <c r="L1599" s="2007"/>
      <c r="M1599" s="2007"/>
      <c r="N1599" s="2007"/>
      <c r="O1599" s="2866"/>
      <c r="P1599" s="1973"/>
      <c r="Q1599" s="2930" t="s">
        <v>5192</v>
      </c>
      <c r="R1599" s="2930"/>
      <c r="S1599" s="2930"/>
      <c r="T1599" s="2930"/>
      <c r="U1599" s="2930"/>
      <c r="V1599" s="2930"/>
      <c r="W1599" s="2930"/>
      <c r="X1599" s="2930"/>
      <c r="Y1599" s="2930"/>
      <c r="Z1599" s="2930"/>
      <c r="AA1599" s="2930"/>
      <c r="AB1599" s="2930"/>
      <c r="AC1599" s="2930"/>
      <c r="AD1599" s="2930"/>
      <c r="AE1599" s="2930"/>
      <c r="AF1599" s="2930"/>
    </row>
    <row r="1600" spans="1:32" ht="14">
      <c r="A1600" s="1974"/>
      <c r="B1600" s="1974"/>
      <c r="C1600" s="2008"/>
      <c r="D1600" s="2008"/>
      <c r="E1600" s="2008"/>
      <c r="F1600" s="2008"/>
      <c r="G1600" s="2008"/>
      <c r="H1600" s="2008"/>
      <c r="I1600" s="2008"/>
      <c r="J1600" s="2008"/>
      <c r="K1600" s="2008"/>
      <c r="L1600" s="2008"/>
      <c r="M1600" s="2008"/>
      <c r="N1600" s="2006"/>
      <c r="O1600" s="2885"/>
      <c r="P1600" s="2403"/>
      <c r="Q1600" s="2930"/>
      <c r="R1600" s="2930"/>
      <c r="S1600" s="2930"/>
      <c r="T1600" s="2930"/>
      <c r="U1600" s="2930"/>
      <c r="V1600" s="2930"/>
      <c r="W1600" s="2930"/>
      <c r="X1600" s="2930"/>
      <c r="Y1600" s="2930"/>
      <c r="Z1600" s="2930"/>
      <c r="AA1600" s="2930"/>
      <c r="AB1600" s="2930"/>
      <c r="AC1600" s="2930"/>
      <c r="AD1600" s="2930"/>
      <c r="AE1600" s="2930"/>
      <c r="AF1600" s="2930"/>
    </row>
    <row r="1601" spans="1:32" ht="14">
      <c r="A1601" s="2001"/>
      <c r="B1601" s="2001"/>
      <c r="C1601" s="2001"/>
      <c r="D1601" s="2001"/>
      <c r="E1601" s="2001"/>
      <c r="F1601" s="2001"/>
      <c r="G1601" s="2001"/>
      <c r="H1601" s="2001"/>
      <c r="I1601" s="2001"/>
      <c r="J1601" s="2001"/>
      <c r="K1601" s="2001"/>
      <c r="L1601" s="2001"/>
      <c r="M1601" s="2001"/>
      <c r="N1601" s="1992"/>
      <c r="O1601" s="2003"/>
      <c r="P1601" s="2003"/>
      <c r="Q1601" s="2930"/>
      <c r="R1601" s="2930"/>
      <c r="S1601" s="2930"/>
      <c r="T1601" s="2930"/>
      <c r="U1601" s="2930"/>
      <c r="V1601" s="2930"/>
      <c r="W1601" s="2930"/>
      <c r="X1601" s="2930"/>
      <c r="Y1601" s="2930"/>
      <c r="Z1601" s="2930"/>
      <c r="AA1601" s="2930"/>
      <c r="AB1601" s="2930"/>
      <c r="AC1601" s="2930"/>
      <c r="AD1601" s="2930"/>
      <c r="AE1601" s="2930"/>
      <c r="AF1601" s="2930"/>
    </row>
    <row r="1602" spans="1:32" ht="14">
      <c r="A1602" s="1973" t="s">
        <v>401</v>
      </c>
      <c r="B1602" s="2001"/>
      <c r="C1602" s="1974"/>
      <c r="D1602" s="2001"/>
      <c r="E1602" s="2001"/>
      <c r="F1602" s="2001"/>
      <c r="G1602" s="1974"/>
      <c r="H1602" s="1974"/>
      <c r="I1602" s="1974"/>
      <c r="J1602" s="1974"/>
      <c r="K1602" s="1974"/>
      <c r="L1602" s="1974"/>
      <c r="M1602" s="2000"/>
      <c r="N1602" s="2870"/>
      <c r="O1602" s="2871">
        <f>'Part VIII Scoring Criteria'!O408</f>
        <v>65</v>
      </c>
      <c r="P1602" s="2871">
        <f>'Part VIII Scoring Criteria'!P408</f>
        <v>12</v>
      </c>
      <c r="Q1602" s="2930"/>
      <c r="R1602" s="2930"/>
      <c r="S1602" s="2930"/>
      <c r="T1602" s="2930"/>
      <c r="U1602" s="2930"/>
      <c r="V1602" s="2930"/>
      <c r="W1602" s="2930"/>
      <c r="X1602" s="2930"/>
      <c r="Y1602" s="2930"/>
      <c r="Z1602" s="2930"/>
      <c r="AA1602" s="2930"/>
      <c r="AB1602" s="2930"/>
      <c r="AC1602" s="2930"/>
      <c r="AD1602" s="2930"/>
      <c r="AE1602" s="2930"/>
      <c r="AF1602" s="2930"/>
    </row>
    <row r="1603" spans="1:32" ht="14">
      <c r="A1603" s="1974"/>
      <c r="B1603" s="2001"/>
      <c r="C1603" s="2008"/>
      <c r="D1603" s="2008"/>
      <c r="E1603" s="2008"/>
      <c r="F1603" s="2008"/>
      <c r="G1603" s="2008"/>
      <c r="H1603" s="2008"/>
      <c r="I1603" s="2008"/>
      <c r="J1603" s="2008"/>
      <c r="K1603" s="2008"/>
      <c r="L1603" s="2008"/>
      <c r="M1603" s="2008"/>
      <c r="N1603" s="2008"/>
      <c r="O1603" s="2008"/>
      <c r="P1603" s="2008"/>
      <c r="Q1603" s="2930"/>
      <c r="R1603" s="2930"/>
      <c r="S1603" s="2930"/>
      <c r="T1603" s="2930"/>
      <c r="U1603" s="2930"/>
      <c r="V1603" s="2930"/>
      <c r="W1603" s="2930"/>
      <c r="X1603" s="2930"/>
      <c r="Y1603" s="2930"/>
      <c r="Z1603" s="2930"/>
      <c r="AA1603" s="2930"/>
      <c r="AB1603" s="2930"/>
      <c r="AC1603" s="2930"/>
      <c r="AD1603" s="2930"/>
      <c r="AE1603" s="2930"/>
      <c r="AF1603" s="2930"/>
    </row>
    <row r="1604" spans="1:32" ht="14">
      <c r="A1604" s="2001"/>
      <c r="B1604" s="2001"/>
      <c r="C1604" s="2001"/>
      <c r="D1604" s="2001"/>
      <c r="E1604" s="2001"/>
      <c r="F1604" s="2004"/>
      <c r="G1604" s="2004"/>
      <c r="H1604" s="2403"/>
      <c r="I1604" s="2403"/>
      <c r="J1604" s="2001"/>
      <c r="K1604" s="2001"/>
      <c r="L1604" s="2001"/>
      <c r="M1604" s="2001"/>
      <c r="N1604" s="2403"/>
      <c r="O1604" s="2403"/>
      <c r="P1604" s="2000"/>
      <c r="Q1604" s="2930"/>
      <c r="R1604" s="2930"/>
      <c r="S1604" s="2930"/>
      <c r="T1604" s="2930"/>
      <c r="U1604" s="2930"/>
      <c r="V1604" s="2930"/>
      <c r="W1604" s="2930"/>
      <c r="X1604" s="2930"/>
      <c r="Y1604" s="2930"/>
      <c r="Z1604" s="2930"/>
      <c r="AA1604" s="2930"/>
      <c r="AB1604" s="2930"/>
      <c r="AC1604" s="2930"/>
      <c r="AD1604" s="2930"/>
      <c r="AE1604" s="2930"/>
      <c r="AF1604" s="2930"/>
    </row>
    <row r="1605" spans="1:32" ht="14.25" customHeight="1">
      <c r="A1605" s="2872" t="s">
        <v>5193</v>
      </c>
      <c r="B1605" s="2872"/>
      <c r="C1605" s="2872"/>
      <c r="D1605" s="2872"/>
      <c r="E1605" s="2872"/>
      <c r="F1605" s="2872"/>
      <c r="G1605" s="2872"/>
      <c r="H1605" s="2872"/>
      <c r="I1605" s="2872"/>
      <c r="J1605" s="2872"/>
      <c r="K1605" s="2872"/>
      <c r="L1605" s="2872"/>
      <c r="M1605" s="2872"/>
      <c r="N1605" s="2872"/>
      <c r="O1605" s="2872"/>
      <c r="P1605" s="2872"/>
      <c r="Q1605" s="2930"/>
      <c r="R1605" s="2930"/>
      <c r="S1605" s="2930"/>
      <c r="T1605" s="2930"/>
      <c r="U1605" s="2930"/>
      <c r="V1605" s="2930"/>
      <c r="W1605" s="2930"/>
      <c r="X1605" s="2930"/>
      <c r="Y1605" s="2930"/>
      <c r="Z1605" s="2930"/>
      <c r="AA1605" s="2930"/>
      <c r="AB1605" s="2930"/>
      <c r="AC1605" s="2930"/>
      <c r="AD1605" s="2930"/>
      <c r="AE1605" s="2930"/>
      <c r="AF1605" s="2930"/>
    </row>
    <row r="1606" spans="1:32" ht="14">
      <c r="A1606" s="2008" t="str">
        <f>'Part VIII Scoring Criteria'!A412</f>
        <v>Under Extended Affordability, the GP entity, National Church Residences of Princeton Court LLC, is wholly owned/controlled by National Church Residences, a certified 501c3 nonprofit.</v>
      </c>
      <c r="B1606" s="2007"/>
      <c r="C1606" s="2007"/>
      <c r="D1606" s="2007"/>
      <c r="E1606" s="2007"/>
      <c r="F1606" s="2007"/>
      <c r="G1606" s="2007"/>
      <c r="H1606" s="2007"/>
      <c r="I1606" s="2007"/>
      <c r="J1606" s="2007"/>
      <c r="K1606" s="2007"/>
      <c r="L1606" s="2007"/>
      <c r="M1606" s="2007"/>
      <c r="N1606" s="2007"/>
      <c r="O1606" s="2007"/>
      <c r="P1606" s="2007"/>
      <c r="Q1606" s="1974"/>
      <c r="R1606" s="1974"/>
      <c r="S1606" s="1974"/>
      <c r="T1606" s="1974"/>
      <c r="U1606" s="1974"/>
      <c r="V1606" s="1974"/>
      <c r="W1606" s="1974"/>
      <c r="X1606" s="1974"/>
      <c r="Y1606" s="1974"/>
      <c r="Z1606" s="2001"/>
      <c r="AA1606" s="2001"/>
      <c r="AB1606" s="2001"/>
      <c r="AC1606" s="2001"/>
      <c r="AD1606" s="2001"/>
      <c r="AE1606" s="2001"/>
      <c r="AF1606" s="2001"/>
    </row>
    <row r="1610" spans="1:32" ht="18">
      <c r="A1610" s="2986" t="s">
        <v>3835</v>
      </c>
      <c r="B1610" s="2986"/>
      <c r="C1610" s="2986"/>
      <c r="D1610" s="2986"/>
      <c r="E1610" s="2986"/>
      <c r="F1610" s="2986"/>
      <c r="G1610" s="2986"/>
      <c r="H1610" s="2986"/>
      <c r="I1610" s="2987"/>
      <c r="J1610" s="2987"/>
      <c r="K1610" s="2987"/>
    </row>
    <row r="1611" spans="1:32" ht="18">
      <c r="A1611" s="2986" t="s">
        <v>3836</v>
      </c>
      <c r="B1611" s="2986"/>
      <c r="C1611" s="2986"/>
      <c r="D1611" s="2986"/>
      <c r="E1611" s="2986"/>
      <c r="F1611" s="2986"/>
      <c r="G1611" s="2986"/>
      <c r="H1611" s="2986"/>
      <c r="I1611" s="2987"/>
      <c r="J1611" s="2987"/>
      <c r="K1611" s="2987"/>
    </row>
    <row r="1612" spans="1:32" ht="14">
      <c r="A1612" s="2988" t="s">
        <v>3837</v>
      </c>
      <c r="B1612" s="2989"/>
      <c r="C1612" s="2989"/>
      <c r="D1612" s="2990">
        <f>'Part I-Project Identification'!F1631</f>
        <v>0</v>
      </c>
      <c r="E1612" s="2990"/>
      <c r="F1612" s="2990"/>
      <c r="G1612" s="2990"/>
      <c r="H1612" s="2990"/>
      <c r="I1612" s="2990"/>
      <c r="J1612" s="2991" t="s">
        <v>4064</v>
      </c>
      <c r="K1612" s="2991"/>
    </row>
    <row r="1613" spans="1:32" ht="16.5" customHeight="1">
      <c r="A1613" s="2988" t="s">
        <v>3838</v>
      </c>
      <c r="B1613" s="2989"/>
      <c r="C1613" s="2989"/>
      <c r="D1613" s="2990">
        <f>'Part X - HOME NHTF Unit Calcs'!D4</f>
        <v>0</v>
      </c>
      <c r="E1613" s="2990"/>
      <c r="F1613" s="2990"/>
      <c r="G1613" s="2990"/>
      <c r="H1613" s="2990"/>
      <c r="I1613" s="2990"/>
      <c r="J1613" s="2991" t="s">
        <v>3879</v>
      </c>
      <c r="K1613" s="2991"/>
    </row>
    <row r="1614" spans="1:32" ht="14">
      <c r="A1614" s="2988" t="s">
        <v>3839</v>
      </c>
      <c r="B1614" s="2989"/>
      <c r="C1614" s="2989"/>
      <c r="D1614" s="2992">
        <f>'Part X - HOME NHTF Unit Calcs'!D5</f>
        <v>0</v>
      </c>
      <c r="E1614" s="2992"/>
      <c r="F1614" s="2992"/>
      <c r="G1614" s="2992"/>
      <c r="H1614" s="2992"/>
      <c r="I1614" s="2992"/>
      <c r="J1614" s="2991"/>
      <c r="K1614" s="2991"/>
    </row>
    <row r="1615" spans="1:32" ht="14">
      <c r="A1615" s="2987"/>
      <c r="B1615" s="2987"/>
      <c r="C1615" s="2987"/>
      <c r="D1615" s="2987"/>
      <c r="E1615" s="2987"/>
      <c r="F1615" s="2987"/>
      <c r="G1615" s="2987"/>
      <c r="H1615" s="2987"/>
      <c r="I1615" s="2987"/>
      <c r="J1615" s="2987"/>
      <c r="K1615" s="2987"/>
    </row>
    <row r="1616" spans="1:32" ht="14">
      <c r="A1616" s="2993" t="s">
        <v>3841</v>
      </c>
      <c r="B1616" s="2993"/>
      <c r="C1616" s="2993"/>
      <c r="D1616" s="2993"/>
      <c r="E1616" s="2993"/>
      <c r="F1616" s="2993"/>
      <c r="G1616" s="2993"/>
      <c r="H1616" s="2993"/>
      <c r="I1616" s="2993"/>
      <c r="J1616" s="2993"/>
      <c r="K1616" s="2993"/>
    </row>
    <row r="1617" spans="1:11" ht="14">
      <c r="A1617" s="2989"/>
      <c r="B1617" s="2989"/>
      <c r="C1617" s="2994">
        <v>1</v>
      </c>
      <c r="D1617" s="2989" t="s">
        <v>3842</v>
      </c>
      <c r="E1617" s="2989"/>
      <c r="F1617" s="2989"/>
      <c r="G1617" s="2989"/>
      <c r="H1617" s="2989"/>
      <c r="I1617" s="2989"/>
      <c r="J1617" s="2990">
        <f>'Part X - HOME NHTF Unit Calcs'!J8</f>
        <v>0</v>
      </c>
      <c r="K1617" s="2990"/>
    </row>
    <row r="1618" spans="1:11" ht="14">
      <c r="A1618" s="2989"/>
      <c r="B1618" s="2989"/>
      <c r="C1618" s="2989"/>
      <c r="D1618" s="2989"/>
      <c r="E1618" s="2989"/>
      <c r="F1618" s="2989"/>
      <c r="G1618" s="2989"/>
      <c r="H1618" s="2989"/>
      <c r="I1618" s="2989"/>
      <c r="J1618" s="2989"/>
      <c r="K1618" s="2995"/>
    </row>
    <row r="1619" spans="1:11" ht="14">
      <c r="A1619" s="2993" t="s">
        <v>3843</v>
      </c>
      <c r="B1619" s="2993"/>
      <c r="C1619" s="2993"/>
      <c r="D1619" s="2993"/>
      <c r="E1619" s="2993"/>
      <c r="F1619" s="2993"/>
      <c r="G1619" s="2993"/>
      <c r="H1619" s="2993"/>
      <c r="I1619" s="2993"/>
      <c r="J1619" s="2993"/>
      <c r="K1619" s="2993"/>
    </row>
    <row r="1620" spans="1:11" ht="14">
      <c r="A1620" s="2989"/>
      <c r="B1620" s="2989"/>
      <c r="C1620" s="2994">
        <v>2</v>
      </c>
      <c r="D1620" s="2989" t="s">
        <v>3844</v>
      </c>
      <c r="E1620" s="2993"/>
      <c r="F1620" s="2993"/>
      <c r="G1620" s="2993"/>
      <c r="H1620" s="2993"/>
      <c r="I1620" s="2993"/>
      <c r="J1620" s="2996">
        <f>'Part X - HOME NHTF Unit Calcs'!J11</f>
        <v>0</v>
      </c>
      <c r="K1620" s="2996"/>
    </row>
    <row r="1621" spans="1:11" ht="14">
      <c r="A1621" s="2989"/>
      <c r="B1621" s="2989"/>
      <c r="C1621" s="2989"/>
      <c r="D1621" s="2989"/>
      <c r="E1621" s="2989"/>
      <c r="F1621" s="2989"/>
      <c r="G1621" s="2989"/>
      <c r="H1621" s="2989"/>
      <c r="I1621" s="2989"/>
      <c r="J1621" s="2989"/>
      <c r="K1621" s="2994"/>
    </row>
    <row r="1622" spans="1:11" ht="14">
      <c r="A1622" s="2993" t="s">
        <v>3845</v>
      </c>
      <c r="B1622" s="2993"/>
      <c r="C1622" s="2993"/>
      <c r="D1622" s="2993"/>
      <c r="E1622" s="2993"/>
      <c r="F1622" s="2993"/>
      <c r="G1622" s="2993"/>
      <c r="H1622" s="2993"/>
      <c r="I1622" s="2993"/>
      <c r="J1622" s="2993"/>
      <c r="K1622" s="2993"/>
    </row>
    <row r="1623" spans="1:11" ht="14">
      <c r="A1623" s="2989"/>
      <c r="B1623" s="2989"/>
      <c r="C1623" s="2994">
        <v>3</v>
      </c>
      <c r="D1623" s="2989" t="s">
        <v>3846</v>
      </c>
      <c r="E1623" s="2989"/>
      <c r="F1623" s="2989"/>
      <c r="G1623" s="2989"/>
      <c r="H1623" s="2989"/>
      <c r="I1623" s="2989"/>
      <c r="J1623" s="2990">
        <f>'Part X - HOME NHTF Unit Calcs'!J14</f>
        <v>0</v>
      </c>
      <c r="K1623" s="2990"/>
    </row>
    <row r="1624" spans="1:11" ht="14">
      <c r="A1624" s="2989"/>
      <c r="B1624" s="2989"/>
      <c r="C1624" s="2989">
        <v>4</v>
      </c>
      <c r="D1624" s="2989" t="s">
        <v>3847</v>
      </c>
      <c r="E1624" s="2989"/>
      <c r="F1624" s="2989"/>
      <c r="G1624" s="2989"/>
      <c r="H1624" s="2989"/>
      <c r="I1624" s="2989"/>
      <c r="J1624" s="2990">
        <f>'Part X - HOME NHTF Unit Calcs'!J15</f>
        <v>1082728</v>
      </c>
      <c r="K1624" s="2990"/>
    </row>
    <row r="1625" spans="1:11" ht="14">
      <c r="A1625" s="2989"/>
      <c r="B1625" s="2989"/>
      <c r="C1625" s="2989">
        <v>5</v>
      </c>
      <c r="D1625" s="2989" t="s">
        <v>3848</v>
      </c>
      <c r="E1625" s="2989"/>
      <c r="F1625" s="2989"/>
      <c r="G1625" s="2989"/>
      <c r="H1625" s="2989"/>
      <c r="I1625" s="2989"/>
      <c r="J1625" s="2990">
        <f>'Part X - HOME NHTF Unit Calcs'!J16</f>
        <v>0</v>
      </c>
      <c r="K1625" s="2990"/>
    </row>
    <row r="1626" spans="1:11" ht="14">
      <c r="A1626" s="2989"/>
      <c r="B1626" s="2989"/>
      <c r="C1626" s="2994">
        <v>6</v>
      </c>
      <c r="D1626" s="2989" t="s">
        <v>3849</v>
      </c>
      <c r="E1626" s="2989"/>
      <c r="F1626" s="2989"/>
      <c r="G1626" s="2989"/>
      <c r="H1626" s="2989"/>
      <c r="I1626" s="2989"/>
      <c r="J1626" s="2989">
        <f>'Part X - HOME NHTF Unit Calcs'!J17</f>
        <v>0</v>
      </c>
      <c r="K1626" s="2989"/>
    </row>
    <row r="1627" spans="1:11" ht="14">
      <c r="A1627" s="2989"/>
      <c r="B1627" s="2989"/>
      <c r="C1627" s="2989"/>
      <c r="D1627" s="2989"/>
      <c r="E1627" s="2989"/>
      <c r="F1627" s="2989"/>
      <c r="G1627" s="2989"/>
      <c r="H1627" s="2989"/>
      <c r="I1627" s="2989"/>
      <c r="J1627" s="2989"/>
      <c r="K1627" s="2989"/>
    </row>
    <row r="1628" spans="1:11" ht="14">
      <c r="A1628" s="2989"/>
      <c r="B1628" s="2989"/>
      <c r="C1628" s="2994">
        <v>7</v>
      </c>
      <c r="D1628" s="2989" t="s">
        <v>3850</v>
      </c>
      <c r="E1628" s="2989"/>
      <c r="F1628" s="2989"/>
      <c r="G1628" s="2989"/>
      <c r="H1628" s="2989"/>
      <c r="I1628" s="2989"/>
      <c r="J1628" s="2990" t="str">
        <f>IF(J1626="No",J1623-J1624,IF(J1626="Yes",J1623-J1624-J1625,"Error"))</f>
        <v>Error</v>
      </c>
      <c r="K1628" s="2990"/>
    </row>
    <row r="1629" spans="1:11" ht="14">
      <c r="A1629" s="2989"/>
      <c r="B1629" s="2989"/>
      <c r="C1629" s="2994">
        <v>8</v>
      </c>
      <c r="D1629" s="2989" t="s">
        <v>3851</v>
      </c>
      <c r="E1629" s="2989"/>
      <c r="F1629" s="2989"/>
      <c r="G1629" s="2989"/>
      <c r="H1629" s="2989"/>
      <c r="I1629" s="2989"/>
      <c r="J1629" s="2997" t="e">
        <f>ROUNDDOWN(J1628/J1617,2)</f>
        <v>#VALUE!</v>
      </c>
      <c r="K1629" s="2997"/>
    </row>
    <row r="1630" spans="1:11" ht="14">
      <c r="A1630" s="2989"/>
      <c r="B1630" s="2989"/>
      <c r="C1630" s="2989"/>
      <c r="D1630" s="2989"/>
      <c r="E1630" s="2989"/>
      <c r="F1630" s="2989"/>
      <c r="G1630" s="2989"/>
      <c r="H1630" s="2989"/>
      <c r="I1630" s="2989"/>
      <c r="J1630" s="2989"/>
      <c r="K1630" s="2994"/>
    </row>
    <row r="1631" spans="1:11" ht="14">
      <c r="A1631" s="2989"/>
      <c r="B1631" s="2989"/>
      <c r="C1631" s="2994">
        <v>9</v>
      </c>
      <c r="D1631" s="2989" t="s">
        <v>3852</v>
      </c>
      <c r="E1631" s="2989"/>
      <c r="F1631" s="2989"/>
      <c r="G1631" s="2989"/>
      <c r="H1631" s="2989"/>
      <c r="I1631" s="2989"/>
      <c r="J1631" s="2998" t="e">
        <f>J1620/J1628</f>
        <v>#VALUE!</v>
      </c>
      <c r="K1631" s="2998"/>
    </row>
    <row r="1632" spans="1:11" ht="14">
      <c r="A1632" s="2999"/>
      <c r="B1632" s="2987"/>
      <c r="C1632" s="3000"/>
      <c r="D1632" s="3000"/>
      <c r="E1632" s="3000"/>
      <c r="F1632" s="3000"/>
      <c r="G1632" s="3000"/>
      <c r="H1632" s="3000"/>
      <c r="I1632" s="3000"/>
      <c r="J1632" s="2987"/>
      <c r="K1632" s="3001"/>
    </row>
    <row r="1633" spans="1:11" ht="18">
      <c r="A1633" s="3002" t="s">
        <v>3853</v>
      </c>
      <c r="B1633" s="2987"/>
      <c r="C1633" s="2987"/>
      <c r="D1633" s="2987"/>
      <c r="E1633" s="2987"/>
      <c r="F1633" s="2987"/>
      <c r="G1633" s="2987"/>
      <c r="H1633" s="2987"/>
      <c r="I1633" s="2987"/>
      <c r="J1633" s="2987"/>
      <c r="K1633" s="3001"/>
    </row>
    <row r="1634" spans="1:11" ht="14">
      <c r="A1634" s="3003" t="s">
        <v>5194</v>
      </c>
      <c r="B1634" s="2987"/>
      <c r="C1634" s="3000"/>
      <c r="D1634" s="3000"/>
      <c r="E1634" s="3000"/>
      <c r="F1634" s="3000"/>
      <c r="G1634" s="3000"/>
      <c r="H1634" s="3000"/>
      <c r="I1634" s="3000"/>
      <c r="J1634" s="2987"/>
      <c r="K1634" s="3001"/>
    </row>
    <row r="1635" spans="1:11" ht="14">
      <c r="A1635" s="3003" t="s">
        <v>5195</v>
      </c>
      <c r="B1635" s="2987"/>
      <c r="C1635" s="3000"/>
      <c r="D1635" s="3000"/>
      <c r="E1635" s="3000"/>
      <c r="F1635" s="3000"/>
      <c r="G1635" s="3000"/>
      <c r="H1635" s="3000"/>
      <c r="I1635" s="3000"/>
      <c r="J1635" s="3000"/>
      <c r="K1635" s="3001"/>
    </row>
    <row r="1636" spans="1:11" ht="14">
      <c r="A1636" s="3003" t="s">
        <v>5196</v>
      </c>
      <c r="B1636" s="2987"/>
      <c r="C1636" s="3000"/>
      <c r="D1636" s="3000"/>
      <c r="E1636" s="3000"/>
      <c r="F1636" s="3000"/>
      <c r="G1636" s="3000"/>
      <c r="H1636" s="3000"/>
      <c r="I1636" s="3000"/>
      <c r="J1636" s="3000"/>
      <c r="K1636" s="3001"/>
    </row>
    <row r="1637" spans="1:11" ht="14">
      <c r="A1637" s="3003" t="s">
        <v>5197</v>
      </c>
      <c r="B1637" s="2987"/>
      <c r="C1637" s="3000"/>
      <c r="D1637" s="3000"/>
      <c r="E1637" s="3000"/>
      <c r="F1637" s="3000"/>
      <c r="G1637" s="3000"/>
      <c r="H1637" s="3000"/>
      <c r="I1637" s="3000"/>
      <c r="J1637" s="3000"/>
      <c r="K1637" s="3001"/>
    </row>
    <row r="1638" spans="1:11" ht="14">
      <c r="A1638" s="3000"/>
      <c r="B1638" s="2987"/>
      <c r="C1638" s="3000"/>
      <c r="D1638" s="3000"/>
      <c r="E1638" s="3000"/>
      <c r="F1638" s="3000"/>
      <c r="G1638" s="3000"/>
      <c r="H1638" s="3000"/>
      <c r="I1638" s="3000"/>
      <c r="J1638" s="3000"/>
      <c r="K1638" s="3001"/>
    </row>
    <row r="1639" spans="1:11" ht="14">
      <c r="A1639" s="2991" t="s">
        <v>3883</v>
      </c>
      <c r="B1639" s="2991"/>
      <c r="C1639" s="2991"/>
      <c r="D1639" s="2991"/>
      <c r="E1639" s="2991"/>
      <c r="F1639" s="2991"/>
      <c r="G1639" s="2991"/>
      <c r="H1639" s="2991"/>
      <c r="I1639" s="2991"/>
      <c r="J1639" s="2991"/>
      <c r="K1639" s="2991"/>
    </row>
    <row r="1640" spans="1:11" ht="14">
      <c r="A1640" s="2987"/>
      <c r="B1640" s="2991" t="s">
        <v>4064</v>
      </c>
      <c r="C1640" s="2991"/>
      <c r="D1640" s="2991"/>
      <c r="E1640" s="2991"/>
      <c r="F1640" s="2991"/>
      <c r="G1640" s="2991" t="s">
        <v>3854</v>
      </c>
      <c r="H1640" s="2991"/>
      <c r="I1640" s="2991"/>
      <c r="J1640" s="2991"/>
      <c r="K1640" s="2991"/>
    </row>
    <row r="1641" spans="1:11" ht="14">
      <c r="A1641" s="2987"/>
      <c r="B1641" s="3004" t="s">
        <v>5198</v>
      </c>
      <c r="C1641" s="2999" t="s">
        <v>5199</v>
      </c>
      <c r="D1641" s="2999" t="s">
        <v>5200</v>
      </c>
      <c r="E1641" s="3005" t="s">
        <v>3996</v>
      </c>
      <c r="F1641" s="3005"/>
      <c r="G1641" s="3004" t="s">
        <v>3855</v>
      </c>
      <c r="H1641" s="3004" t="s">
        <v>3856</v>
      </c>
      <c r="I1641" s="2987"/>
      <c r="J1641" s="3004" t="s">
        <v>3857</v>
      </c>
      <c r="K1641" s="3004" t="s">
        <v>3858</v>
      </c>
    </row>
    <row r="1642" spans="1:11" ht="14">
      <c r="A1642" s="2987"/>
      <c r="B1642" s="3006">
        <f>'Part X - HOME NHTF Unit Calcs'!B33</f>
        <v>0</v>
      </c>
      <c r="C1642" s="3006">
        <f>'Part X - HOME NHTF Unit Calcs'!C33</f>
        <v>0</v>
      </c>
      <c r="D1642" s="3007">
        <f>'Part X - HOME NHTF Unit Calcs'!D33</f>
        <v>0</v>
      </c>
      <c r="E1642" s="3008">
        <f>'Part X - HOME NHTF Unit Calcs'!E33</f>
        <v>0</v>
      </c>
      <c r="F1642" s="3008"/>
      <c r="G1642" s="3009">
        <f t="shared" ref="G1642:G1660" si="462">$J$22*B1642</f>
        <v>0</v>
      </c>
      <c r="H1642" s="3006">
        <f>ROUNDUP(G1642,0)</f>
        <v>0</v>
      </c>
      <c r="I1642" s="3010"/>
      <c r="J1642" s="3011">
        <f t="shared" ref="J1642:J1660" si="463">$J$20*E1642</f>
        <v>0</v>
      </c>
      <c r="K1642" s="3011">
        <f t="shared" ref="K1642:K1660" si="464">ROUNDDOWN(J1642*H1642,0)</f>
        <v>0</v>
      </c>
    </row>
    <row r="1643" spans="1:11" ht="14">
      <c r="A1643" s="2987"/>
      <c r="B1643" s="3006">
        <f>'Part X - HOME NHTF Unit Calcs'!B34</f>
        <v>0</v>
      </c>
      <c r="C1643" s="3006">
        <f>'Part X - HOME NHTF Unit Calcs'!C34</f>
        <v>0</v>
      </c>
      <c r="D1643" s="3007">
        <f>'Part X - HOME NHTF Unit Calcs'!D34</f>
        <v>0</v>
      </c>
      <c r="E1643" s="3008">
        <f>'Part X - HOME NHTF Unit Calcs'!E34</f>
        <v>0</v>
      </c>
      <c r="F1643" s="3008"/>
      <c r="G1643" s="3009">
        <f t="shared" si="462"/>
        <v>0</v>
      </c>
      <c r="H1643" s="3006">
        <f t="shared" ref="H1643:H1660" si="465">ROUNDUP(G1643,0)</f>
        <v>0</v>
      </c>
      <c r="I1643" s="3010"/>
      <c r="J1643" s="3011">
        <f t="shared" si="463"/>
        <v>0</v>
      </c>
      <c r="K1643" s="3011">
        <f t="shared" si="464"/>
        <v>0</v>
      </c>
    </row>
    <row r="1644" spans="1:11" ht="14">
      <c r="A1644" s="2987"/>
      <c r="B1644" s="3006">
        <f>'Part X - HOME NHTF Unit Calcs'!B35</f>
        <v>0</v>
      </c>
      <c r="C1644" s="3006">
        <f>'Part X - HOME NHTF Unit Calcs'!C35</f>
        <v>0</v>
      </c>
      <c r="D1644" s="3007">
        <f>'Part X - HOME NHTF Unit Calcs'!D35</f>
        <v>0</v>
      </c>
      <c r="E1644" s="3008">
        <f>'Part X - HOME NHTF Unit Calcs'!E35</f>
        <v>0</v>
      </c>
      <c r="F1644" s="3008"/>
      <c r="G1644" s="3012">
        <f t="shared" si="462"/>
        <v>0</v>
      </c>
      <c r="H1644" s="3013">
        <f t="shared" si="465"/>
        <v>0</v>
      </c>
      <c r="I1644" s="3010"/>
      <c r="J1644" s="3014">
        <f t="shared" si="463"/>
        <v>0</v>
      </c>
      <c r="K1644" s="3014">
        <f t="shared" si="464"/>
        <v>0</v>
      </c>
    </row>
    <row r="1645" spans="1:11" ht="14">
      <c r="A1645" s="2987"/>
      <c r="B1645" s="3006">
        <f>'Part X - HOME NHTF Unit Calcs'!B36</f>
        <v>0</v>
      </c>
      <c r="C1645" s="3006">
        <f>'Part X - HOME NHTF Unit Calcs'!C36</f>
        <v>0</v>
      </c>
      <c r="D1645" s="3007">
        <f>'Part X - HOME NHTF Unit Calcs'!D36</f>
        <v>0</v>
      </c>
      <c r="E1645" s="3008">
        <f>'Part X - HOME NHTF Unit Calcs'!E36</f>
        <v>0</v>
      </c>
      <c r="F1645" s="3008"/>
      <c r="G1645" s="3012">
        <f t="shared" si="462"/>
        <v>0</v>
      </c>
      <c r="H1645" s="3013">
        <f t="shared" si="465"/>
        <v>0</v>
      </c>
      <c r="I1645" s="3010"/>
      <c r="J1645" s="3014">
        <f t="shared" si="463"/>
        <v>0</v>
      </c>
      <c r="K1645" s="3014">
        <f t="shared" si="464"/>
        <v>0</v>
      </c>
    </row>
    <row r="1646" spans="1:11" ht="14">
      <c r="A1646" s="2987"/>
      <c r="B1646" s="3006">
        <f>'Part X - HOME NHTF Unit Calcs'!B37</f>
        <v>0</v>
      </c>
      <c r="C1646" s="3006">
        <f>'Part X - HOME NHTF Unit Calcs'!C37</f>
        <v>0</v>
      </c>
      <c r="D1646" s="3007">
        <f>'Part X - HOME NHTF Unit Calcs'!D37</f>
        <v>0</v>
      </c>
      <c r="E1646" s="3008">
        <f>'Part X - HOME NHTF Unit Calcs'!E37</f>
        <v>0</v>
      </c>
      <c r="F1646" s="3008"/>
      <c r="G1646" s="3012">
        <f t="shared" si="462"/>
        <v>0</v>
      </c>
      <c r="H1646" s="3013">
        <f t="shared" si="465"/>
        <v>0</v>
      </c>
      <c r="I1646" s="3010"/>
      <c r="J1646" s="3014">
        <f t="shared" si="463"/>
        <v>0</v>
      </c>
      <c r="K1646" s="3014">
        <f t="shared" si="464"/>
        <v>0</v>
      </c>
    </row>
    <row r="1647" spans="1:11" ht="14">
      <c r="A1647" s="2987"/>
      <c r="B1647" s="3006">
        <f>'Part X - HOME NHTF Unit Calcs'!B38</f>
        <v>0</v>
      </c>
      <c r="C1647" s="3006">
        <f>'Part X - HOME NHTF Unit Calcs'!C38</f>
        <v>0</v>
      </c>
      <c r="D1647" s="3007">
        <f>'Part X - HOME NHTF Unit Calcs'!D38</f>
        <v>0</v>
      </c>
      <c r="E1647" s="3008">
        <f>'Part X - HOME NHTF Unit Calcs'!E38</f>
        <v>0</v>
      </c>
      <c r="F1647" s="3008"/>
      <c r="G1647" s="3012">
        <f t="shared" si="462"/>
        <v>0</v>
      </c>
      <c r="H1647" s="3013">
        <f t="shared" si="465"/>
        <v>0</v>
      </c>
      <c r="I1647" s="3010"/>
      <c r="J1647" s="3014">
        <f t="shared" si="463"/>
        <v>0</v>
      </c>
      <c r="K1647" s="3014">
        <f t="shared" si="464"/>
        <v>0</v>
      </c>
    </row>
    <row r="1648" spans="1:11" ht="14">
      <c r="A1648" s="2987"/>
      <c r="B1648" s="3006">
        <f>'Part X - HOME NHTF Unit Calcs'!B39</f>
        <v>0</v>
      </c>
      <c r="C1648" s="3006">
        <f>'Part X - HOME NHTF Unit Calcs'!C39</f>
        <v>0</v>
      </c>
      <c r="D1648" s="3007">
        <f>'Part X - HOME NHTF Unit Calcs'!D39</f>
        <v>0</v>
      </c>
      <c r="E1648" s="3008">
        <f>'Part X - HOME NHTF Unit Calcs'!E39</f>
        <v>0</v>
      </c>
      <c r="F1648" s="3008"/>
      <c r="G1648" s="3012">
        <f t="shared" si="462"/>
        <v>0</v>
      </c>
      <c r="H1648" s="3013">
        <f t="shared" si="465"/>
        <v>0</v>
      </c>
      <c r="I1648" s="3010"/>
      <c r="J1648" s="3014">
        <f t="shared" si="463"/>
        <v>0</v>
      </c>
      <c r="K1648" s="3014">
        <f t="shared" si="464"/>
        <v>0</v>
      </c>
    </row>
    <row r="1649" spans="1:11" ht="14">
      <c r="A1649" s="2987"/>
      <c r="B1649" s="3006">
        <f>'Part X - HOME NHTF Unit Calcs'!B40</f>
        <v>0</v>
      </c>
      <c r="C1649" s="3006">
        <f>'Part X - HOME NHTF Unit Calcs'!C40</f>
        <v>0</v>
      </c>
      <c r="D1649" s="3007">
        <f>'Part X - HOME NHTF Unit Calcs'!D40</f>
        <v>0</v>
      </c>
      <c r="E1649" s="3008">
        <f>'Part X - HOME NHTF Unit Calcs'!E40</f>
        <v>0</v>
      </c>
      <c r="F1649" s="3008"/>
      <c r="G1649" s="3012">
        <f t="shared" si="462"/>
        <v>0</v>
      </c>
      <c r="H1649" s="3013">
        <f t="shared" si="465"/>
        <v>0</v>
      </c>
      <c r="I1649" s="3010"/>
      <c r="J1649" s="3014">
        <f t="shared" si="463"/>
        <v>0</v>
      </c>
      <c r="K1649" s="3014">
        <f t="shared" si="464"/>
        <v>0</v>
      </c>
    </row>
    <row r="1650" spans="1:11" ht="14">
      <c r="A1650" s="2987"/>
      <c r="B1650" s="3006">
        <f>'Part X - HOME NHTF Unit Calcs'!B41</f>
        <v>0</v>
      </c>
      <c r="C1650" s="3006">
        <f>'Part X - HOME NHTF Unit Calcs'!C41</f>
        <v>0</v>
      </c>
      <c r="D1650" s="3007">
        <f>'Part X - HOME NHTF Unit Calcs'!D41</f>
        <v>0</v>
      </c>
      <c r="E1650" s="3008">
        <f>'Part X - HOME NHTF Unit Calcs'!E41</f>
        <v>0</v>
      </c>
      <c r="F1650" s="3008"/>
      <c r="G1650" s="3012">
        <f t="shared" si="462"/>
        <v>0</v>
      </c>
      <c r="H1650" s="3013">
        <f t="shared" si="465"/>
        <v>0</v>
      </c>
      <c r="I1650" s="3010"/>
      <c r="J1650" s="3014">
        <f t="shared" si="463"/>
        <v>0</v>
      </c>
      <c r="K1650" s="3014">
        <f t="shared" si="464"/>
        <v>0</v>
      </c>
    </row>
    <row r="1651" spans="1:11" ht="14">
      <c r="A1651" s="2987"/>
      <c r="B1651" s="3006">
        <f>'Part X - HOME NHTF Unit Calcs'!B42</f>
        <v>0</v>
      </c>
      <c r="C1651" s="3006">
        <f>'Part X - HOME NHTF Unit Calcs'!C42</f>
        <v>0</v>
      </c>
      <c r="D1651" s="3007">
        <f>'Part X - HOME NHTF Unit Calcs'!D42</f>
        <v>0</v>
      </c>
      <c r="E1651" s="3008">
        <f>'Part X - HOME NHTF Unit Calcs'!E42</f>
        <v>0</v>
      </c>
      <c r="F1651" s="3008"/>
      <c r="G1651" s="3012">
        <f t="shared" si="462"/>
        <v>0</v>
      </c>
      <c r="H1651" s="3013">
        <f t="shared" si="465"/>
        <v>0</v>
      </c>
      <c r="I1651" s="3010"/>
      <c r="J1651" s="3014">
        <f t="shared" si="463"/>
        <v>0</v>
      </c>
      <c r="K1651" s="3014">
        <f t="shared" si="464"/>
        <v>0</v>
      </c>
    </row>
    <row r="1652" spans="1:11" ht="14">
      <c r="A1652" s="2987"/>
      <c r="B1652" s="3006">
        <f>'Part X - HOME NHTF Unit Calcs'!B43</f>
        <v>0</v>
      </c>
      <c r="C1652" s="3006">
        <f>'Part X - HOME NHTF Unit Calcs'!C43</f>
        <v>0</v>
      </c>
      <c r="D1652" s="3007">
        <f>'Part X - HOME NHTF Unit Calcs'!D43</f>
        <v>0</v>
      </c>
      <c r="E1652" s="3008">
        <f>'Part X - HOME NHTF Unit Calcs'!E43</f>
        <v>0</v>
      </c>
      <c r="F1652" s="3008"/>
      <c r="G1652" s="3012">
        <f t="shared" si="462"/>
        <v>0</v>
      </c>
      <c r="H1652" s="3013">
        <f t="shared" si="465"/>
        <v>0</v>
      </c>
      <c r="I1652" s="3010"/>
      <c r="J1652" s="3014">
        <f t="shared" si="463"/>
        <v>0</v>
      </c>
      <c r="K1652" s="3014">
        <f t="shared" si="464"/>
        <v>0</v>
      </c>
    </row>
    <row r="1653" spans="1:11" ht="14">
      <c r="A1653" s="2987"/>
      <c r="B1653" s="3006">
        <f>'Part X - HOME NHTF Unit Calcs'!B44</f>
        <v>0</v>
      </c>
      <c r="C1653" s="3006">
        <f>'Part X - HOME NHTF Unit Calcs'!C44</f>
        <v>0</v>
      </c>
      <c r="D1653" s="3007">
        <f>'Part X - HOME NHTF Unit Calcs'!D44</f>
        <v>0</v>
      </c>
      <c r="E1653" s="3008">
        <f>'Part X - HOME NHTF Unit Calcs'!E44</f>
        <v>0</v>
      </c>
      <c r="F1653" s="3008"/>
      <c r="G1653" s="3012">
        <f t="shared" si="462"/>
        <v>0</v>
      </c>
      <c r="H1653" s="3013">
        <f t="shared" si="465"/>
        <v>0</v>
      </c>
      <c r="I1653" s="3010"/>
      <c r="J1653" s="3014">
        <f t="shared" si="463"/>
        <v>0</v>
      </c>
      <c r="K1653" s="3014">
        <f t="shared" si="464"/>
        <v>0</v>
      </c>
    </row>
    <row r="1654" spans="1:11" ht="14">
      <c r="A1654" s="2987"/>
      <c r="B1654" s="3006">
        <f>'Part X - HOME NHTF Unit Calcs'!B45</f>
        <v>0</v>
      </c>
      <c r="C1654" s="3006">
        <f>'Part X - HOME NHTF Unit Calcs'!C45</f>
        <v>0</v>
      </c>
      <c r="D1654" s="3007">
        <f>'Part X - HOME NHTF Unit Calcs'!D45</f>
        <v>0</v>
      </c>
      <c r="E1654" s="3008">
        <f>'Part X - HOME NHTF Unit Calcs'!E45</f>
        <v>0</v>
      </c>
      <c r="F1654" s="3008"/>
      <c r="G1654" s="3012">
        <f t="shared" si="462"/>
        <v>0</v>
      </c>
      <c r="H1654" s="3013">
        <f t="shared" si="465"/>
        <v>0</v>
      </c>
      <c r="I1654" s="3010"/>
      <c r="J1654" s="3014">
        <f t="shared" si="463"/>
        <v>0</v>
      </c>
      <c r="K1654" s="3014">
        <f t="shared" si="464"/>
        <v>0</v>
      </c>
    </row>
    <row r="1655" spans="1:11" ht="14">
      <c r="A1655" s="2987"/>
      <c r="B1655" s="3006">
        <f>'Part X - HOME NHTF Unit Calcs'!B46</f>
        <v>0</v>
      </c>
      <c r="C1655" s="3006">
        <f>'Part X - HOME NHTF Unit Calcs'!C46</f>
        <v>0</v>
      </c>
      <c r="D1655" s="3007">
        <f>'Part X - HOME NHTF Unit Calcs'!D46</f>
        <v>0</v>
      </c>
      <c r="E1655" s="3008">
        <f>'Part X - HOME NHTF Unit Calcs'!E46</f>
        <v>0</v>
      </c>
      <c r="F1655" s="3008"/>
      <c r="G1655" s="3012">
        <f t="shared" si="462"/>
        <v>0</v>
      </c>
      <c r="H1655" s="3013">
        <f t="shared" si="465"/>
        <v>0</v>
      </c>
      <c r="I1655" s="3010"/>
      <c r="J1655" s="3014">
        <f t="shared" si="463"/>
        <v>0</v>
      </c>
      <c r="K1655" s="3014">
        <f t="shared" si="464"/>
        <v>0</v>
      </c>
    </row>
    <row r="1656" spans="1:11" ht="14">
      <c r="A1656" s="2987"/>
      <c r="B1656" s="3006">
        <f>'Part X - HOME NHTF Unit Calcs'!B47</f>
        <v>0</v>
      </c>
      <c r="C1656" s="3006">
        <f>'Part X - HOME NHTF Unit Calcs'!C47</f>
        <v>0</v>
      </c>
      <c r="D1656" s="3007">
        <f>'Part X - HOME NHTF Unit Calcs'!D47</f>
        <v>0</v>
      </c>
      <c r="E1656" s="3008">
        <f>'Part X - HOME NHTF Unit Calcs'!E47</f>
        <v>0</v>
      </c>
      <c r="F1656" s="3008"/>
      <c r="G1656" s="3012">
        <f t="shared" si="462"/>
        <v>0</v>
      </c>
      <c r="H1656" s="3013">
        <f t="shared" si="465"/>
        <v>0</v>
      </c>
      <c r="I1656" s="3010"/>
      <c r="J1656" s="3014">
        <f t="shared" si="463"/>
        <v>0</v>
      </c>
      <c r="K1656" s="3014">
        <f t="shared" si="464"/>
        <v>0</v>
      </c>
    </row>
    <row r="1657" spans="1:11" ht="14">
      <c r="A1657" s="2987"/>
      <c r="B1657" s="3006">
        <f>'Part X - HOME NHTF Unit Calcs'!B48</f>
        <v>0</v>
      </c>
      <c r="C1657" s="3006">
        <f>'Part X - HOME NHTF Unit Calcs'!C48</f>
        <v>0</v>
      </c>
      <c r="D1657" s="3007">
        <f>'Part X - HOME NHTF Unit Calcs'!D48</f>
        <v>0</v>
      </c>
      <c r="E1657" s="3008">
        <f>'Part X - HOME NHTF Unit Calcs'!E48</f>
        <v>0</v>
      </c>
      <c r="F1657" s="3008"/>
      <c r="G1657" s="3012">
        <f t="shared" si="462"/>
        <v>0</v>
      </c>
      <c r="H1657" s="3013">
        <f t="shared" si="465"/>
        <v>0</v>
      </c>
      <c r="I1657" s="3010"/>
      <c r="J1657" s="3014">
        <f t="shared" si="463"/>
        <v>0</v>
      </c>
      <c r="K1657" s="3014">
        <f t="shared" si="464"/>
        <v>0</v>
      </c>
    </row>
    <row r="1658" spans="1:11" ht="14">
      <c r="A1658" s="2987"/>
      <c r="B1658" s="3006">
        <f>'Part X - HOME NHTF Unit Calcs'!B49</f>
        <v>0</v>
      </c>
      <c r="C1658" s="3006">
        <f>'Part X - HOME NHTF Unit Calcs'!C49</f>
        <v>0</v>
      </c>
      <c r="D1658" s="3007">
        <f>'Part X - HOME NHTF Unit Calcs'!D49</f>
        <v>0</v>
      </c>
      <c r="E1658" s="3008">
        <f>'Part X - HOME NHTF Unit Calcs'!E49</f>
        <v>0</v>
      </c>
      <c r="F1658" s="3008"/>
      <c r="G1658" s="3012">
        <f t="shared" si="462"/>
        <v>0</v>
      </c>
      <c r="H1658" s="3013">
        <f t="shared" si="465"/>
        <v>0</v>
      </c>
      <c r="I1658" s="3010"/>
      <c r="J1658" s="3014">
        <f t="shared" si="463"/>
        <v>0</v>
      </c>
      <c r="K1658" s="3014">
        <f t="shared" si="464"/>
        <v>0</v>
      </c>
    </row>
    <row r="1659" spans="1:11" ht="14">
      <c r="A1659" s="2987"/>
      <c r="B1659" s="3006">
        <f>'Part X - HOME NHTF Unit Calcs'!B50</f>
        <v>0</v>
      </c>
      <c r="C1659" s="3006">
        <f>'Part X - HOME NHTF Unit Calcs'!C50</f>
        <v>0</v>
      </c>
      <c r="D1659" s="3007">
        <f>'Part X - HOME NHTF Unit Calcs'!D50</f>
        <v>0</v>
      </c>
      <c r="E1659" s="3008">
        <f>'Part X - HOME NHTF Unit Calcs'!E50</f>
        <v>0</v>
      </c>
      <c r="F1659" s="3008"/>
      <c r="G1659" s="3012">
        <f t="shared" si="462"/>
        <v>0</v>
      </c>
      <c r="H1659" s="3013">
        <f t="shared" si="465"/>
        <v>0</v>
      </c>
      <c r="I1659" s="3010"/>
      <c r="J1659" s="3014">
        <f t="shared" si="463"/>
        <v>0</v>
      </c>
      <c r="K1659" s="3014">
        <f t="shared" si="464"/>
        <v>0</v>
      </c>
    </row>
    <row r="1660" spans="1:11" ht="14">
      <c r="A1660" s="2987"/>
      <c r="B1660" s="3006">
        <f>'Part X - HOME NHTF Unit Calcs'!B51</f>
        <v>0</v>
      </c>
      <c r="C1660" s="3006">
        <f>'Part X - HOME NHTF Unit Calcs'!C51</f>
        <v>0</v>
      </c>
      <c r="D1660" s="3007">
        <f>'Part X - HOME NHTF Unit Calcs'!D51</f>
        <v>0</v>
      </c>
      <c r="E1660" s="3008">
        <f>'Part X - HOME NHTF Unit Calcs'!E51</f>
        <v>0</v>
      </c>
      <c r="F1660" s="3008"/>
      <c r="G1660" s="3012">
        <f t="shared" si="462"/>
        <v>0</v>
      </c>
      <c r="H1660" s="3013">
        <f t="shared" si="465"/>
        <v>0</v>
      </c>
      <c r="I1660" s="3010"/>
      <c r="J1660" s="3014">
        <f t="shared" si="463"/>
        <v>0</v>
      </c>
      <c r="K1660" s="3014">
        <f t="shared" si="464"/>
        <v>0</v>
      </c>
    </row>
    <row r="1661" spans="1:11" ht="14">
      <c r="A1661" s="2987"/>
      <c r="B1661" s="3015"/>
      <c r="C1661" s="2987"/>
      <c r="D1661" s="2989"/>
      <c r="E1661" s="2989"/>
      <c r="F1661" s="2989"/>
      <c r="G1661" s="3016" t="s">
        <v>3860</v>
      </c>
      <c r="H1661" s="3017">
        <f>SUM(H1642:H1660)</f>
        <v>0</v>
      </c>
      <c r="I1661" s="2989"/>
      <c r="J1661" s="3015" t="s">
        <v>3861</v>
      </c>
      <c r="K1661" s="2995">
        <f>SUM(K1642:K1660)</f>
        <v>0</v>
      </c>
    </row>
    <row r="1662" spans="1:11" ht="14">
      <c r="A1662" s="2987"/>
      <c r="B1662" s="3015"/>
      <c r="C1662" s="2989" t="s">
        <v>3862</v>
      </c>
      <c r="D1662" s="2989"/>
      <c r="E1662" s="2989"/>
      <c r="F1662" s="2989"/>
      <c r="G1662" s="2989"/>
      <c r="H1662" s="2989"/>
      <c r="I1662" s="2989"/>
      <c r="J1662" s="2989"/>
      <c r="K1662" s="2995" t="str">
        <f>IF(J1626="no",0,IF(J1626="yes",J1625,"Error"))</f>
        <v>Error</v>
      </c>
    </row>
    <row r="1663" spans="1:11" ht="14">
      <c r="A1663" s="2987"/>
      <c r="B1663" s="3015"/>
      <c r="C1663" s="2993" t="s">
        <v>3863</v>
      </c>
      <c r="D1663" s="2993"/>
      <c r="E1663" s="2993"/>
      <c r="F1663" s="2993"/>
      <c r="G1663" s="2993"/>
      <c r="H1663" s="2993"/>
      <c r="I1663" s="2993"/>
      <c r="J1663" s="2993"/>
      <c r="K1663" s="3018" t="e">
        <f>K1661+K1662</f>
        <v>#VALUE!</v>
      </c>
    </row>
    <row r="1664" spans="1:11" ht="14">
      <c r="A1664" s="2987"/>
      <c r="B1664" s="2987"/>
      <c r="C1664" s="2987"/>
      <c r="D1664" s="2987"/>
      <c r="E1664" s="2987"/>
      <c r="F1664" s="2987"/>
      <c r="G1664" s="2987"/>
      <c r="H1664" s="2987"/>
      <c r="I1664" s="2987"/>
      <c r="J1664" s="2987"/>
      <c r="K1664" s="2987"/>
    </row>
    <row r="1665" spans="1:11" ht="14">
      <c r="A1665" s="3019" t="s">
        <v>3864</v>
      </c>
      <c r="B1665" s="3019"/>
      <c r="C1665" s="3019"/>
      <c r="D1665" s="3019"/>
      <c r="E1665" s="3019"/>
      <c r="F1665" s="3019"/>
      <c r="G1665" s="3019"/>
      <c r="H1665" s="3019"/>
      <c r="I1665" s="3019"/>
      <c r="J1665" s="3019"/>
      <c r="K1665" s="3019"/>
    </row>
    <row r="1666" spans="1:11" ht="82.5" customHeight="1">
      <c r="A1666" s="2987"/>
      <c r="B1666" s="2987"/>
      <c r="C1666" s="3019" t="s">
        <v>3865</v>
      </c>
      <c r="D1666" s="3019" t="s">
        <v>3963</v>
      </c>
      <c r="E1666" s="3019" t="s">
        <v>3881</v>
      </c>
      <c r="F1666" s="3019"/>
      <c r="G1666" s="3005" t="s">
        <v>3866</v>
      </c>
      <c r="H1666" s="3005"/>
      <c r="I1666" s="3019" t="s">
        <v>3880</v>
      </c>
      <c r="J1666" s="3019"/>
      <c r="K1666" s="2987"/>
    </row>
    <row r="1667" spans="1:11" ht="14">
      <c r="A1667" s="2987"/>
      <c r="B1667" s="2987"/>
      <c r="C1667" s="3020">
        <f>SUMIF(C1642:C1660, "0", H1642:H1660)</f>
        <v>0</v>
      </c>
      <c r="D1667" s="2987">
        <f t="shared" ref="D1667:D1672" si="466">ROUNDUP(C1667*1.1,0)</f>
        <v>0</v>
      </c>
      <c r="E1667" s="2989" t="s">
        <v>3867</v>
      </c>
      <c r="F1667" s="2989"/>
      <c r="G1667" s="3021">
        <f>'Part X - HOME NHTF Unit Calcs'!G58</f>
        <v>181488</v>
      </c>
      <c r="H1667" s="3021"/>
      <c r="I1667" s="3022">
        <f t="shared" ref="I1667:I1672" si="467">D1667*G1667</f>
        <v>0</v>
      </c>
      <c r="J1667" s="3022"/>
      <c r="K1667" s="2987"/>
    </row>
    <row r="1668" spans="1:11" ht="14">
      <c r="A1668" s="2987"/>
      <c r="B1668" s="2987"/>
      <c r="C1668" s="3020">
        <f>SUMIF(C1642:C1660, "1", H1642:H1660)</f>
        <v>0</v>
      </c>
      <c r="D1668" s="2987">
        <f t="shared" si="466"/>
        <v>0</v>
      </c>
      <c r="E1668" s="2989" t="s">
        <v>2456</v>
      </c>
      <c r="F1668" s="2989"/>
      <c r="G1668" s="3021">
        <f>'Part X - HOME NHTF Unit Calcs'!G59</f>
        <v>208048.8</v>
      </c>
      <c r="H1668" s="3021"/>
      <c r="I1668" s="3022">
        <f t="shared" si="467"/>
        <v>0</v>
      </c>
      <c r="J1668" s="3022"/>
      <c r="K1668" s="2987"/>
    </row>
    <row r="1669" spans="1:11" ht="14">
      <c r="A1669" s="2999"/>
      <c r="B1669" s="2987"/>
      <c r="C1669" s="3023">
        <f>SUMIF(C1642:C1660, "2", H1642:H1660)</f>
        <v>0</v>
      </c>
      <c r="D1669" s="2999">
        <f t="shared" si="466"/>
        <v>0</v>
      </c>
      <c r="E1669" s="2989" t="s">
        <v>2457</v>
      </c>
      <c r="F1669" s="2989"/>
      <c r="G1669" s="3021">
        <f>'Part X - HOME NHTF Unit Calcs'!G60</f>
        <v>252993.59999999998</v>
      </c>
      <c r="H1669" s="3021"/>
      <c r="I1669" s="3022">
        <f t="shared" si="467"/>
        <v>0</v>
      </c>
      <c r="J1669" s="3022"/>
      <c r="K1669" s="2987"/>
    </row>
    <row r="1670" spans="1:11" ht="14">
      <c r="A1670" s="2999"/>
      <c r="B1670" s="2987"/>
      <c r="C1670" s="3023">
        <f>SUMIF(C1642:C1660, "3", H1642:H1660)</f>
        <v>0</v>
      </c>
      <c r="D1670" s="2999">
        <f t="shared" si="466"/>
        <v>0</v>
      </c>
      <c r="E1670" s="2989" t="s">
        <v>2460</v>
      </c>
      <c r="F1670" s="2989"/>
      <c r="G1670" s="3021">
        <f>'Part X - HOME NHTF Unit Calcs'!G61</f>
        <v>327292.79999999999</v>
      </c>
      <c r="H1670" s="3021"/>
      <c r="I1670" s="3022">
        <f t="shared" si="467"/>
        <v>0</v>
      </c>
      <c r="J1670" s="3022"/>
      <c r="K1670" s="2987"/>
    </row>
    <row r="1671" spans="1:11" ht="14">
      <c r="A1671" s="2999"/>
      <c r="B1671" s="2987"/>
      <c r="C1671" s="3023">
        <f>SUMIF(C1642:C1660, "4", H1642:H1660)</f>
        <v>0</v>
      </c>
      <c r="D1671" s="2999">
        <f t="shared" si="466"/>
        <v>0</v>
      </c>
      <c r="E1671" s="2989" t="s">
        <v>3868</v>
      </c>
      <c r="F1671" s="2989"/>
      <c r="G1671" s="3021">
        <f>'Part X - HOME NHTF Unit Calcs'!G62</f>
        <v>359263.2</v>
      </c>
      <c r="H1671" s="3021"/>
      <c r="I1671" s="3022">
        <f t="shared" si="467"/>
        <v>0</v>
      </c>
      <c r="J1671" s="3022"/>
      <c r="K1671" s="2987"/>
    </row>
    <row r="1672" spans="1:11" ht="14">
      <c r="A1672" s="2999"/>
      <c r="B1672" s="2987"/>
      <c r="C1672" s="3023">
        <f>SUMIF(C1642:C1660, "5", H1642:H1660)</f>
        <v>0</v>
      </c>
      <c r="D1672" s="2999">
        <f t="shared" si="466"/>
        <v>0</v>
      </c>
      <c r="E1672" s="2989" t="s">
        <v>3869</v>
      </c>
      <c r="F1672" s="2989"/>
      <c r="G1672" s="3021">
        <f>'Part X - HOME NHTF Unit Calcs'!G63</f>
        <v>359263.2</v>
      </c>
      <c r="H1672" s="3021"/>
      <c r="I1672" s="3022">
        <f t="shared" si="467"/>
        <v>0</v>
      </c>
      <c r="J1672" s="3022"/>
      <c r="K1672" s="2987"/>
    </row>
    <row r="1673" spans="1:11" ht="14">
      <c r="A1673" s="3004" t="s">
        <v>3870</v>
      </c>
      <c r="B1673" s="3017">
        <f>SUM(C1667:C1672)</f>
        <v>0</v>
      </c>
      <c r="C1673" s="3004"/>
      <c r="D1673" s="3004">
        <f>SUM(D1667:D1672)</f>
        <v>0</v>
      </c>
      <c r="E1673" s="3019"/>
      <c r="F1673" s="3019"/>
      <c r="G1673" s="3019"/>
      <c r="H1673" s="3019"/>
      <c r="I1673" s="3019"/>
      <c r="J1673" s="3019" t="s">
        <v>3871</v>
      </c>
      <c r="K1673" s="3005">
        <f>SUM(I1667:I1671)</f>
        <v>0</v>
      </c>
    </row>
    <row r="1674" spans="1:11" ht="14">
      <c r="A1674" s="2987"/>
      <c r="B1674" s="2987"/>
      <c r="C1674" s="2987"/>
      <c r="D1674" s="2987"/>
      <c r="E1674" s="2987"/>
      <c r="F1674" s="2987"/>
      <c r="G1674" s="2987"/>
      <c r="H1674" s="2987"/>
      <c r="I1674" s="2987"/>
      <c r="J1674" s="2987"/>
      <c r="K1674" s="2987"/>
    </row>
    <row r="1675" spans="1:11" ht="14">
      <c r="A1675" s="3019" t="s">
        <v>3872</v>
      </c>
      <c r="B1675" s="3019"/>
      <c r="C1675" s="3019"/>
      <c r="D1675" s="3019"/>
      <c r="E1675" s="3019"/>
      <c r="F1675" s="3019"/>
      <c r="G1675" s="3019"/>
      <c r="H1675" s="3019"/>
      <c r="I1675" s="3019"/>
      <c r="J1675" s="3019"/>
      <c r="K1675" s="3019"/>
    </row>
    <row r="1676" spans="1:11" ht="14">
      <c r="A1676" s="2999"/>
      <c r="B1676" s="2987"/>
      <c r="C1676" s="2987"/>
      <c r="D1676" s="2987"/>
      <c r="E1676" s="2987" t="s">
        <v>3873</v>
      </c>
      <c r="F1676" s="2987"/>
      <c r="G1676" s="2987"/>
      <c r="H1676" s="2987"/>
      <c r="I1676" s="2987"/>
      <c r="J1676" s="2987"/>
      <c r="K1676" s="3024">
        <f>J1620</f>
        <v>0</v>
      </c>
    </row>
    <row r="1677" spans="1:11" ht="14">
      <c r="A1677" s="2987"/>
      <c r="B1677" s="2987"/>
      <c r="C1677" s="2987"/>
      <c r="D1677" s="2987"/>
      <c r="E1677" s="2987" t="s">
        <v>3874</v>
      </c>
      <c r="F1677" s="2987"/>
      <c r="G1677" s="2987"/>
      <c r="H1677" s="2987"/>
      <c r="I1677" s="2987"/>
      <c r="J1677" s="2987"/>
      <c r="K1677" s="3024" t="e">
        <f>K1663</f>
        <v>#VALUE!</v>
      </c>
    </row>
    <row r="1678" spans="1:11" ht="14">
      <c r="A1678" s="2987"/>
      <c r="B1678" s="2987"/>
      <c r="C1678" s="2987"/>
      <c r="D1678" s="2987"/>
      <c r="E1678" s="2987" t="s">
        <v>3875</v>
      </c>
      <c r="F1678" s="2987"/>
      <c r="G1678" s="2987"/>
      <c r="H1678" s="2987"/>
      <c r="I1678" s="2987"/>
      <c r="J1678" s="2987"/>
      <c r="K1678" s="3024">
        <f>K1673</f>
        <v>0</v>
      </c>
    </row>
    <row r="1679" spans="1:11" ht="14">
      <c r="A1679" s="2999"/>
      <c r="B1679" s="2987"/>
      <c r="C1679" s="2993" t="s">
        <v>3876</v>
      </c>
      <c r="D1679" s="2993"/>
      <c r="E1679" s="2993"/>
      <c r="F1679" s="2993"/>
      <c r="G1679" s="2993"/>
      <c r="H1679" s="2993"/>
      <c r="I1679" s="2993"/>
      <c r="J1679" s="2993"/>
      <c r="K1679" s="3025"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56" workbookViewId="0">
      <selection activeCell="A68" sqref="A68:L68"/>
    </sheetView>
  </sheetViews>
  <sheetFormatPr defaultColWidth="9.26953125" defaultRowHeight="11.5"/>
  <cols>
    <col min="1" max="1" width="4.26953125" style="142" customWidth="1"/>
    <col min="2" max="2" width="8.26953125" style="142" customWidth="1"/>
    <col min="3" max="3" width="9.1796875" style="142" customWidth="1"/>
    <col min="4" max="4" width="10.453125" style="142" customWidth="1"/>
    <col min="5" max="5" width="8.81640625" style="142" customWidth="1"/>
    <col min="6" max="6" width="2.7265625" style="142" customWidth="1"/>
    <col min="7" max="8" width="12" style="142" customWidth="1"/>
    <col min="9"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2409" bestFit="1" customWidth="1"/>
    <col min="26" max="26" width="9.26953125" style="2519"/>
    <col min="27" max="51" width="9.26953125" style="142"/>
    <col min="52" max="52" width="9.26953125" style="1577"/>
    <col min="53" max="16384" width="9.26953125" style="142"/>
  </cols>
  <sheetData>
    <row r="1" spans="1:52" s="2519" customFormat="1" ht="13" hidden="1">
      <c r="A1" s="2512"/>
      <c r="B1" s="2512" t="s">
        <v>4200</v>
      </c>
      <c r="C1" s="2512"/>
      <c r="D1" s="2512"/>
      <c r="E1" s="2512" t="s">
        <v>4219</v>
      </c>
      <c r="F1" s="2512"/>
      <c r="G1" s="2520"/>
      <c r="H1" s="2520" t="s">
        <v>4220</v>
      </c>
      <c r="I1" s="2520" t="s">
        <v>4221</v>
      </c>
      <c r="J1" s="2520"/>
      <c r="K1" s="2520" t="s">
        <v>4222</v>
      </c>
      <c r="L1" s="2520" t="s">
        <v>4223</v>
      </c>
      <c r="M1" s="2519" t="s">
        <v>4224</v>
      </c>
      <c r="N1" s="2519" t="s">
        <v>4225</v>
      </c>
      <c r="P1" s="2519" t="s">
        <v>4226</v>
      </c>
      <c r="Y1" s="2521"/>
      <c r="Z1" s="2513">
        <v>1</v>
      </c>
    </row>
    <row r="2" spans="1:52" s="223" customFormat="1" ht="14.15" customHeight="1">
      <c r="A2" s="3229" t="str">
        <f>CONCATENATE("PART TWO - SOURCES OF FUNDS (Proposed)","  -  ",'Part I-Project Identification'!$O$7," ",'Part I-Project Identification'!$F$26,", ",'Part I-Project Identification'!$F$27,", ",'Part I-Project Identification'!$J$27," County")</f>
        <v>PART TWO - SOURCES OF FUNDS (Proposed)  -  2025-5 Princeton Court, College Park, Fulton County</v>
      </c>
      <c r="B2" s="3230"/>
      <c r="C2" s="3230"/>
      <c r="D2" s="3230"/>
      <c r="E2" s="3230"/>
      <c r="F2" s="3230"/>
      <c r="G2" s="3230"/>
      <c r="H2" s="3230"/>
      <c r="I2" s="3230"/>
      <c r="J2" s="3230"/>
      <c r="K2" s="3230"/>
      <c r="L2" s="3230"/>
      <c r="M2" s="3230"/>
      <c r="N2" s="3230"/>
      <c r="O2" s="3230"/>
      <c r="P2" s="3230"/>
      <c r="Q2" s="3231"/>
      <c r="S2" s="3232" t="str">
        <f>$A$2</f>
        <v>PART TWO - SOURCES OF FUNDS (Proposed)  -  2025-5 Princeton Court, College Park, Fulton County</v>
      </c>
      <c r="T2" s="3232"/>
      <c r="Y2" s="2410"/>
      <c r="Z2" s="2513">
        <v>2</v>
      </c>
      <c r="AZ2" s="1578"/>
    </row>
    <row r="3" spans="1:52" ht="13.5" customHeight="1">
      <c r="A3" s="145"/>
      <c r="B3" s="145"/>
      <c r="C3" s="145"/>
      <c r="D3" s="145"/>
      <c r="E3" s="145"/>
      <c r="F3" s="145"/>
      <c r="G3" s="979"/>
      <c r="H3" s="979"/>
      <c r="I3" s="979"/>
      <c r="J3" s="979"/>
      <c r="K3" s="979"/>
      <c r="L3" s="979"/>
      <c r="Y3" s="2410"/>
      <c r="Z3" s="2513">
        <v>3</v>
      </c>
      <c r="AZ3" s="1578"/>
    </row>
    <row r="4" spans="1:52" s="223" customFormat="1" ht="13.4" customHeight="1">
      <c r="A4" s="243" t="s">
        <v>572</v>
      </c>
      <c r="B4" s="243" t="s">
        <v>2288</v>
      </c>
      <c r="C4" s="144"/>
      <c r="D4" s="144"/>
      <c r="E4" s="144"/>
      <c r="F4" s="144"/>
      <c r="G4" s="144"/>
      <c r="L4" s="3233" t="str">
        <f>'Part I-Project Identification'!$A$6</f>
        <v>August 11, 2025</v>
      </c>
      <c r="M4" s="3234"/>
      <c r="N4" s="3234"/>
      <c r="O4" s="3234"/>
      <c r="P4" s="3235"/>
      <c r="S4" s="258" t="str">
        <f>B4</f>
        <v>GOVERNMENT FUNDING SOURCES  (check all that apply)</v>
      </c>
      <c r="Y4" s="2410"/>
      <c r="Z4" s="2513">
        <v>4</v>
      </c>
      <c r="AZ4" s="1578"/>
    </row>
    <row r="5" spans="1:52" s="223" customFormat="1" ht="13.5" customHeight="1">
      <c r="A5" s="253"/>
      <c r="B5" s="374"/>
      <c r="C5" s="253"/>
      <c r="D5" s="144"/>
      <c r="E5" s="144"/>
      <c r="F5" s="144"/>
      <c r="G5" s="144"/>
      <c r="S5" s="3236" t="s">
        <v>2441</v>
      </c>
      <c r="T5" s="3236"/>
      <c r="Y5" s="2410"/>
      <c r="Z5" s="2513">
        <v>5</v>
      </c>
      <c r="AZ5" s="1578"/>
    </row>
    <row r="6" spans="1:52" s="223" customFormat="1" ht="16.5" customHeight="1">
      <c r="A6" s="374"/>
      <c r="B6" s="1166" t="s">
        <v>2642</v>
      </c>
      <c r="C6" s="224" t="s">
        <v>2213</v>
      </c>
      <c r="D6" s="144"/>
      <c r="E6" s="1166" t="s">
        <v>2645</v>
      </c>
      <c r="F6" s="224" t="s">
        <v>5092</v>
      </c>
      <c r="G6" s="144"/>
      <c r="H6" s="2481"/>
      <c r="L6" s="1166" t="s">
        <v>2645</v>
      </c>
      <c r="M6" s="224" t="s">
        <v>5062</v>
      </c>
      <c r="O6" s="638" t="s">
        <v>2645</v>
      </c>
      <c r="P6" s="224" t="s">
        <v>5110</v>
      </c>
      <c r="S6" s="3212"/>
      <c r="T6" s="3213"/>
      <c r="Y6" s="2410"/>
      <c r="Z6" s="2513">
        <v>6</v>
      </c>
      <c r="AZ6" s="1578"/>
    </row>
    <row r="7" spans="1:52" s="223" customFormat="1" ht="16.5" customHeight="1">
      <c r="A7" s="374"/>
      <c r="B7" s="806" t="s">
        <v>2642</v>
      </c>
      <c r="C7" s="224" t="s">
        <v>3753</v>
      </c>
      <c r="D7" s="144"/>
      <c r="E7" s="801" t="s">
        <v>2645</v>
      </c>
      <c r="F7" s="224" t="s">
        <v>5093</v>
      </c>
      <c r="H7" s="2480"/>
      <c r="L7" s="806" t="s">
        <v>2645</v>
      </c>
      <c r="M7" s="2445" t="s">
        <v>5063</v>
      </c>
      <c r="S7" s="3214"/>
      <c r="T7" s="3215"/>
      <c r="Y7" s="2410"/>
      <c r="Z7" s="2513">
        <v>7</v>
      </c>
      <c r="AZ7" s="1578"/>
    </row>
    <row r="8" spans="1:52" s="223" customFormat="1" ht="16.5" customHeight="1">
      <c r="A8" s="144"/>
      <c r="B8" s="806" t="s">
        <v>2645</v>
      </c>
      <c r="C8" s="224" t="s">
        <v>4546</v>
      </c>
      <c r="F8" s="223" t="s">
        <v>5094</v>
      </c>
      <c r="H8" s="3237" t="s">
        <v>2982</v>
      </c>
      <c r="I8" s="3238"/>
      <c r="J8" s="3239"/>
      <c r="L8" s="806" t="s">
        <v>2645</v>
      </c>
      <c r="M8" s="1523" t="s">
        <v>1435</v>
      </c>
      <c r="S8" s="3214"/>
      <c r="T8" s="3215"/>
      <c r="Y8" s="2410"/>
      <c r="Z8" s="2513">
        <v>8</v>
      </c>
      <c r="AZ8" s="1578"/>
    </row>
    <row r="9" spans="1:52" s="223" customFormat="1" ht="16.5" customHeight="1">
      <c r="A9" s="374"/>
      <c r="B9" s="806" t="s">
        <v>2645</v>
      </c>
      <c r="C9" s="223" t="s">
        <v>3217</v>
      </c>
      <c r="E9" s="638" t="s">
        <v>2645</v>
      </c>
      <c r="F9" s="224" t="s">
        <v>5109</v>
      </c>
      <c r="H9" s="2517"/>
      <c r="I9" s="2516"/>
      <c r="J9" s="2515"/>
      <c r="L9" s="806" t="s">
        <v>2645</v>
      </c>
      <c r="M9" s="1523" t="s">
        <v>513</v>
      </c>
      <c r="Q9" s="1523"/>
      <c r="S9" s="3216"/>
      <c r="T9" s="3217"/>
      <c r="Y9" s="2410"/>
      <c r="Z9" s="2513">
        <v>9</v>
      </c>
      <c r="AZ9" s="1578"/>
    </row>
    <row r="10" spans="1:52" s="223" customFormat="1" ht="16.5" customHeight="1">
      <c r="A10" s="374"/>
      <c r="B10" s="806" t="s">
        <v>2645</v>
      </c>
      <c r="C10" s="224" t="s">
        <v>2388</v>
      </c>
      <c r="L10" s="806" t="s">
        <v>2645</v>
      </c>
      <c r="M10" s="224" t="s">
        <v>4549</v>
      </c>
      <c r="Q10" s="1523"/>
      <c r="S10" s="3212"/>
      <c r="T10" s="3213"/>
      <c r="Y10" s="2410"/>
      <c r="Z10" s="2513">
        <v>10</v>
      </c>
      <c r="AZ10" s="1578"/>
    </row>
    <row r="11" spans="1:52" s="223" customFormat="1" ht="16.5" customHeight="1">
      <c r="A11" s="374"/>
      <c r="B11" s="806" t="s">
        <v>2645</v>
      </c>
      <c r="C11" s="224" t="s">
        <v>2389</v>
      </c>
      <c r="E11" s="1169" t="s">
        <v>2645</v>
      </c>
      <c r="F11" s="3240" t="s">
        <v>4545</v>
      </c>
      <c r="G11" s="3241"/>
      <c r="H11" s="3241"/>
      <c r="I11" s="3241"/>
      <c r="J11" s="3242"/>
      <c r="L11" s="806" t="s">
        <v>2645</v>
      </c>
      <c r="M11" s="224" t="s">
        <v>3754</v>
      </c>
      <c r="S11" s="3214"/>
      <c r="T11" s="3215"/>
      <c r="Y11" s="2410"/>
      <c r="Z11" s="2513">
        <v>11</v>
      </c>
      <c r="AZ11" s="1578"/>
    </row>
    <row r="12" spans="1:52" s="223" customFormat="1" ht="16.5" customHeight="1">
      <c r="A12" s="374"/>
      <c r="B12" s="806" t="s">
        <v>2645</v>
      </c>
      <c r="C12" s="224" t="s">
        <v>3110</v>
      </c>
      <c r="F12" s="3209" t="s">
        <v>3649</v>
      </c>
      <c r="G12" s="3210"/>
      <c r="H12" s="3210"/>
      <c r="I12" s="3210"/>
      <c r="J12" s="3211"/>
      <c r="L12" s="806" t="s">
        <v>2645</v>
      </c>
      <c r="M12" s="224" t="s">
        <v>3109</v>
      </c>
      <c r="S12" s="3214"/>
      <c r="T12" s="3215"/>
      <c r="Y12" s="2410"/>
      <c r="Z12" s="2513">
        <v>12</v>
      </c>
      <c r="AZ12" s="1578"/>
    </row>
    <row r="13" spans="1:52" s="223" customFormat="1" ht="16.5" customHeight="1">
      <c r="A13" s="374"/>
      <c r="B13" s="806" t="s">
        <v>2645</v>
      </c>
      <c r="C13" s="224" t="s">
        <v>4548</v>
      </c>
      <c r="E13" s="1169" t="s">
        <v>2645</v>
      </c>
      <c r="F13" s="3218" t="s">
        <v>4547</v>
      </c>
      <c r="G13" s="3219"/>
      <c r="H13" s="3219"/>
      <c r="I13" s="3219"/>
      <c r="J13" s="3220"/>
      <c r="L13" s="806" t="s">
        <v>2645</v>
      </c>
      <c r="M13" s="223" t="s">
        <v>2392</v>
      </c>
      <c r="S13" s="3214"/>
      <c r="T13" s="3215"/>
      <c r="Y13" s="2410"/>
      <c r="Z13" s="2513">
        <v>13</v>
      </c>
      <c r="AZ13" s="1578"/>
    </row>
    <row r="14" spans="1:52" s="223" customFormat="1" ht="16.5" customHeight="1">
      <c r="A14" s="374"/>
      <c r="B14" s="806" t="s">
        <v>2645</v>
      </c>
      <c r="C14" s="223" t="s">
        <v>2391</v>
      </c>
      <c r="F14" s="3221" t="s">
        <v>3650</v>
      </c>
      <c r="G14" s="3222"/>
      <c r="H14" s="3222"/>
      <c r="I14" s="3222"/>
      <c r="J14" s="3223"/>
      <c r="L14" s="806" t="s">
        <v>2645</v>
      </c>
      <c r="M14" s="223" t="s">
        <v>3136</v>
      </c>
      <c r="S14" s="3216"/>
      <c r="T14" s="3217"/>
      <c r="Y14" s="2410"/>
      <c r="Z14" s="2513">
        <v>14</v>
      </c>
      <c r="AZ14" s="1578"/>
    </row>
    <row r="15" spans="1:52" s="223" customFormat="1" ht="16.5" customHeight="1">
      <c r="A15" s="374"/>
      <c r="B15" s="806" t="s">
        <v>2645</v>
      </c>
      <c r="C15" s="223" t="s">
        <v>3135</v>
      </c>
      <c r="E15" s="1166" t="s">
        <v>2645</v>
      </c>
      <c r="F15" s="2526" t="s">
        <v>5095</v>
      </c>
      <c r="G15" s="2527"/>
      <c r="H15" s="3224" t="s">
        <v>3208</v>
      </c>
      <c r="I15" s="3225"/>
      <c r="J15" s="3226"/>
      <c r="L15" s="806" t="s">
        <v>2645</v>
      </c>
      <c r="M15" s="223" t="s">
        <v>3978</v>
      </c>
      <c r="S15" s="3212"/>
      <c r="T15" s="3213"/>
      <c r="Y15" s="2410"/>
      <c r="Z15" s="2513">
        <v>15</v>
      </c>
      <c r="AZ15" s="1578"/>
    </row>
    <row r="16" spans="1:52" s="223" customFormat="1" ht="16.5" customHeight="1">
      <c r="A16" s="374"/>
      <c r="B16" s="806" t="s">
        <v>2645</v>
      </c>
      <c r="C16" s="224" t="s">
        <v>1668</v>
      </c>
      <c r="E16" s="806" t="s">
        <v>2645</v>
      </c>
      <c r="F16" s="224" t="s">
        <v>3216</v>
      </c>
      <c r="L16" s="806" t="s">
        <v>2645</v>
      </c>
      <c r="M16" s="223" t="s">
        <v>4594</v>
      </c>
      <c r="S16" s="3214"/>
      <c r="T16" s="3215"/>
      <c r="Y16" s="2410"/>
      <c r="Z16" s="2513">
        <v>16</v>
      </c>
      <c r="AZ16" s="1578"/>
    </row>
    <row r="17" spans="1:52" s="223" customFormat="1" ht="16.5" customHeight="1">
      <c r="A17" s="374"/>
      <c r="B17" s="801" t="s">
        <v>2642</v>
      </c>
      <c r="C17" s="224" t="s">
        <v>5107</v>
      </c>
      <c r="E17" s="806" t="s">
        <v>2645</v>
      </c>
      <c r="F17" s="224" t="s">
        <v>3979</v>
      </c>
      <c r="L17" s="806" t="s">
        <v>2645</v>
      </c>
      <c r="M17" s="1523" t="s">
        <v>3980</v>
      </c>
      <c r="S17" s="3214"/>
      <c r="T17" s="3215"/>
      <c r="Y17" s="2410"/>
      <c r="Z17" s="2513">
        <v>17</v>
      </c>
      <c r="AZ17" s="1578"/>
    </row>
    <row r="18" spans="1:52" s="223" customFormat="1" ht="16.5" customHeight="1">
      <c r="A18" s="374"/>
      <c r="B18" s="224" t="s">
        <v>5108</v>
      </c>
      <c r="D18" s="3227">
        <v>25000000</v>
      </c>
      <c r="E18" s="3228"/>
      <c r="F18" s="224"/>
      <c r="L18" s="801" t="s">
        <v>2645</v>
      </c>
      <c r="M18" s="1523" t="s">
        <v>3977</v>
      </c>
      <c r="S18" s="3216"/>
      <c r="T18" s="3217"/>
      <c r="Y18" s="2410"/>
      <c r="Z18" s="2513">
        <v>18</v>
      </c>
      <c r="AZ18" s="1578"/>
    </row>
    <row r="19" spans="1:52" s="223" customFormat="1" ht="17.149999999999999" customHeight="1">
      <c r="A19" s="374"/>
      <c r="B19" s="223" t="s">
        <v>3755</v>
      </c>
      <c r="C19" s="144"/>
      <c r="D19" s="144"/>
      <c r="E19" s="144"/>
      <c r="F19" s="144"/>
      <c r="G19" s="144"/>
      <c r="H19" s="144"/>
      <c r="I19" s="144"/>
      <c r="J19" s="144"/>
      <c r="K19" s="144"/>
      <c r="L19" s="144"/>
      <c r="M19" s="142"/>
      <c r="N19" s="144"/>
      <c r="O19" s="144"/>
      <c r="P19" s="144"/>
      <c r="Q19" s="144"/>
      <c r="Y19" s="2410"/>
      <c r="Z19" s="2513">
        <v>19</v>
      </c>
      <c r="AZ19" s="1578"/>
    </row>
    <row r="20" spans="1:52" s="223" customFormat="1" ht="12" customHeight="1">
      <c r="A20" s="374"/>
      <c r="L20" s="144"/>
      <c r="M20" s="145"/>
      <c r="N20" s="144"/>
      <c r="O20" s="144"/>
      <c r="P20" s="144"/>
      <c r="Q20" s="144"/>
      <c r="Y20" s="2411"/>
      <c r="Z20" s="2513">
        <v>20</v>
      </c>
      <c r="AZ20" s="1579"/>
    </row>
    <row r="21" spans="1:52" s="258" customFormat="1" ht="15" customHeight="1">
      <c r="A21" s="243" t="s">
        <v>688</v>
      </c>
      <c r="B21" s="222" t="s">
        <v>2159</v>
      </c>
      <c r="C21" s="144"/>
      <c r="D21" s="144"/>
      <c r="E21" s="144"/>
      <c r="F21" s="144"/>
      <c r="G21" s="144"/>
      <c r="L21" s="144"/>
      <c r="M21" s="144"/>
      <c r="N21" s="3249"/>
      <c r="O21" s="3249"/>
      <c r="P21" s="144"/>
      <c r="Q21" s="144"/>
      <c r="S21" s="258" t="str">
        <f>B21</f>
        <v>CONSTRUCTION FINANCING</v>
      </c>
      <c r="Y21" s="2411"/>
      <c r="Z21" s="2513">
        <v>21</v>
      </c>
      <c r="AZ21" s="1579"/>
    </row>
    <row r="22" spans="1:52" s="258" customFormat="1" ht="5.25" customHeight="1">
      <c r="A22" s="243"/>
      <c r="B22" s="222"/>
      <c r="C22" s="144"/>
      <c r="K22" s="144"/>
      <c r="L22" s="144"/>
      <c r="M22" s="144"/>
      <c r="N22" s="248"/>
      <c r="O22" s="248"/>
      <c r="P22" s="144"/>
      <c r="Q22" s="144"/>
      <c r="Y22" s="2411"/>
      <c r="Z22" s="2513">
        <v>22</v>
      </c>
      <c r="AZ22" s="1578"/>
    </row>
    <row r="23" spans="1:52" s="223" customFormat="1" ht="17.149999999999999" customHeight="1">
      <c r="A23" s="144"/>
      <c r="B23" s="246" t="s">
        <v>1729</v>
      </c>
      <c r="C23" s="144"/>
      <c r="D23" s="144"/>
      <c r="E23" s="144"/>
      <c r="F23" s="144"/>
      <c r="G23" s="3199" t="s">
        <v>1218</v>
      </c>
      <c r="H23" s="3199"/>
      <c r="I23" s="3199"/>
      <c r="J23" s="3199"/>
      <c r="K23" s="3199"/>
      <c r="L23" s="3250" t="s">
        <v>3721</v>
      </c>
      <c r="M23" s="3250"/>
      <c r="N23" s="3250" t="s">
        <v>1408</v>
      </c>
      <c r="O23" s="3250"/>
      <c r="P23" s="3250" t="s">
        <v>1521</v>
      </c>
      <c r="Q23" s="3250"/>
      <c r="S23" s="3236" t="s">
        <v>2441</v>
      </c>
      <c r="T23" s="3236"/>
      <c r="Y23" s="2410"/>
      <c r="Z23" s="2513">
        <v>23</v>
      </c>
      <c r="AZ23" s="1578" t="s">
        <v>4234</v>
      </c>
    </row>
    <row r="24" spans="1:52" s="223" customFormat="1" ht="15.75" customHeight="1">
      <c r="A24" s="144"/>
      <c r="B24" s="3261" t="s">
        <v>1484</v>
      </c>
      <c r="C24" s="3262"/>
      <c r="D24" s="3262"/>
      <c r="E24" s="804"/>
      <c r="F24" s="804"/>
      <c r="G24" s="3200" t="s">
        <v>5257</v>
      </c>
      <c r="H24" s="3201"/>
      <c r="I24" s="3201"/>
      <c r="J24" s="3201"/>
      <c r="K24" s="3202"/>
      <c r="L24" s="3263">
        <v>22374269</v>
      </c>
      <c r="M24" s="3264"/>
      <c r="N24" s="3265">
        <v>6.3899999999999998E-2</v>
      </c>
      <c r="O24" s="3266"/>
      <c r="P24" s="3267">
        <v>27</v>
      </c>
      <c r="Q24" s="3268"/>
      <c r="S24" s="3212"/>
      <c r="T24" s="3213"/>
      <c r="Y24" s="2410" t="s">
        <v>4234</v>
      </c>
      <c r="Z24" s="2513">
        <v>24</v>
      </c>
      <c r="AZ24" s="1578" t="s">
        <v>4235</v>
      </c>
    </row>
    <row r="25" spans="1:52" s="223" customFormat="1" ht="15.75" customHeight="1">
      <c r="A25" s="144"/>
      <c r="B25" s="3243" t="s">
        <v>1485</v>
      </c>
      <c r="C25" s="3244"/>
      <c r="D25" s="3244"/>
      <c r="E25" s="144"/>
      <c r="F25" s="144"/>
      <c r="G25" s="3203"/>
      <c r="H25" s="3204"/>
      <c r="I25" s="3204"/>
      <c r="J25" s="3204"/>
      <c r="K25" s="3205"/>
      <c r="L25" s="3245"/>
      <c r="M25" s="3246"/>
      <c r="N25" s="3247"/>
      <c r="O25" s="3248"/>
      <c r="P25" s="3251"/>
      <c r="Q25" s="3252"/>
      <c r="S25" s="3214"/>
      <c r="T25" s="3215"/>
      <c r="Y25" s="2410" t="s">
        <v>4235</v>
      </c>
      <c r="Z25" s="2513">
        <v>25</v>
      </c>
      <c r="AZ25" s="1578" t="s">
        <v>4236</v>
      </c>
    </row>
    <row r="26" spans="1:52" s="223" customFormat="1" ht="15.75" customHeight="1">
      <c r="A26" s="144"/>
      <c r="B26" s="3253" t="s">
        <v>1486</v>
      </c>
      <c r="C26" s="3254"/>
      <c r="D26" s="3254"/>
      <c r="E26" s="809"/>
      <c r="F26" s="809"/>
      <c r="G26" s="3206" t="s">
        <v>5215</v>
      </c>
      <c r="H26" s="3207"/>
      <c r="I26" s="3207"/>
      <c r="J26" s="3207"/>
      <c r="K26" s="3208"/>
      <c r="L26" s="3255">
        <v>8660787</v>
      </c>
      <c r="M26" s="3256"/>
      <c r="N26" s="3257">
        <v>7.0000000000000007E-2</v>
      </c>
      <c r="O26" s="3258"/>
      <c r="P26" s="3259">
        <v>600</v>
      </c>
      <c r="Q26" s="3260"/>
      <c r="S26" s="3214"/>
      <c r="T26" s="3215"/>
      <c r="Y26" s="2410" t="s">
        <v>4236</v>
      </c>
      <c r="Z26" s="2513">
        <v>26</v>
      </c>
      <c r="AZ26" s="1578" t="s">
        <v>4237</v>
      </c>
    </row>
    <row r="27" spans="1:52" s="223" customFormat="1" ht="15.75" customHeight="1">
      <c r="A27" s="144"/>
      <c r="B27" s="3261" t="s">
        <v>2042</v>
      </c>
      <c r="C27" s="3262"/>
      <c r="D27" s="3262"/>
      <c r="E27" s="144"/>
      <c r="F27" s="144"/>
      <c r="G27" s="3200"/>
      <c r="H27" s="3201"/>
      <c r="I27" s="3201"/>
      <c r="J27" s="3201"/>
      <c r="K27" s="3202"/>
      <c r="L27" s="3263"/>
      <c r="M27" s="3264"/>
      <c r="N27" s="3271"/>
      <c r="O27" s="3272"/>
      <c r="P27" s="3273"/>
      <c r="Q27" s="3273"/>
      <c r="S27" s="3214"/>
      <c r="T27" s="3215"/>
      <c r="Y27" s="2410" t="s">
        <v>4237</v>
      </c>
      <c r="Z27" s="2513">
        <v>27</v>
      </c>
      <c r="AZ27" s="1578" t="s">
        <v>4238</v>
      </c>
    </row>
    <row r="28" spans="1:52" s="223" customFormat="1" ht="15.75" customHeight="1">
      <c r="A28" s="144"/>
      <c r="B28" s="3243" t="s">
        <v>744</v>
      </c>
      <c r="C28" s="3244"/>
      <c r="D28" s="3244"/>
      <c r="E28" s="144"/>
      <c r="G28" s="3203"/>
      <c r="H28" s="3204"/>
      <c r="I28" s="3204"/>
      <c r="J28" s="3204"/>
      <c r="K28" s="3205"/>
      <c r="L28" s="3245"/>
      <c r="M28" s="3246"/>
      <c r="N28" s="3269"/>
      <c r="O28" s="3270"/>
      <c r="P28" s="3249"/>
      <c r="Q28" s="3249"/>
      <c r="S28" s="3214"/>
      <c r="T28" s="3215"/>
      <c r="Y28" s="2410" t="s">
        <v>4238</v>
      </c>
      <c r="Z28" s="2513">
        <v>28</v>
      </c>
      <c r="AZ28" s="1578" t="s">
        <v>4239</v>
      </c>
    </row>
    <row r="29" spans="1:52" s="223" customFormat="1" ht="15.75" customHeight="1">
      <c r="A29" s="144"/>
      <c r="B29" s="3243" t="s">
        <v>594</v>
      </c>
      <c r="C29" s="3244"/>
      <c r="D29" s="3244"/>
      <c r="E29" s="144"/>
      <c r="G29" s="3203"/>
      <c r="H29" s="3204"/>
      <c r="I29" s="3204"/>
      <c r="J29" s="3204"/>
      <c r="K29" s="3205"/>
      <c r="L29" s="3245"/>
      <c r="M29" s="3246"/>
      <c r="N29" s="3269"/>
      <c r="O29" s="3270"/>
      <c r="P29" s="3249"/>
      <c r="Q29" s="3249"/>
      <c r="S29" s="3214"/>
      <c r="T29" s="3215"/>
      <c r="Y29" s="2410" t="s">
        <v>4239</v>
      </c>
      <c r="Z29" s="2513">
        <v>29</v>
      </c>
      <c r="AZ29" s="1578" t="s">
        <v>4240</v>
      </c>
    </row>
    <row r="30" spans="1:52" s="223" customFormat="1" ht="15.75" customHeight="1">
      <c r="A30" s="144"/>
      <c r="B30" s="3243" t="s">
        <v>745</v>
      </c>
      <c r="C30" s="3244"/>
      <c r="D30" s="3244"/>
      <c r="E30" s="144"/>
      <c r="G30" s="3203" t="s">
        <v>5216</v>
      </c>
      <c r="H30" s="3204"/>
      <c r="I30" s="3204"/>
      <c r="J30" s="3204"/>
      <c r="K30" s="3205"/>
      <c r="L30" s="3245">
        <v>2513166</v>
      </c>
      <c r="M30" s="3246"/>
      <c r="N30" s="144"/>
      <c r="Q30" s="144"/>
      <c r="S30" s="3216"/>
      <c r="T30" s="3217"/>
      <c r="Y30" s="2410" t="s">
        <v>4240</v>
      </c>
      <c r="Z30" s="2513">
        <v>30</v>
      </c>
      <c r="AZ30" s="1578" t="s">
        <v>4241</v>
      </c>
    </row>
    <row r="31" spans="1:52" s="223" customFormat="1" ht="15.75" customHeight="1">
      <c r="A31" s="144"/>
      <c r="B31" s="3243" t="s">
        <v>746</v>
      </c>
      <c r="C31" s="3244"/>
      <c r="D31" s="3244"/>
      <c r="E31" s="144"/>
      <c r="G31" s="3203" t="s">
        <v>5216</v>
      </c>
      <c r="H31" s="3204"/>
      <c r="I31" s="3204"/>
      <c r="J31" s="3204"/>
      <c r="K31" s="3205"/>
      <c r="L31" s="3245">
        <v>1545012</v>
      </c>
      <c r="M31" s="3246"/>
      <c r="N31" s="144"/>
      <c r="Q31" s="144"/>
      <c r="S31" s="3212"/>
      <c r="T31" s="3213"/>
      <c r="Y31" s="2410" t="s">
        <v>4241</v>
      </c>
      <c r="Z31" s="2513">
        <v>31</v>
      </c>
      <c r="AZ31" s="1578" t="s">
        <v>4242</v>
      </c>
    </row>
    <row r="32" spans="1:52" s="223" customFormat="1" ht="15.75" customHeight="1">
      <c r="A32" s="144"/>
      <c r="B32" s="803" t="s">
        <v>232</v>
      </c>
      <c r="C32" s="144"/>
      <c r="D32" s="3200" t="s">
        <v>5217</v>
      </c>
      <c r="E32" s="3201"/>
      <c r="F32" s="3202"/>
      <c r="G32" s="3203" t="s">
        <v>5216</v>
      </c>
      <c r="H32" s="3204"/>
      <c r="I32" s="3204"/>
      <c r="J32" s="3204"/>
      <c r="K32" s="3205"/>
      <c r="L32" s="3245">
        <f>141884+114759</f>
        <v>256643</v>
      </c>
      <c r="M32" s="3246"/>
      <c r="N32" s="144"/>
      <c r="Q32" s="144"/>
      <c r="S32" s="3214"/>
      <c r="T32" s="3215"/>
      <c r="Y32" s="2410" t="s">
        <v>4242</v>
      </c>
      <c r="Z32" s="2513">
        <v>32</v>
      </c>
      <c r="AZ32" s="1578" t="s">
        <v>4243</v>
      </c>
    </row>
    <row r="33" spans="1:52" s="223" customFormat="1" ht="15.75" customHeight="1">
      <c r="A33" s="144"/>
      <c r="B33" s="803" t="s">
        <v>232</v>
      </c>
      <c r="C33" s="144"/>
      <c r="D33" s="3203" t="s">
        <v>1728</v>
      </c>
      <c r="E33" s="3204"/>
      <c r="F33" s="3205"/>
      <c r="G33" s="3203" t="s">
        <v>5218</v>
      </c>
      <c r="H33" s="3204"/>
      <c r="I33" s="3204"/>
      <c r="J33" s="3204"/>
      <c r="K33" s="3205"/>
      <c r="L33" s="3245">
        <v>232000</v>
      </c>
      <c r="M33" s="3246"/>
      <c r="N33" s="144"/>
      <c r="S33" s="3214"/>
      <c r="T33" s="3215"/>
      <c r="Y33" s="2410" t="s">
        <v>4243</v>
      </c>
      <c r="Z33" s="2513">
        <v>33</v>
      </c>
      <c r="AZ33" s="1578" t="s">
        <v>4244</v>
      </c>
    </row>
    <row r="34" spans="1:52" s="223" customFormat="1" ht="23" customHeight="1">
      <c r="A34" s="144"/>
      <c r="B34" s="808" t="s">
        <v>232</v>
      </c>
      <c r="C34" s="809"/>
      <c r="D34" s="3206" t="s">
        <v>5219</v>
      </c>
      <c r="E34" s="3207"/>
      <c r="F34" s="3208"/>
      <c r="G34" s="3206" t="s">
        <v>5218</v>
      </c>
      <c r="H34" s="3207"/>
      <c r="I34" s="3207"/>
      <c r="J34" s="3207"/>
      <c r="K34" s="3208"/>
      <c r="L34" s="3255">
        <f>100+124716+42679</f>
        <v>167495</v>
      </c>
      <c r="M34" s="3256"/>
      <c r="N34" s="144"/>
      <c r="S34" s="3214"/>
      <c r="T34" s="3215"/>
      <c r="Y34" s="2410" t="s">
        <v>4244</v>
      </c>
      <c r="Z34" s="2513">
        <v>34</v>
      </c>
      <c r="AZ34" s="1578"/>
    </row>
    <row r="35" spans="1:52" s="223" customFormat="1" ht="16.5" customHeight="1">
      <c r="A35" s="144"/>
      <c r="B35" s="222" t="s">
        <v>1219</v>
      </c>
      <c r="C35" s="144"/>
      <c r="D35" s="144"/>
      <c r="E35" s="144"/>
      <c r="F35" s="144"/>
      <c r="G35" s="144"/>
      <c r="H35" s="144"/>
      <c r="I35" s="144"/>
      <c r="L35" s="3277">
        <f>SUM(L24:L34)</f>
        <v>35749372</v>
      </c>
      <c r="M35" s="3278"/>
      <c r="N35" s="145"/>
      <c r="S35" s="3214"/>
      <c r="T35" s="3215"/>
      <c r="Y35" s="2410"/>
      <c r="Z35" s="2513">
        <v>35</v>
      </c>
      <c r="AZ35" s="1578"/>
    </row>
    <row r="36" spans="1:52" s="223" customFormat="1" ht="16.5" customHeight="1">
      <c r="A36" s="144"/>
      <c r="B36" s="246" t="s">
        <v>1220</v>
      </c>
      <c r="C36" s="144"/>
      <c r="D36" s="144"/>
      <c r="E36" s="144"/>
      <c r="F36" s="144"/>
      <c r="G36" s="144"/>
      <c r="H36" s="144"/>
      <c r="I36" s="144"/>
      <c r="L36" s="3279">
        <f>('Part III-A-Uses of Funds'!$G$147-'Part III-A-Uses of Funds'!$G$103-'Part III-A-Uses of Funds'!$G$109-'Part III-A-Uses of Funds'!$G$130-'Part III-A-Uses of Funds'!$G$131-'Part III-A-Uses of Funds'!$G$133-'Part III-A-Uses of Funds'!$G$127+'Part III-A-Uses of Funds'!$F$123)*0+'Part III-A-Uses of Funds'!G147-'Part III-A-Uses of Funds'!G131-'Part III-A-Uses of Funds'!G127+'Part III-A-Uses of Funds'!F123</f>
        <v>35749372</v>
      </c>
      <c r="M36" s="3280"/>
      <c r="N36" s="643"/>
      <c r="S36" s="3214"/>
      <c r="T36" s="3215"/>
      <c r="Y36" s="2410"/>
      <c r="Z36" s="2513">
        <v>36</v>
      </c>
      <c r="AZ36" s="1578"/>
    </row>
    <row r="37" spans="1:52" s="223" customFormat="1" ht="16.5" customHeight="1">
      <c r="A37" s="144"/>
      <c r="B37" s="246" t="s">
        <v>1997</v>
      </c>
      <c r="C37" s="144"/>
      <c r="D37" s="144"/>
      <c r="E37" s="144"/>
      <c r="F37" s="144"/>
      <c r="G37" s="144"/>
      <c r="H37" s="144"/>
      <c r="I37" s="144"/>
      <c r="L37" s="3281">
        <f>L35-L36</f>
        <v>0</v>
      </c>
      <c r="M37" s="3282"/>
      <c r="N37" s="643"/>
      <c r="S37" s="3216"/>
      <c r="T37" s="3217"/>
      <c r="Y37" s="2410"/>
      <c r="Z37" s="2513">
        <v>37</v>
      </c>
      <c r="AZ37" s="1577"/>
    </row>
    <row r="38" spans="1:52" ht="9.65" customHeight="1">
      <c r="A38" s="253"/>
      <c r="B38" s="222"/>
      <c r="C38" s="145"/>
      <c r="D38" s="145"/>
      <c r="E38" s="145"/>
      <c r="F38" s="145"/>
      <c r="G38" s="145"/>
      <c r="H38" s="145"/>
      <c r="I38" s="145"/>
      <c r="J38" s="145"/>
      <c r="K38" s="145"/>
      <c r="L38" s="145"/>
      <c r="M38" s="248"/>
      <c r="N38" s="248"/>
      <c r="Z38" s="2513">
        <v>38</v>
      </c>
    </row>
    <row r="39" spans="1:52" ht="9.65" customHeight="1">
      <c r="A39" s="243" t="s">
        <v>690</v>
      </c>
      <c r="B39" s="222" t="s">
        <v>743</v>
      </c>
      <c r="C39" s="145"/>
      <c r="D39" s="145"/>
      <c r="E39" s="145"/>
      <c r="F39" s="145"/>
      <c r="G39" s="145"/>
      <c r="H39" s="145"/>
      <c r="I39" s="145"/>
      <c r="J39" s="145"/>
      <c r="K39" s="145"/>
      <c r="L39" s="145"/>
      <c r="M39" s="248"/>
      <c r="N39" s="248"/>
      <c r="O39" s="145"/>
      <c r="S39" s="258" t="str">
        <f>B39</f>
        <v>PERMANENT FINANCING</v>
      </c>
      <c r="Z39" s="2513">
        <v>39</v>
      </c>
      <c r="AZ39" s="1578"/>
    </row>
    <row r="40" spans="1:52" s="223" customFormat="1" ht="13.4" customHeight="1">
      <c r="A40" s="144"/>
      <c r="B40" s="144"/>
      <c r="C40" s="144"/>
      <c r="D40" s="144"/>
      <c r="E40" s="144"/>
      <c r="F40" s="248"/>
      <c r="G40" s="248"/>
      <c r="H40" s="3249"/>
      <c r="I40" s="3249"/>
      <c r="K40" s="252" t="s">
        <v>1943</v>
      </c>
      <c r="L40" s="248" t="s">
        <v>1216</v>
      </c>
      <c r="M40" s="248" t="s">
        <v>1221</v>
      </c>
      <c r="P40" s="3274" t="s">
        <v>31</v>
      </c>
      <c r="Q40" s="3274"/>
      <c r="S40" s="258"/>
      <c r="Y40" s="2410"/>
      <c r="Z40" s="2513">
        <v>40</v>
      </c>
      <c r="AZ40" s="1578"/>
    </row>
    <row r="41" spans="1:52" s="223" customFormat="1" ht="13.4" customHeight="1">
      <c r="A41" s="144"/>
      <c r="B41" s="810" t="s">
        <v>1729</v>
      </c>
      <c r="C41" s="809"/>
      <c r="D41" s="809"/>
      <c r="E41" s="3199" t="s">
        <v>1218</v>
      </c>
      <c r="F41" s="3199"/>
      <c r="G41" s="3199"/>
      <c r="H41" s="3199"/>
      <c r="I41" s="3250" t="s">
        <v>3720</v>
      </c>
      <c r="J41" s="3250"/>
      <c r="K41" s="445" t="s">
        <v>1670</v>
      </c>
      <c r="L41" s="445" t="s">
        <v>2041</v>
      </c>
      <c r="M41" s="445" t="s">
        <v>2041</v>
      </c>
      <c r="N41" s="3250" t="s">
        <v>69</v>
      </c>
      <c r="O41" s="3250"/>
      <c r="P41" s="3275"/>
      <c r="Q41" s="3275"/>
      <c r="S41" s="3276" t="s">
        <v>2441</v>
      </c>
      <c r="T41" s="3276"/>
      <c r="Y41" s="2410"/>
      <c r="Z41" s="2513">
        <v>41</v>
      </c>
      <c r="AZ41" s="1578" t="s">
        <v>4245</v>
      </c>
    </row>
    <row r="42" spans="1:52" s="223" customFormat="1" ht="15" customHeight="1">
      <c r="A42" s="144"/>
      <c r="B42" s="3261" t="s">
        <v>2396</v>
      </c>
      <c r="C42" s="3262"/>
      <c r="D42" s="3290"/>
      <c r="E42" s="3200" t="s">
        <v>5220</v>
      </c>
      <c r="F42" s="3201"/>
      <c r="G42" s="3201"/>
      <c r="H42" s="3202"/>
      <c r="I42" s="3291">
        <v>7160000</v>
      </c>
      <c r="J42" s="3292"/>
      <c r="K42" s="640">
        <v>6.1699999999999998E-2</v>
      </c>
      <c r="L42" s="805">
        <v>17</v>
      </c>
      <c r="M42" s="805">
        <v>40</v>
      </c>
      <c r="N42" s="3293" t="s">
        <v>5221</v>
      </c>
      <c r="O42" s="3294"/>
      <c r="P42" s="3295">
        <f>IF(OR(I42&lt;=0,I42=""),"",IF(N42="Cash Flow",0,IF(N42="Amortizing",-PMT(K42/12,M42*12,I42,0,0)*12,"")))</f>
        <v>482964.9549579189</v>
      </c>
      <c r="Q42" s="3296"/>
      <c r="S42" s="3212"/>
      <c r="T42" s="3213"/>
      <c r="Y42" s="2410" t="s">
        <v>4245</v>
      </c>
      <c r="Z42" s="2513">
        <v>42</v>
      </c>
      <c r="AZ42" s="1578" t="s">
        <v>4246</v>
      </c>
    </row>
    <row r="43" spans="1:52" s="223" customFormat="1" ht="15" customHeight="1">
      <c r="A43" s="144"/>
      <c r="B43" s="3243" t="s">
        <v>2397</v>
      </c>
      <c r="C43" s="3244"/>
      <c r="D43" s="3283"/>
      <c r="E43" s="3203" t="s">
        <v>5215</v>
      </c>
      <c r="F43" s="3204"/>
      <c r="G43" s="3204"/>
      <c r="H43" s="3205"/>
      <c r="I43" s="3284">
        <v>8660787</v>
      </c>
      <c r="J43" s="3285"/>
      <c r="K43" s="641">
        <v>7.0000000000000007E-2</v>
      </c>
      <c r="L43" s="806">
        <v>50</v>
      </c>
      <c r="M43" s="806">
        <v>50</v>
      </c>
      <c r="N43" s="3286" t="s">
        <v>1095</v>
      </c>
      <c r="O43" s="3287"/>
      <c r="P43" s="3288">
        <f>IF(OR(I43&lt;=0,I43=""),"",IF(N43="Cash Flow",0,IF(N43="Amortizing",-PMT(K43/12,M43*12,I43,0,0)*12,"")))</f>
        <v>0</v>
      </c>
      <c r="Q43" s="3289"/>
      <c r="S43" s="3214"/>
      <c r="T43" s="3215"/>
      <c r="Y43" s="2410" t="s">
        <v>4246</v>
      </c>
      <c r="Z43" s="2513">
        <v>43</v>
      </c>
      <c r="AZ43" s="1578" t="s">
        <v>4247</v>
      </c>
    </row>
    <row r="44" spans="1:52" s="223" customFormat="1" ht="15" customHeight="1">
      <c r="A44" s="144"/>
      <c r="B44" s="3243" t="s">
        <v>2398</v>
      </c>
      <c r="C44" s="3244"/>
      <c r="D44" s="3283"/>
      <c r="E44" s="3203"/>
      <c r="F44" s="3204"/>
      <c r="G44" s="3204"/>
      <c r="H44" s="3205"/>
      <c r="I44" s="3284"/>
      <c r="J44" s="3285"/>
      <c r="K44" s="641"/>
      <c r="L44" s="806"/>
      <c r="M44" s="806"/>
      <c r="N44" s="3286"/>
      <c r="O44" s="3287"/>
      <c r="P44" s="3288" t="str">
        <f>IF(OR(I44&lt;=0,I44=""),"",IF(N44="Cash Flow",0,IF(N44="Amortizing",-PMT(K44/12,M44*12,I44,0,0)*12,"")))</f>
        <v/>
      </c>
      <c r="Q44" s="3289"/>
      <c r="S44" s="3214"/>
      <c r="T44" s="3215"/>
      <c r="Y44" s="2410" t="s">
        <v>4247</v>
      </c>
      <c r="Z44" s="2513">
        <v>44</v>
      </c>
      <c r="AZ44" s="1578" t="s">
        <v>4248</v>
      </c>
    </row>
    <row r="45" spans="1:52" s="223" customFormat="1" ht="15" customHeight="1">
      <c r="A45" s="144"/>
      <c r="B45" s="803" t="s">
        <v>689</v>
      </c>
      <c r="C45" s="3297"/>
      <c r="D45" s="3298"/>
      <c r="E45" s="3203"/>
      <c r="F45" s="3204"/>
      <c r="G45" s="3204"/>
      <c r="H45" s="3205"/>
      <c r="I45" s="3284"/>
      <c r="J45" s="3285"/>
      <c r="K45" s="642"/>
      <c r="L45" s="801"/>
      <c r="M45" s="801"/>
      <c r="N45" s="3299"/>
      <c r="O45" s="3300"/>
      <c r="P45" s="3301" t="str">
        <f>IF(OR(I45&lt;=0,I45=""),"",IF(N45="Cash Flow",0,IF(N45="Amortizing",-PMT(K45/12,M45*12,I45,0,0)*12,"")))</f>
        <v/>
      </c>
      <c r="Q45" s="3302"/>
      <c r="S45" s="3214"/>
      <c r="T45" s="3215"/>
      <c r="Y45" s="2410" t="s">
        <v>4248</v>
      </c>
      <c r="Z45" s="2513">
        <v>45</v>
      </c>
      <c r="AZ45" s="1578" t="s">
        <v>4249</v>
      </c>
    </row>
    <row r="46" spans="1:52" s="223" customFormat="1" ht="15" customHeight="1">
      <c r="A46" s="144"/>
      <c r="B46" s="803" t="s">
        <v>3817</v>
      </c>
      <c r="C46" s="144"/>
      <c r="D46" s="807"/>
      <c r="E46" s="3203"/>
      <c r="F46" s="3204"/>
      <c r="G46" s="3204"/>
      <c r="H46" s="3205"/>
      <c r="I46" s="3284"/>
      <c r="J46" s="3285"/>
      <c r="K46" s="363"/>
      <c r="L46" s="802"/>
      <c r="M46" s="802"/>
      <c r="N46" s="3303"/>
      <c r="O46" s="3303"/>
      <c r="P46" s="3304"/>
      <c r="Q46" s="3304"/>
      <c r="S46" s="3214"/>
      <c r="T46" s="3215"/>
      <c r="Y46" s="2410" t="s">
        <v>4249</v>
      </c>
      <c r="Z46" s="2513">
        <v>46</v>
      </c>
      <c r="AZ46" s="1578" t="s">
        <v>4250</v>
      </c>
    </row>
    <row r="47" spans="1:52" s="223" customFormat="1" ht="15" customHeight="1">
      <c r="A47" s="144"/>
      <c r="B47" s="808" t="s">
        <v>220</v>
      </c>
      <c r="C47" s="809"/>
      <c r="D47" s="300">
        <f>IF(OR(I47="",I47=0,'Part III-A-Uses of Funds'!$G$127="",'Part III-A-Uses of Funds'!$G$127=0),"",I47/'Part III-A-Uses of Funds'!$G$127)</f>
        <v>0.29549883449883452</v>
      </c>
      <c r="E47" s="3206" t="s">
        <v>5203</v>
      </c>
      <c r="F47" s="3207"/>
      <c r="G47" s="3207"/>
      <c r="H47" s="3208"/>
      <c r="I47" s="3305">
        <v>760614</v>
      </c>
      <c r="J47" s="3306"/>
      <c r="K47" s="639">
        <v>7.0000000000000007E-2</v>
      </c>
      <c r="L47" s="638">
        <v>15</v>
      </c>
      <c r="M47" s="638">
        <v>15</v>
      </c>
      <c r="N47" s="3051" t="s">
        <v>1095</v>
      </c>
      <c r="O47" s="3052"/>
      <c r="P47" s="3307">
        <f>IF(OR(I47&lt;=0,I47=""),"",IF(N47="Cash Flow",0,IF(N47="Amortizing",-PMT(K47/12,M47*12,I47,0,0)*12,"")))</f>
        <v>0</v>
      </c>
      <c r="Q47" s="3308"/>
      <c r="S47" s="3214"/>
      <c r="T47" s="3215"/>
      <c r="Y47" s="2410" t="s">
        <v>4250</v>
      </c>
      <c r="Z47" s="2513">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14"/>
      <c r="T48" s="3215"/>
      <c r="Y48" s="2410"/>
      <c r="Z48" s="2513">
        <v>48</v>
      </c>
      <c r="AZ48" s="1578"/>
    </row>
    <row r="49" spans="1:52" s="223" customFormat="1" ht="15" customHeight="1">
      <c r="A49" s="144"/>
      <c r="B49" s="223" t="s">
        <v>3318</v>
      </c>
      <c r="C49" s="144"/>
      <c r="E49" s="223" t="s">
        <v>3276</v>
      </c>
      <c r="F49" s="3309">
        <f>IF(OR($I$47="",$I$47=0,'Part VI-Pro Forma'!$S$35=0,'Part VI-Pro Forma'!$S$35=""),"",VLOOKUP($L$47,'Part VI-Pro Forma'!$Q$21:$S$40,3))</f>
        <v>1803325.9327541026</v>
      </c>
      <c r="G49" s="3310"/>
      <c r="H49" s="483" t="s">
        <v>3317</v>
      </c>
      <c r="I49" s="3309">
        <f>IF(OR($I$47="",$I$47=0,'Part VI-Pro Forma'!$R$35=0,'Part VI-Pro Forma'!$R$35=""),"",VLOOKUP($L$47,'Part VI-Pro Forma'!$Q$21:$S$35,2))</f>
        <v>1007085.5540469006</v>
      </c>
      <c r="J49" s="3310"/>
      <c r="K49" s="483" t="s">
        <v>3319</v>
      </c>
      <c r="L49" s="3311">
        <f>IF(OR($F$49 = 0,$F$49 =""),"",$I$49/$F$49)</f>
        <v>0.55846008519871071</v>
      </c>
      <c r="M49" s="3312"/>
      <c r="N49" s="3313" t="s">
        <v>3724</v>
      </c>
      <c r="O49" s="3314"/>
      <c r="P49" s="3315">
        <f>IF(OR($I$64=0,$I$62&gt;$I$63),0,ABS($I$62-$I$63))</f>
        <v>0</v>
      </c>
      <c r="Q49" s="3316"/>
      <c r="S49" s="3214"/>
      <c r="T49" s="3215"/>
      <c r="Y49" s="2410"/>
      <c r="Z49" s="2513">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16"/>
      <c r="T50" s="3217"/>
      <c r="Y50" s="2410"/>
      <c r="Z50" s="2513">
        <v>50</v>
      </c>
      <c r="AZ50" s="1578" t="s">
        <v>4251</v>
      </c>
    </row>
    <row r="51" spans="1:52" s="223" customFormat="1" ht="15" customHeight="1">
      <c r="A51" s="144"/>
      <c r="B51" s="3261" t="s">
        <v>2042</v>
      </c>
      <c r="C51" s="3262"/>
      <c r="D51" s="3290"/>
      <c r="E51" s="3200"/>
      <c r="F51" s="3201"/>
      <c r="G51" s="3201"/>
      <c r="H51" s="3202"/>
      <c r="I51" s="3291"/>
      <c r="J51" s="3292"/>
      <c r="K51" s="144"/>
      <c r="L51" s="144"/>
      <c r="M51" s="144"/>
      <c r="N51" s="144"/>
      <c r="O51" s="144"/>
      <c r="P51" s="248" t="s">
        <v>482</v>
      </c>
      <c r="Q51" s="144"/>
      <c r="S51" s="3212"/>
      <c r="T51" s="3213"/>
      <c r="Y51" s="2410" t="s">
        <v>4251</v>
      </c>
      <c r="Z51" s="2513">
        <v>51</v>
      </c>
      <c r="AZ51" s="1578" t="s">
        <v>4252</v>
      </c>
    </row>
    <row r="52" spans="1:52" s="223" customFormat="1" ht="15" customHeight="1">
      <c r="A52" s="144"/>
      <c r="B52" s="3243" t="s">
        <v>744</v>
      </c>
      <c r="C52" s="3244"/>
      <c r="D52" s="3283"/>
      <c r="E52" s="3203"/>
      <c r="F52" s="3204"/>
      <c r="G52" s="3204"/>
      <c r="H52" s="3205"/>
      <c r="I52" s="3284"/>
      <c r="J52" s="3285"/>
      <c r="L52" s="3317" t="s">
        <v>483</v>
      </c>
      <c r="M52" s="3317"/>
      <c r="N52" s="3318" t="s">
        <v>484</v>
      </c>
      <c r="O52" s="3318"/>
      <c r="P52" s="313" t="s">
        <v>2351</v>
      </c>
      <c r="Q52" s="144"/>
      <c r="S52" s="3214"/>
      <c r="T52" s="3215"/>
      <c r="Y52" s="2410" t="s">
        <v>4252</v>
      </c>
      <c r="Z52" s="2513">
        <v>52</v>
      </c>
      <c r="AZ52" s="1578" t="s">
        <v>4253</v>
      </c>
    </row>
    <row r="53" spans="1:52" s="223" customFormat="1" ht="15" customHeight="1">
      <c r="A53" s="144"/>
      <c r="B53" s="3243" t="s">
        <v>745</v>
      </c>
      <c r="C53" s="3244"/>
      <c r="D53" s="3283"/>
      <c r="E53" s="3203" t="s">
        <v>5216</v>
      </c>
      <c r="F53" s="3204"/>
      <c r="G53" s="3204"/>
      <c r="H53" s="3205"/>
      <c r="I53" s="3284">
        <v>12565830</v>
      </c>
      <c r="J53" s="3285"/>
      <c r="L53" s="3319">
        <f>'Part III-A-Uses of Funds'!$J$192*10*'Part III-A-Uses of Funds'!$N$183</f>
        <v>12567080</v>
      </c>
      <c r="M53" s="3319"/>
      <c r="N53" s="3320">
        <f>I53-L53</f>
        <v>-1250</v>
      </c>
      <c r="O53" s="3320"/>
      <c r="P53" s="323">
        <f>I53/I63</f>
        <v>0.3259195615697511</v>
      </c>
      <c r="Q53" s="144"/>
      <c r="S53" s="3214"/>
      <c r="T53" s="3215"/>
      <c r="Y53" s="2410" t="s">
        <v>4253</v>
      </c>
      <c r="Z53" s="2513">
        <v>53</v>
      </c>
      <c r="AZ53" s="1578" t="s">
        <v>4254</v>
      </c>
    </row>
    <row r="54" spans="1:52" s="223" customFormat="1" ht="15" customHeight="1">
      <c r="A54" s="144"/>
      <c r="B54" s="3243" t="s">
        <v>746</v>
      </c>
      <c r="C54" s="3244"/>
      <c r="D54" s="3283"/>
      <c r="E54" s="3203" t="s">
        <v>5216</v>
      </c>
      <c r="F54" s="3204"/>
      <c r="G54" s="3204"/>
      <c r="H54" s="3205"/>
      <c r="I54" s="3284">
        <v>7725062</v>
      </c>
      <c r="J54" s="3285"/>
      <c r="L54" s="3319">
        <f>'Part III-A-Uses of Funds'!$J$192*10*'Part III-A-Uses of Funds'!$Q$183</f>
        <v>7725057.9999999991</v>
      </c>
      <c r="M54" s="3319"/>
      <c r="N54" s="3320">
        <f>I54-L54</f>
        <v>4.0000000009313226</v>
      </c>
      <c r="O54" s="3320"/>
      <c r="P54" s="323">
        <f>I54/I63</f>
        <v>0.200364704929093</v>
      </c>
      <c r="Q54" s="144"/>
      <c r="S54" s="3214"/>
      <c r="T54" s="3215"/>
      <c r="Y54" s="2410" t="s">
        <v>4254</v>
      </c>
      <c r="Z54" s="2513">
        <v>54</v>
      </c>
      <c r="AZ54" s="1578" t="s">
        <v>4255</v>
      </c>
    </row>
    <row r="55" spans="1:52" s="223" customFormat="1" ht="15" customHeight="1">
      <c r="A55" s="144"/>
      <c r="B55" s="3243" t="s">
        <v>1329</v>
      </c>
      <c r="C55" s="3244"/>
      <c r="D55" s="3283"/>
      <c r="E55" s="3203" t="s">
        <v>5216</v>
      </c>
      <c r="F55" s="3204"/>
      <c r="G55" s="3204"/>
      <c r="H55" s="3205"/>
      <c r="I55" s="3284">
        <f>709420+573796</f>
        <v>1283216</v>
      </c>
      <c r="J55" s="3285"/>
      <c r="P55" s="324">
        <f>SUM(P53:P54)</f>
        <v>0.52628426649884408</v>
      </c>
      <c r="Q55" s="144"/>
      <c r="S55" s="3216"/>
      <c r="T55" s="3217"/>
      <c r="Y55" s="2410" t="s">
        <v>4255</v>
      </c>
      <c r="Z55" s="2513">
        <v>55</v>
      </c>
      <c r="AZ55" s="1578"/>
    </row>
    <row r="56" spans="1:52" s="223" customFormat="1" ht="15" customHeight="1">
      <c r="A56" s="144"/>
      <c r="B56" s="803" t="s">
        <v>496</v>
      </c>
      <c r="C56" s="144"/>
      <c r="D56" s="807"/>
      <c r="E56" s="3203"/>
      <c r="F56" s="3204"/>
      <c r="G56" s="3204"/>
      <c r="H56" s="3205"/>
      <c r="I56" s="3284"/>
      <c r="J56" s="3285"/>
      <c r="K56" s="144"/>
      <c r="Q56" s="144"/>
      <c r="S56" s="3214"/>
      <c r="T56" s="3215"/>
      <c r="Y56" s="2410"/>
      <c r="Z56" s="2513">
        <v>56</v>
      </c>
      <c r="AZ56" s="1578"/>
    </row>
    <row r="57" spans="1:52" s="223" customFormat="1" ht="15" customHeight="1">
      <c r="A57" s="144"/>
      <c r="B57" s="803" t="s">
        <v>1727</v>
      </c>
      <c r="C57" s="144"/>
      <c r="D57" s="807"/>
      <c r="E57" s="3203"/>
      <c r="F57" s="3204"/>
      <c r="G57" s="3204"/>
      <c r="H57" s="3205"/>
      <c r="I57" s="3284"/>
      <c r="J57" s="3285"/>
      <c r="N57" s="301"/>
      <c r="O57" s="301"/>
      <c r="P57" s="301"/>
      <c r="Q57" s="144"/>
      <c r="S57" s="3214"/>
      <c r="T57" s="3215"/>
      <c r="Y57" s="2410"/>
      <c r="Z57" s="2513">
        <v>57</v>
      </c>
      <c r="AZ57" s="1578"/>
    </row>
    <row r="58" spans="1:52" s="223" customFormat="1" ht="15" customHeight="1">
      <c r="A58" s="144"/>
      <c r="B58" s="803" t="s">
        <v>1728</v>
      </c>
      <c r="C58" s="144"/>
      <c r="D58" s="807"/>
      <c r="E58" s="3203" t="s">
        <v>5203</v>
      </c>
      <c r="F58" s="3204"/>
      <c r="G58" s="3204"/>
      <c r="H58" s="3205"/>
      <c r="I58" s="3284">
        <v>232000</v>
      </c>
      <c r="J58" s="3285"/>
      <c r="M58" s="301"/>
      <c r="N58" s="301"/>
      <c r="O58" s="301"/>
      <c r="P58" s="301"/>
      <c r="Q58" s="144"/>
      <c r="S58" s="3214"/>
      <c r="T58" s="3215"/>
      <c r="Y58" s="2410"/>
      <c r="Z58" s="2513">
        <v>58</v>
      </c>
      <c r="AZ58" s="1578" t="s">
        <v>4256</v>
      </c>
    </row>
    <row r="59" spans="1:52" s="223" customFormat="1" ht="15" customHeight="1">
      <c r="A59" s="144"/>
      <c r="B59" s="803" t="s">
        <v>689</v>
      </c>
      <c r="C59" s="3200" t="s">
        <v>5222</v>
      </c>
      <c r="D59" s="3202"/>
      <c r="E59" s="3203" t="s">
        <v>5203</v>
      </c>
      <c r="F59" s="3204"/>
      <c r="G59" s="3204"/>
      <c r="H59" s="3205"/>
      <c r="I59" s="3284">
        <v>124716</v>
      </c>
      <c r="J59" s="3285"/>
      <c r="M59" s="301"/>
      <c r="N59" s="301"/>
      <c r="O59" s="301"/>
      <c r="P59" s="301"/>
      <c r="Q59" s="144"/>
      <c r="S59" s="3214"/>
      <c r="T59" s="3215"/>
      <c r="Y59" s="2410" t="s">
        <v>4256</v>
      </c>
      <c r="Z59" s="2513">
        <v>59</v>
      </c>
      <c r="AZ59" s="1578" t="s">
        <v>4257</v>
      </c>
    </row>
    <row r="60" spans="1:52" s="223" customFormat="1" ht="15" customHeight="1">
      <c r="A60" s="144"/>
      <c r="B60" s="803" t="s">
        <v>689</v>
      </c>
      <c r="C60" s="3203" t="s">
        <v>5223</v>
      </c>
      <c r="D60" s="3205"/>
      <c r="E60" s="3203" t="s">
        <v>5203</v>
      </c>
      <c r="F60" s="3204"/>
      <c r="G60" s="3204"/>
      <c r="H60" s="3205"/>
      <c r="I60" s="3284">
        <v>42679</v>
      </c>
      <c r="J60" s="3285"/>
      <c r="K60" s="144"/>
      <c r="L60" s="248"/>
      <c r="M60" s="301"/>
      <c r="N60" s="301"/>
      <c r="O60" s="301"/>
      <c r="P60" s="301"/>
      <c r="Q60" s="144"/>
      <c r="S60" s="3214"/>
      <c r="T60" s="3215"/>
      <c r="Y60" s="2410" t="s">
        <v>4257</v>
      </c>
      <c r="Z60" s="2513">
        <v>60</v>
      </c>
      <c r="AZ60" s="1578" t="s">
        <v>4258</v>
      </c>
    </row>
    <row r="61" spans="1:52" s="223" customFormat="1" ht="15" customHeight="1">
      <c r="A61" s="144"/>
      <c r="B61" s="808" t="s">
        <v>689</v>
      </c>
      <c r="C61" s="3206" t="s">
        <v>5224</v>
      </c>
      <c r="D61" s="3208"/>
      <c r="E61" s="3206" t="s">
        <v>5203</v>
      </c>
      <c r="F61" s="3207"/>
      <c r="G61" s="3207"/>
      <c r="H61" s="3208"/>
      <c r="I61" s="3322">
        <v>100</v>
      </c>
      <c r="J61" s="3323"/>
      <c r="K61" s="144"/>
      <c r="L61" s="248"/>
      <c r="M61" s="301"/>
      <c r="N61" s="301"/>
      <c r="O61" s="301"/>
      <c r="P61" s="301"/>
      <c r="Q61" s="144"/>
      <c r="S61" s="3214"/>
      <c r="T61" s="3215"/>
      <c r="Y61" s="2410" t="s">
        <v>4258</v>
      </c>
      <c r="Z61" s="2513">
        <v>61</v>
      </c>
      <c r="AZ61" s="1578"/>
    </row>
    <row r="62" spans="1:52" s="223" customFormat="1" ht="14.25" customHeight="1">
      <c r="A62" s="144"/>
      <c r="B62" s="246" t="s">
        <v>2043</v>
      </c>
      <c r="C62" s="144"/>
      <c r="D62" s="144"/>
      <c r="E62" s="144"/>
      <c r="F62" s="144"/>
      <c r="G62" s="144"/>
      <c r="I62" s="3324">
        <f>SUM(I42:J47)+SUM(I51:J61)</f>
        <v>38555004</v>
      </c>
      <c r="J62" s="3325"/>
      <c r="K62" s="144"/>
      <c r="L62" s="248"/>
      <c r="M62" s="301"/>
      <c r="N62" s="301"/>
      <c r="O62" s="301"/>
      <c r="P62" s="301"/>
      <c r="Q62" s="144"/>
      <c r="S62" s="3214"/>
      <c r="T62" s="3215"/>
      <c r="Y62" s="2410"/>
      <c r="Z62" s="2513">
        <v>62</v>
      </c>
      <c r="AZ62" s="1578"/>
    </row>
    <row r="63" spans="1:52" s="223" customFormat="1" ht="14.25" customHeight="1" thickBot="1">
      <c r="A63" s="144"/>
      <c r="B63" s="246" t="s">
        <v>2044</v>
      </c>
      <c r="C63" s="144"/>
      <c r="D63" s="144"/>
      <c r="E63" s="144"/>
      <c r="F63" s="144"/>
      <c r="G63" s="144"/>
      <c r="I63" s="3326">
        <f>'Part III-A-Uses of Funds'!$G$147</f>
        <v>38555004</v>
      </c>
      <c r="J63" s="3327"/>
      <c r="K63" s="144"/>
      <c r="L63" s="248"/>
      <c r="M63" s="301"/>
      <c r="N63" s="301"/>
      <c r="O63" s="301"/>
      <c r="P63" s="301"/>
      <c r="Q63" s="144"/>
      <c r="S63" s="3214"/>
      <c r="T63" s="3215"/>
      <c r="Y63" s="2410"/>
      <c r="Z63" s="2513">
        <v>63</v>
      </c>
      <c r="AZ63" s="1578"/>
    </row>
    <row r="64" spans="1:52" s="223" customFormat="1" ht="14.25" customHeight="1" thickBot="1">
      <c r="A64" s="144"/>
      <c r="B64" s="246" t="s">
        <v>1426</v>
      </c>
      <c r="C64" s="144"/>
      <c r="D64" s="144"/>
      <c r="E64" s="144"/>
      <c r="F64" s="144"/>
      <c r="G64" s="144"/>
      <c r="I64" s="3328">
        <f>I62-I63</f>
        <v>0</v>
      </c>
      <c r="J64" s="3329"/>
      <c r="K64" s="144"/>
      <c r="L64" s="248"/>
      <c r="M64" s="301"/>
      <c r="N64" s="301"/>
      <c r="O64" s="301"/>
      <c r="P64" s="301"/>
      <c r="Q64" s="144"/>
      <c r="S64" s="3216"/>
      <c r="T64" s="3217"/>
      <c r="Y64" s="2410"/>
      <c r="Z64" s="2513">
        <v>64</v>
      </c>
      <c r="AZ64" s="1578"/>
    </row>
    <row r="65" spans="1:52" s="223" customFormat="1" ht="13.4" customHeight="1">
      <c r="A65" s="144" t="s">
        <v>3818</v>
      </c>
      <c r="B65" s="246"/>
      <c r="C65" s="144"/>
      <c r="D65" s="144"/>
      <c r="E65" s="144"/>
      <c r="F65" s="144"/>
      <c r="G65" s="144"/>
      <c r="H65" s="297"/>
      <c r="I65" s="297"/>
      <c r="J65" s="145"/>
      <c r="K65" s="144"/>
      <c r="L65" s="248"/>
      <c r="M65" s="301"/>
      <c r="N65" s="301"/>
      <c r="O65" s="301"/>
      <c r="P65" s="301"/>
      <c r="Q65" s="144"/>
      <c r="R65" s="144"/>
      <c r="S65" s="144"/>
      <c r="T65" s="144"/>
      <c r="Y65" s="2410"/>
      <c r="Z65" s="2513">
        <v>65</v>
      </c>
      <c r="AZ65" s="1577"/>
    </row>
    <row r="66" spans="1:52" ht="2.25" customHeight="1">
      <c r="A66" s="145"/>
      <c r="B66" s="145"/>
      <c r="C66" s="145"/>
      <c r="D66" s="145"/>
      <c r="E66" s="145"/>
      <c r="F66" s="145"/>
      <c r="G66" s="145"/>
      <c r="H66" s="145"/>
      <c r="I66" s="145"/>
      <c r="J66" s="145"/>
      <c r="K66" s="145"/>
      <c r="L66" s="145"/>
      <c r="M66" s="145"/>
      <c r="N66" s="145"/>
      <c r="O66" s="145"/>
      <c r="P66" s="145"/>
      <c r="Q66" s="145"/>
      <c r="Z66" s="2513">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513">
        <v>67</v>
      </c>
      <c r="AZ67" s="1580"/>
    </row>
    <row r="68" spans="1:52" ht="141" customHeight="1">
      <c r="A68" s="3085" t="s">
        <v>5289</v>
      </c>
      <c r="B68" s="3086"/>
      <c r="C68" s="3086"/>
      <c r="D68" s="3086"/>
      <c r="E68" s="3086"/>
      <c r="F68" s="3086"/>
      <c r="G68" s="3086"/>
      <c r="H68" s="3086"/>
      <c r="I68" s="3086"/>
      <c r="J68" s="3086"/>
      <c r="K68" s="3086"/>
      <c r="L68" s="3087"/>
      <c r="M68" s="3088"/>
      <c r="N68" s="3089"/>
      <c r="O68" s="3089"/>
      <c r="P68" s="3089"/>
      <c r="Q68" s="3090"/>
      <c r="S68" s="3321" t="s">
        <v>2445</v>
      </c>
      <c r="T68" s="3321"/>
      <c r="U68" s="366"/>
      <c r="V68" s="366"/>
      <c r="W68" s="366"/>
      <c r="Y68" s="2412"/>
      <c r="Z68" s="2513">
        <v>68</v>
      </c>
      <c r="AZ68" s="1580"/>
    </row>
    <row r="69" spans="1:52" ht="11.25" customHeight="1">
      <c r="S69" s="366"/>
      <c r="T69" s="366"/>
      <c r="U69" s="366"/>
      <c r="V69" s="366"/>
      <c r="W69" s="366"/>
      <c r="Y69" s="2412"/>
      <c r="Z69" s="2513">
        <v>69</v>
      </c>
    </row>
    <row r="70" spans="1:52" ht="12" customHeight="1">
      <c r="Z70" s="2513">
        <v>70</v>
      </c>
    </row>
    <row r="71" spans="1:52" ht="12" customHeight="1">
      <c r="B71" s="277"/>
      <c r="Z71" s="2513">
        <v>71</v>
      </c>
    </row>
    <row r="72" spans="1:52" ht="14.65" customHeight="1">
      <c r="Z72" s="2513">
        <v>72</v>
      </c>
      <c r="AZ72" s="1578"/>
    </row>
    <row r="73" spans="1:52" s="223" customFormat="1" ht="14.65" customHeight="1">
      <c r="Y73" s="2410"/>
      <c r="Z73" s="2513">
        <v>73</v>
      </c>
      <c r="AZ73" s="1578"/>
    </row>
    <row r="74" spans="1:52" s="223" customFormat="1" ht="14.65" customHeight="1">
      <c r="Y74" s="2410"/>
      <c r="Z74" s="2513">
        <v>74</v>
      </c>
      <c r="AZ74" s="1578"/>
    </row>
    <row r="75" spans="1:52" s="223" customFormat="1" ht="14.65" customHeight="1">
      <c r="Y75" s="2410"/>
      <c r="Z75" s="2518"/>
      <c r="AZ75" s="1577"/>
    </row>
    <row r="76" spans="1:52" ht="14.65" customHeight="1">
      <c r="AZ76" s="1578"/>
    </row>
    <row r="77" spans="1:52" s="223" customFormat="1" ht="14.65" customHeight="1">
      <c r="A77" s="278"/>
      <c r="Y77" s="2410"/>
      <c r="Z77" s="2518"/>
      <c r="AZ77" s="1578"/>
    </row>
    <row r="78" spans="1:52" s="223" customFormat="1" ht="14.65" customHeight="1">
      <c r="A78" s="278"/>
      <c r="Y78" s="2410"/>
      <c r="Z78" s="2518"/>
      <c r="AZ78" s="1578"/>
    </row>
    <row r="79" spans="1:52" s="223" customFormat="1" ht="14.65" customHeight="1">
      <c r="Y79" s="2410"/>
      <c r="Z79" s="2518"/>
      <c r="AZ79" s="1578"/>
    </row>
    <row r="80" spans="1:52" s="223" customFormat="1" ht="14.65" customHeight="1">
      <c r="A80" s="278"/>
      <c r="Y80" s="2410"/>
      <c r="Z80" s="2518"/>
      <c r="AZ80" s="1578"/>
    </row>
    <row r="81" spans="1:52" s="223" customFormat="1" ht="14.65" customHeight="1">
      <c r="A81" s="276"/>
      <c r="Y81" s="2410"/>
      <c r="Z81" s="2518"/>
      <c r="AZ81" s="1578"/>
    </row>
    <row r="82" spans="1:52" s="223" customFormat="1" ht="14.65" customHeight="1">
      <c r="A82" s="276"/>
      <c r="Y82" s="2410"/>
      <c r="Z82" s="2518"/>
      <c r="AZ82" s="1578"/>
    </row>
    <row r="83" spans="1:52" s="223" customFormat="1" ht="14.65" customHeight="1">
      <c r="A83" s="279"/>
      <c r="Y83" s="2410"/>
      <c r="Z83" s="2518"/>
      <c r="AZ83" s="1578"/>
    </row>
    <row r="84" spans="1:52" s="223" customFormat="1" ht="14.65" customHeight="1">
      <c r="A84" s="278"/>
      <c r="Y84" s="2410"/>
      <c r="Z84" s="2518"/>
      <c r="AZ84" s="1578"/>
    </row>
    <row r="85" spans="1:52" s="223" customFormat="1" ht="14.65" customHeight="1">
      <c r="A85" s="276"/>
      <c r="Y85" s="2410"/>
      <c r="Z85" s="2518"/>
      <c r="AZ85" s="1578"/>
    </row>
    <row r="86" spans="1:52" s="223" customFormat="1" ht="14.65" customHeight="1">
      <c r="A86" s="276"/>
      <c r="Y86" s="2410"/>
      <c r="Z86" s="2518"/>
      <c r="AZ86" s="1578"/>
    </row>
    <row r="87" spans="1:52" s="223" customFormat="1" ht="14.65" customHeight="1">
      <c r="A87" s="279"/>
      <c r="Y87" s="2410"/>
      <c r="Z87" s="2518"/>
      <c r="AZ87" s="1578"/>
    </row>
    <row r="88" spans="1:52" s="223" customFormat="1" ht="14.65" customHeight="1">
      <c r="A88" s="278"/>
      <c r="Y88" s="2410"/>
      <c r="Z88" s="2518"/>
      <c r="AZ88" s="1578"/>
    </row>
    <row r="89" spans="1:52" s="223" customFormat="1" ht="14.65" customHeight="1">
      <c r="A89" s="276"/>
      <c r="Y89" s="2410"/>
      <c r="Z89" s="2518"/>
      <c r="AZ89" s="1578"/>
    </row>
    <row r="90" spans="1:52" s="223" customFormat="1" ht="14.65" customHeight="1">
      <c r="A90" s="276"/>
      <c r="Y90" s="2410"/>
      <c r="Z90" s="2518"/>
      <c r="AZ90" s="1578"/>
    </row>
    <row r="91" spans="1:52" s="223" customFormat="1" ht="14.65" customHeight="1">
      <c r="A91" s="279"/>
      <c r="Y91" s="2410"/>
      <c r="Z91" s="2518"/>
      <c r="AZ91" s="1578"/>
    </row>
    <row r="92" spans="1:52" s="223" customFormat="1" ht="14.65" customHeight="1">
      <c r="A92" s="279"/>
      <c r="Y92" s="2410"/>
      <c r="Z92" s="2518"/>
      <c r="AZ92" s="1578"/>
    </row>
    <row r="93" spans="1:52" s="223" customFormat="1" ht="14.65" customHeight="1">
      <c r="A93" s="279"/>
      <c r="Y93" s="2410"/>
      <c r="Z93" s="2518"/>
      <c r="AZ93" s="1578"/>
    </row>
    <row r="94" spans="1:52" s="223" customFormat="1" ht="14.65" customHeight="1">
      <c r="A94" s="279"/>
      <c r="Y94" s="2410"/>
      <c r="Z94" s="2518"/>
      <c r="AZ94" s="1578"/>
    </row>
    <row r="95" spans="1:52" s="223" customFormat="1" ht="14.65" customHeight="1">
      <c r="Y95" s="2410"/>
      <c r="Z95" s="2518"/>
      <c r="AZ95" s="1578"/>
    </row>
    <row r="96" spans="1:52" s="223" customFormat="1" ht="14.65" customHeight="1">
      <c r="Y96" s="2410"/>
      <c r="Z96" s="2518"/>
      <c r="AZ96" s="1577"/>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144"/>
      <c r="L103" s="223"/>
      <c r="M103" s="223"/>
      <c r="N103" s="22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MXxKY/5D1A86+4IK6Z7ON+ypjDy8foJzre6VvD9w9o5GB5xMacmhvKK2TBI0jsMQjV5LmJQWOzz49C6dUEoSbQ==" saltValue="6Kwsy4JzxFqZWn2jic65kQ==" spinCount="100000" sheet="1" objects="1" scenarios="1" formatRows="0"/>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disablePrompts="1"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30" t="e">
        <f>CONCATENATE("PART III B: USD 538 LOAN","  -  ",#REF!," ",#REF!,", ",#REF!,", ",#REF!," County")</f>
        <v>#REF!</v>
      </c>
      <c r="B1" s="3331"/>
      <c r="C1" s="3331"/>
      <c r="D1" s="3331"/>
      <c r="E1" s="3331"/>
      <c r="F1" s="3332"/>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8" t="s">
        <v>210</v>
      </c>
      <c r="B3" s="3338"/>
      <c r="C3" s="3338"/>
      <c r="D3" s="3338"/>
      <c r="E3" s="3338"/>
      <c r="F3" s="3338"/>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9" t="s">
        <v>122</v>
      </c>
      <c r="B14" s="3339"/>
      <c r="C14" s="3339"/>
      <c r="D14" s="3339"/>
      <c r="E14" s="3339"/>
      <c r="F14" s="3339"/>
      <c r="G14" s="162"/>
      <c r="H14" s="162"/>
    </row>
    <row r="15" spans="1:17" ht="5.65" customHeight="1">
      <c r="A15" s="10"/>
      <c r="E15" s="169"/>
      <c r="F15" s="162"/>
      <c r="G15" s="162"/>
      <c r="H15" s="162"/>
    </row>
    <row r="16" spans="1:17" ht="13.4" customHeight="1">
      <c r="A16" s="170" t="s">
        <v>2278</v>
      </c>
      <c r="B16" s="171" t="s">
        <v>2275</v>
      </c>
      <c r="C16" s="171" t="s">
        <v>2276</v>
      </c>
      <c r="D16" s="3336" t="s">
        <v>2077</v>
      </c>
      <c r="E16" s="3336"/>
      <c r="F16" s="162"/>
      <c r="G16" s="162"/>
      <c r="H16" s="162"/>
    </row>
    <row r="17" spans="1:8" ht="12.65" customHeight="1">
      <c r="A17" s="60">
        <v>1</v>
      </c>
      <c r="B17" s="155">
        <f>IF(A17&gt;$C$9,0,SUM(C64:C75)*($C$6/$C$7))</f>
        <v>0</v>
      </c>
      <c r="C17" s="158">
        <f>IF(A17&gt;C9,0,(E63+K63)*$C$8)</f>
        <v>0</v>
      </c>
      <c r="D17" s="3340">
        <f t="shared" ref="D17:D56" si="0">IF(A17&gt;$C$9,0,$C$11+C17)</f>
        <v>0</v>
      </c>
      <c r="E17" s="3340"/>
      <c r="F17" s="162"/>
      <c r="G17" s="162"/>
      <c r="H17" s="162"/>
    </row>
    <row r="18" spans="1:8" ht="12.65" customHeight="1">
      <c r="A18" s="60">
        <v>2</v>
      </c>
      <c r="B18" s="155">
        <f>IF(A18&gt;C9,0,SUM(C76:C87)*($C$6/$C$7))</f>
        <v>0</v>
      </c>
      <c r="C18" s="158">
        <f>IF(A18&gt;C9,0,(E75+K75)*$C$8)</f>
        <v>0</v>
      </c>
      <c r="D18" s="3333">
        <f t="shared" si="0"/>
        <v>0</v>
      </c>
      <c r="E18" s="3333"/>
      <c r="F18" s="162"/>
      <c r="G18" s="162"/>
      <c r="H18" s="162"/>
    </row>
    <row r="19" spans="1:8" ht="12.65" customHeight="1">
      <c r="A19" s="60">
        <v>3</v>
      </c>
      <c r="B19" s="155">
        <f>IF(A19&gt;C9,0,SUM(C88:C99)*($C$6/$C$7))</f>
        <v>0</v>
      </c>
      <c r="C19" s="158">
        <f>IF(A19&gt;C9,0,(E87+K87)*$C$8)</f>
        <v>0</v>
      </c>
      <c r="D19" s="3333">
        <f t="shared" si="0"/>
        <v>0</v>
      </c>
      <c r="E19" s="3333"/>
      <c r="F19" s="162"/>
      <c r="G19" s="162"/>
      <c r="H19" s="162"/>
    </row>
    <row r="20" spans="1:8" ht="12.65" customHeight="1">
      <c r="A20" s="60">
        <v>4</v>
      </c>
      <c r="B20" s="155">
        <f>IF(A20&gt;C9,0,SUM(C100:C111)*($C$6/$C$7))</f>
        <v>0</v>
      </c>
      <c r="C20" s="158">
        <f>IF(A20&gt;C9,0,(E99+K99)*$C$8)</f>
        <v>0</v>
      </c>
      <c r="D20" s="3333">
        <f t="shared" si="0"/>
        <v>0</v>
      </c>
      <c r="E20" s="3333"/>
      <c r="F20" s="162"/>
      <c r="G20" s="162"/>
      <c r="H20" s="162"/>
    </row>
    <row r="21" spans="1:8" ht="12.65" customHeight="1">
      <c r="A21" s="60">
        <v>5</v>
      </c>
      <c r="B21" s="155">
        <f>IF(A21&gt;C9,0,SUM(C112:C123)*($C$6/$C$7))</f>
        <v>0</v>
      </c>
      <c r="C21" s="158">
        <f>IF(A21&gt;C9,0,(E111+K111)*$C$8)</f>
        <v>0</v>
      </c>
      <c r="D21" s="3334">
        <f t="shared" si="0"/>
        <v>0</v>
      </c>
      <c r="E21" s="3334"/>
      <c r="F21" s="162"/>
      <c r="G21" s="162"/>
      <c r="H21" s="162"/>
    </row>
    <row r="22" spans="1:8" ht="12.65" customHeight="1">
      <c r="A22" s="156">
        <v>6</v>
      </c>
      <c r="B22" s="157">
        <f>IF(A22&gt;C9,0,SUM(C124:C135)*($C$6/$C$7))</f>
        <v>0</v>
      </c>
      <c r="C22" s="173">
        <f>IF(A22&gt;C9,0,(E123+K123)*$C$8)</f>
        <v>0</v>
      </c>
      <c r="D22" s="3333">
        <f t="shared" si="0"/>
        <v>0</v>
      </c>
      <c r="E22" s="3333"/>
      <c r="F22" s="162"/>
      <c r="G22" s="162"/>
      <c r="H22" s="162"/>
    </row>
    <row r="23" spans="1:8" ht="12.65" customHeight="1">
      <c r="A23" s="60">
        <v>7</v>
      </c>
      <c r="B23" s="155">
        <f>IF(A23&gt;C9,0,SUM(C136:C147)*($C$6/$C$7))</f>
        <v>0</v>
      </c>
      <c r="C23" s="158">
        <f>IF(A23&gt;C9,0,(E135+K135)*$C$8)</f>
        <v>0</v>
      </c>
      <c r="D23" s="3333">
        <f t="shared" si="0"/>
        <v>0</v>
      </c>
      <c r="E23" s="3333"/>
      <c r="F23" s="162"/>
      <c r="G23" s="162"/>
      <c r="H23" s="162"/>
    </row>
    <row r="24" spans="1:8" ht="12.65" customHeight="1">
      <c r="A24" s="60">
        <v>8</v>
      </c>
      <c r="B24" s="155">
        <f>IF(A24&gt;C9,0,SUM(C148:C159)*($C$6/$C$7))</f>
        <v>0</v>
      </c>
      <c r="C24" s="158">
        <f>IF(A24&gt;C9,0,(E147+K147)*$C$8)</f>
        <v>0</v>
      </c>
      <c r="D24" s="3333">
        <f t="shared" si="0"/>
        <v>0</v>
      </c>
      <c r="E24" s="3333"/>
      <c r="F24" s="162"/>
      <c r="G24" s="162"/>
      <c r="H24" s="162"/>
    </row>
    <row r="25" spans="1:8" ht="12.65" customHeight="1">
      <c r="A25" s="60">
        <v>9</v>
      </c>
      <c r="B25" s="155">
        <f>IF(A25&gt;C9,0,SUM(C160:C171)*($C$6/$C$7))</f>
        <v>0</v>
      </c>
      <c r="C25" s="158">
        <f>IF(A25&gt;C9,0,(E159+K159)*$C$8)</f>
        <v>0</v>
      </c>
      <c r="D25" s="3333">
        <f t="shared" si="0"/>
        <v>0</v>
      </c>
      <c r="E25" s="3333"/>
      <c r="F25" s="162"/>
      <c r="G25" s="162"/>
      <c r="H25" s="162"/>
    </row>
    <row r="26" spans="1:8" ht="12.65" customHeight="1">
      <c r="A26" s="159">
        <v>10</v>
      </c>
      <c r="B26" s="160">
        <f>IF(A26&gt;C9,0,SUM(C172:C183)*($C$6/$C$7))</f>
        <v>0</v>
      </c>
      <c r="C26" s="172">
        <f>IF(A26&gt;C9,0,(E171+K171)*$C$8)</f>
        <v>0</v>
      </c>
      <c r="D26" s="3334">
        <f t="shared" si="0"/>
        <v>0</v>
      </c>
      <c r="E26" s="3334"/>
      <c r="F26" s="162"/>
      <c r="G26" s="162"/>
      <c r="H26" s="162"/>
    </row>
    <row r="27" spans="1:8" ht="12.65" customHeight="1">
      <c r="A27" s="60">
        <v>11</v>
      </c>
      <c r="B27" s="155">
        <f>IF(A27&gt;C9,0,SUM(C184:C195)*($C$6/$C$7))</f>
        <v>0</v>
      </c>
      <c r="C27" s="158">
        <f>IF(A27&gt;C9,0,(E183+K183)*$C$8)</f>
        <v>0</v>
      </c>
      <c r="D27" s="3333">
        <f t="shared" si="0"/>
        <v>0</v>
      </c>
      <c r="E27" s="3333"/>
      <c r="F27" s="162"/>
      <c r="G27" s="162"/>
      <c r="H27" s="162"/>
    </row>
    <row r="28" spans="1:8" ht="12.65" customHeight="1">
      <c r="A28" s="60">
        <v>12</v>
      </c>
      <c r="B28" s="155">
        <f>IF(A28&gt;C9,0,SUM(C196:C207)*($C$6/$C$7))</f>
        <v>0</v>
      </c>
      <c r="C28" s="158">
        <f>IF(A28&gt;C9,0,(E195+K195)*$C$8)</f>
        <v>0</v>
      </c>
      <c r="D28" s="3333">
        <f t="shared" si="0"/>
        <v>0</v>
      </c>
      <c r="E28" s="3333"/>
      <c r="F28" s="162"/>
      <c r="G28" s="162"/>
      <c r="H28" s="162"/>
    </row>
    <row r="29" spans="1:8" ht="12.65" customHeight="1">
      <c r="A29" s="60">
        <v>13</v>
      </c>
      <c r="B29" s="155">
        <f>IF(A29&gt;C9,0,SUM(C208:C219)*($C$6/$C$7))</f>
        <v>0</v>
      </c>
      <c r="C29" s="158">
        <f>IF(A29&gt;C9,0,(E207+K207)*$C$8)</f>
        <v>0</v>
      </c>
      <c r="D29" s="3333">
        <f t="shared" si="0"/>
        <v>0</v>
      </c>
      <c r="E29" s="3333"/>
      <c r="F29" s="162"/>
      <c r="G29" s="162"/>
      <c r="H29" s="162"/>
    </row>
    <row r="30" spans="1:8" ht="12.65" customHeight="1">
      <c r="A30" s="60">
        <v>14</v>
      </c>
      <c r="B30" s="155">
        <f>IF(A30&gt;C9,0,SUM(C220:C231)*($C$6/$C$7))</f>
        <v>0</v>
      </c>
      <c r="C30" s="158">
        <f>IF(A30&gt;C9,0,(E219+K219)*$C$8)</f>
        <v>0</v>
      </c>
      <c r="D30" s="3333">
        <f t="shared" si="0"/>
        <v>0</v>
      </c>
      <c r="E30" s="3333"/>
      <c r="F30" s="162"/>
      <c r="G30" s="162"/>
      <c r="H30" s="162"/>
    </row>
    <row r="31" spans="1:8" ht="12.65" customHeight="1">
      <c r="A31" s="60">
        <v>15</v>
      </c>
      <c r="B31" s="155">
        <f>IF(A31&gt;C9,0,SUM(C232:C243)*($C$6/$C$7))</f>
        <v>0</v>
      </c>
      <c r="C31" s="158">
        <f>IF(A31&gt;C9,0,(E231+K231)*$C$8)</f>
        <v>0</v>
      </c>
      <c r="D31" s="3334">
        <f t="shared" si="0"/>
        <v>0</v>
      </c>
      <c r="E31" s="3334"/>
      <c r="F31" s="162"/>
      <c r="G31" s="162"/>
      <c r="H31" s="162"/>
    </row>
    <row r="32" spans="1:8" ht="12.65" customHeight="1">
      <c r="A32" s="156">
        <v>16</v>
      </c>
      <c r="B32" s="157">
        <f>IF(A32&gt;C9,0,SUM(C244:C255)*($C$6/$C$7))</f>
        <v>0</v>
      </c>
      <c r="C32" s="173">
        <f>IF(A32&gt;C9,0,(E243+K243)*$C$8)</f>
        <v>0</v>
      </c>
      <c r="D32" s="3333">
        <f t="shared" si="0"/>
        <v>0</v>
      </c>
      <c r="E32" s="3333"/>
      <c r="F32" s="162"/>
      <c r="G32" s="162"/>
      <c r="H32" s="162"/>
    </row>
    <row r="33" spans="1:8" ht="12.65" customHeight="1">
      <c r="A33" s="60">
        <v>17</v>
      </c>
      <c r="B33" s="155">
        <f>IF(A33&gt;C9,0,SUM(C256:C267)*($C$6/$C$7))</f>
        <v>0</v>
      </c>
      <c r="C33" s="158">
        <f>IF(A33&gt;C9,0,(E255+K255)*$C$8)</f>
        <v>0</v>
      </c>
      <c r="D33" s="3333">
        <f t="shared" si="0"/>
        <v>0</v>
      </c>
      <c r="E33" s="3333"/>
      <c r="F33" s="162"/>
      <c r="G33" s="162"/>
      <c r="H33" s="162"/>
    </row>
    <row r="34" spans="1:8" ht="12.65" customHeight="1">
      <c r="A34" s="60">
        <v>18</v>
      </c>
      <c r="B34" s="155">
        <f>IF(A34&gt;C9,0,SUM(C268:C279)*($C$6/$C$7))</f>
        <v>0</v>
      </c>
      <c r="C34" s="158">
        <f>IF(A34&gt;C9,0,(E267+K267)*$C$8)</f>
        <v>0</v>
      </c>
      <c r="D34" s="3333">
        <f t="shared" si="0"/>
        <v>0</v>
      </c>
      <c r="E34" s="3333"/>
      <c r="F34" s="162"/>
      <c r="G34" s="162"/>
      <c r="H34" s="162"/>
    </row>
    <row r="35" spans="1:8" ht="12.65" customHeight="1">
      <c r="A35" s="60">
        <v>19</v>
      </c>
      <c r="B35" s="155">
        <f>IF(A35&gt;C9,0,SUM(C280:C291)*($C$6/$C$7))</f>
        <v>0</v>
      </c>
      <c r="C35" s="158">
        <f>IF(A35&gt;C9,0,(E279+K279)*$C$8)</f>
        <v>0</v>
      </c>
      <c r="D35" s="3333">
        <f t="shared" si="0"/>
        <v>0</v>
      </c>
      <c r="E35" s="3333"/>
      <c r="F35" s="162"/>
      <c r="G35" s="162"/>
      <c r="H35" s="162"/>
    </row>
    <row r="36" spans="1:8" ht="12.65" customHeight="1">
      <c r="A36" s="159">
        <v>20</v>
      </c>
      <c r="B36" s="160">
        <f>IF(A36&gt;C9,0,SUM(C292:C303)*($C$6/$C$7))</f>
        <v>0</v>
      </c>
      <c r="C36" s="172">
        <f>IF(A36&gt;C9,0,(E291+K291)*$C$8)</f>
        <v>0</v>
      </c>
      <c r="D36" s="3334">
        <f t="shared" si="0"/>
        <v>0</v>
      </c>
      <c r="E36" s="3334"/>
      <c r="F36" s="162"/>
      <c r="G36" s="162"/>
      <c r="H36" s="162"/>
    </row>
    <row r="37" spans="1:8" ht="12.65" customHeight="1">
      <c r="A37" s="60">
        <v>21</v>
      </c>
      <c r="B37" s="157">
        <f>IF(A37&gt;C9,0,SUM(C293:C304)*($C$6/$C$7))</f>
        <v>0</v>
      </c>
      <c r="C37" s="173">
        <f>IF(A37&gt;C9,0,(E303+K303)*$C$8)</f>
        <v>0</v>
      </c>
      <c r="D37" s="3335">
        <f t="shared" si="0"/>
        <v>0</v>
      </c>
      <c r="E37" s="3335"/>
      <c r="F37" s="162"/>
      <c r="G37" s="162"/>
      <c r="H37" s="162"/>
    </row>
    <row r="38" spans="1:8" ht="12.65" customHeight="1">
      <c r="A38" s="60">
        <v>22</v>
      </c>
      <c r="B38" s="155">
        <f>IF(A38&gt;C9,0,SUM(C294:C305)*($C$6/$C$7))</f>
        <v>0</v>
      </c>
      <c r="C38" s="158">
        <f>IF(A38&gt;C9,0,(E315+K315)*$C$8)</f>
        <v>0</v>
      </c>
      <c r="D38" s="3333">
        <f t="shared" si="0"/>
        <v>0</v>
      </c>
      <c r="E38" s="3333"/>
      <c r="F38" s="162"/>
      <c r="G38" s="162"/>
      <c r="H38" s="162"/>
    </row>
    <row r="39" spans="1:8" ht="12.65" customHeight="1">
      <c r="A39" s="60">
        <v>23</v>
      </c>
      <c r="B39" s="155">
        <f>IF(A39&gt;C9,0,SUM(C295:C306)*($C$6/$C$7))</f>
        <v>0</v>
      </c>
      <c r="C39" s="158">
        <f>IF(A39&gt;C9,0,(E327+K327)*$C$8)</f>
        <v>0</v>
      </c>
      <c r="D39" s="3333">
        <f t="shared" si="0"/>
        <v>0</v>
      </c>
      <c r="E39" s="3333"/>
      <c r="F39" s="162"/>
      <c r="G39" s="162"/>
      <c r="H39" s="162"/>
    </row>
    <row r="40" spans="1:8" ht="12.65" customHeight="1">
      <c r="A40" s="60">
        <v>24</v>
      </c>
      <c r="B40" s="155">
        <f>IF(A40&gt;C9,0,SUM(C296:C307)*($C$6/$C$7))</f>
        <v>0</v>
      </c>
      <c r="C40" s="158">
        <f>IF(A40&gt;C9,0,(E339+K339)*$C$8)</f>
        <v>0</v>
      </c>
      <c r="D40" s="3333">
        <f t="shared" si="0"/>
        <v>0</v>
      </c>
      <c r="E40" s="3333"/>
      <c r="F40" s="162"/>
      <c r="G40" s="162"/>
      <c r="H40" s="162"/>
    </row>
    <row r="41" spans="1:8" ht="12.65" customHeight="1">
      <c r="A41" s="60">
        <v>25</v>
      </c>
      <c r="B41" s="160">
        <f>IF(A41&gt;C9,0,SUM(C297:C308)*($C$6/$C$7))</f>
        <v>0</v>
      </c>
      <c r="C41" s="172">
        <f>IF(A41&gt;C9,0,(E351+K351)*$C$8)</f>
        <v>0</v>
      </c>
      <c r="D41" s="3334">
        <f t="shared" si="0"/>
        <v>0</v>
      </c>
      <c r="E41" s="3334"/>
      <c r="F41" s="162"/>
      <c r="G41" s="162"/>
      <c r="H41" s="162"/>
    </row>
    <row r="42" spans="1:8" ht="12.65" customHeight="1">
      <c r="A42" s="156">
        <v>26</v>
      </c>
      <c r="B42" s="157">
        <f>IF(A42&gt;C9,0,SUM(C298:C309)*($C$6/$C$7))</f>
        <v>0</v>
      </c>
      <c r="C42" s="173">
        <f>IF(A42&gt;C9,0,(E363+K363)*$C$8)</f>
        <v>0</v>
      </c>
      <c r="D42" s="3335">
        <f t="shared" si="0"/>
        <v>0</v>
      </c>
      <c r="E42" s="3335"/>
      <c r="F42" s="162"/>
      <c r="G42" s="162"/>
      <c r="H42" s="162"/>
    </row>
    <row r="43" spans="1:8" ht="12.65" customHeight="1">
      <c r="A43" s="60">
        <v>27</v>
      </c>
      <c r="B43" s="155">
        <f>IF(A43&gt;C9,0,SUM(C299:C310)*($C$6/$C$7))</f>
        <v>0</v>
      </c>
      <c r="C43" s="158">
        <f>IF(A43&gt;C9,0,(E375+K375)*$C$8)</f>
        <v>0</v>
      </c>
      <c r="D43" s="3333">
        <f t="shared" si="0"/>
        <v>0</v>
      </c>
      <c r="E43" s="3333"/>
      <c r="F43" s="162"/>
      <c r="G43" s="162"/>
      <c r="H43" s="162"/>
    </row>
    <row r="44" spans="1:8" ht="12.65" customHeight="1">
      <c r="A44" s="60">
        <v>28</v>
      </c>
      <c r="B44" s="155">
        <f>IF(A44&gt;C9,0,SUM(C300:C311)*($C$6/$C$7))</f>
        <v>0</v>
      </c>
      <c r="C44" s="158">
        <f>IF(A44&gt;C9,0,(E387+K387)*$C$8)</f>
        <v>0</v>
      </c>
      <c r="D44" s="3333">
        <f t="shared" si="0"/>
        <v>0</v>
      </c>
      <c r="E44" s="3333"/>
      <c r="F44" s="162"/>
      <c r="G44" s="162"/>
      <c r="H44" s="162"/>
    </row>
    <row r="45" spans="1:8" ht="12.65" customHeight="1">
      <c r="A45" s="60">
        <v>29</v>
      </c>
      <c r="B45" s="155">
        <f>IF(A45&gt;C9,0,SUM(C301:C312)*($C$6/$C$7))</f>
        <v>0</v>
      </c>
      <c r="C45" s="158">
        <f>IF(A45&gt;C9,0,(E411+K411)*$C$8)</f>
        <v>0</v>
      </c>
      <c r="D45" s="3333">
        <f t="shared" si="0"/>
        <v>0</v>
      </c>
      <c r="E45" s="3333"/>
      <c r="F45" s="162"/>
      <c r="G45" s="162"/>
      <c r="H45" s="162"/>
    </row>
    <row r="46" spans="1:8" ht="12.65" customHeight="1">
      <c r="A46" s="159">
        <v>30</v>
      </c>
      <c r="B46" s="160">
        <f>IF(A46&gt;C9,0,SUM(C302:C313)*($C$6/$C$7))</f>
        <v>0</v>
      </c>
      <c r="C46" s="172">
        <f>IF(A46&gt;C9,0,(E423+K423)*$C$8)</f>
        <v>0</v>
      </c>
      <c r="D46" s="3334">
        <f t="shared" si="0"/>
        <v>0</v>
      </c>
      <c r="E46" s="3334"/>
      <c r="F46" s="162"/>
      <c r="G46" s="162"/>
      <c r="H46" s="162"/>
    </row>
    <row r="47" spans="1:8" ht="12.65" customHeight="1">
      <c r="A47" s="156">
        <v>31</v>
      </c>
      <c r="B47" s="157">
        <f>IF(A47&gt;C9,0,SUM(C303:C314)*($C$6/$C$7))</f>
        <v>0</v>
      </c>
      <c r="C47" s="173">
        <f>IF(A47&gt;C9,0,(E435+K435)*$C$8)</f>
        <v>0</v>
      </c>
      <c r="D47" s="3335">
        <f t="shared" si="0"/>
        <v>0</v>
      </c>
      <c r="E47" s="3335"/>
      <c r="F47" s="162"/>
      <c r="G47" s="162"/>
      <c r="H47" s="162"/>
    </row>
    <row r="48" spans="1:8" ht="12.65" customHeight="1">
      <c r="A48" s="60">
        <v>32</v>
      </c>
      <c r="B48" s="155">
        <f>IF(A48&gt;C9,0,SUM(C304:C315)*($C$6/$C$7))</f>
        <v>0</v>
      </c>
      <c r="C48" s="158">
        <f>IF(A48&gt;C9,0,(E447+K447)*$C$8)</f>
        <v>0</v>
      </c>
      <c r="D48" s="3333">
        <f t="shared" si="0"/>
        <v>0</v>
      </c>
      <c r="E48" s="3333"/>
      <c r="F48" s="162"/>
      <c r="G48" s="162"/>
      <c r="H48" s="162"/>
    </row>
    <row r="49" spans="1:12" ht="12.65" customHeight="1">
      <c r="A49" s="60">
        <v>33</v>
      </c>
      <c r="B49" s="155">
        <f>IF(A49&gt;C9,0,SUM(C305:C316)*($C$6/$C$7))</f>
        <v>0</v>
      </c>
      <c r="C49" s="158">
        <f>IF(A49&gt;C9,0,(E459+K459)*$C$8)</f>
        <v>0</v>
      </c>
      <c r="D49" s="3333">
        <f t="shared" si="0"/>
        <v>0</v>
      </c>
      <c r="E49" s="3333"/>
      <c r="F49" s="162"/>
      <c r="G49" s="162"/>
      <c r="H49" s="162"/>
    </row>
    <row r="50" spans="1:12" ht="12.65" customHeight="1">
      <c r="A50" s="60">
        <v>34</v>
      </c>
      <c r="B50" s="155">
        <f>IF(A50&gt;C9,0,SUM(C306:C317)*($C$6/$C$7))</f>
        <v>0</v>
      </c>
      <c r="C50" s="158">
        <f>IF(A50&gt;C9,0,(E471+K471)*$C$8)</f>
        <v>0</v>
      </c>
      <c r="D50" s="3333">
        <f t="shared" si="0"/>
        <v>0</v>
      </c>
      <c r="E50" s="3333"/>
      <c r="F50" s="162"/>
      <c r="G50" s="162"/>
      <c r="H50" s="162"/>
    </row>
    <row r="51" spans="1:12" ht="12.65" customHeight="1">
      <c r="A51" s="159">
        <v>35</v>
      </c>
      <c r="B51" s="160">
        <f>IF(A51&gt;C9,0,SUM(C307:C318)*($C$6/$C$7))</f>
        <v>0</v>
      </c>
      <c r="C51" s="172">
        <f>IF(A51&gt;C9,0,(E483+K483)*$C$8)</f>
        <v>0</v>
      </c>
      <c r="D51" s="3334">
        <f t="shared" si="0"/>
        <v>0</v>
      </c>
      <c r="E51" s="3334"/>
      <c r="F51" s="162"/>
      <c r="G51" s="162"/>
      <c r="H51" s="162"/>
    </row>
    <row r="52" spans="1:12" ht="12.65" customHeight="1">
      <c r="A52" s="156">
        <v>36</v>
      </c>
      <c r="B52" s="157">
        <f>IF(A52&gt;C9,0,SUM(C308:C319)*($C$6/$C$7))</f>
        <v>0</v>
      </c>
      <c r="C52" s="173">
        <f>IF(A52&gt;C9,0,(E495+K495)*$C$8)</f>
        <v>0</v>
      </c>
      <c r="D52" s="3335">
        <f t="shared" si="0"/>
        <v>0</v>
      </c>
      <c r="E52" s="3335"/>
      <c r="F52" s="162"/>
      <c r="G52" s="162"/>
      <c r="H52" s="162"/>
    </row>
    <row r="53" spans="1:12" ht="12.65" customHeight="1">
      <c r="A53" s="60">
        <v>37</v>
      </c>
      <c r="B53" s="155">
        <f>IF(A53&gt;C9,0,SUM(C309:C320)*($C$6/$C$7))</f>
        <v>0</v>
      </c>
      <c r="C53" s="158">
        <f>IF(A53&gt;C9,0,(E507+K507)*$C$8)</f>
        <v>0</v>
      </c>
      <c r="D53" s="3333">
        <f t="shared" si="0"/>
        <v>0</v>
      </c>
      <c r="E53" s="3333"/>
      <c r="F53" s="162"/>
      <c r="G53" s="162"/>
      <c r="H53" s="162"/>
    </row>
    <row r="54" spans="1:12" ht="12.65" customHeight="1">
      <c r="A54" s="60">
        <v>38</v>
      </c>
      <c r="B54" s="155">
        <f>IF(A54&gt;C9,0,SUM(C310:C321)*($C$6/$C$7))</f>
        <v>0</v>
      </c>
      <c r="C54" s="158">
        <f>IF(A54&gt;C9,0,(E519+K519)*$C$8)</f>
        <v>0</v>
      </c>
      <c r="D54" s="3333">
        <f t="shared" si="0"/>
        <v>0</v>
      </c>
      <c r="E54" s="3333"/>
      <c r="F54" s="162"/>
      <c r="G54" s="162"/>
      <c r="H54" s="162"/>
    </row>
    <row r="55" spans="1:12" ht="12.65" customHeight="1">
      <c r="A55" s="60">
        <v>39</v>
      </c>
      <c r="B55" s="155">
        <f>IF(A55&gt;C9,0,SUM(C311:C322)*($C$6/$C$7))</f>
        <v>0</v>
      </c>
      <c r="C55" s="158">
        <f>IF(A55&gt;C9,0,(E531+K531)*$C$8)</f>
        <v>0</v>
      </c>
      <c r="D55" s="3333">
        <f t="shared" si="0"/>
        <v>0</v>
      </c>
      <c r="E55" s="3333"/>
      <c r="F55" s="162"/>
      <c r="G55" s="162"/>
      <c r="H55" s="162"/>
    </row>
    <row r="56" spans="1:12" ht="12.65" customHeight="1">
      <c r="A56" s="159">
        <v>40</v>
      </c>
      <c r="B56" s="160">
        <f>IF(A56&gt;C9,0,SUM(C312:C323)*($C$6/$C$7))</f>
        <v>0</v>
      </c>
      <c r="C56" s="172">
        <f>IF(A56&gt;C9,0,(E543+K543)*$C$8)</f>
        <v>0</v>
      </c>
      <c r="D56" s="3334">
        <f t="shared" si="0"/>
        <v>0</v>
      </c>
      <c r="E56" s="3334"/>
      <c r="F56" s="162"/>
      <c r="G56" s="162"/>
      <c r="H56" s="162"/>
    </row>
    <row r="57" spans="1:12" ht="3" customHeight="1">
      <c r="A57" s="162"/>
      <c r="B57" s="162"/>
      <c r="C57" s="162"/>
      <c r="D57" s="162"/>
      <c r="E57" s="162"/>
      <c r="F57" s="162"/>
      <c r="G57" s="162"/>
      <c r="H57" s="162"/>
    </row>
    <row r="58" spans="1:12" ht="13.4" customHeight="1">
      <c r="A58" s="3337" t="e">
        <f>CONCATENATE(#REF!," ",#REF!,", ",#REF!,", ",#REF!," County")</f>
        <v>#REF!</v>
      </c>
      <c r="B58" s="3337"/>
      <c r="C58" s="3337"/>
      <c r="D58" s="3337"/>
      <c r="E58" s="3337"/>
      <c r="F58" s="3337"/>
      <c r="G58" s="3337" t="e">
        <f>CONCATENATE(#REF!," ",#REF!,", ",#REF!,", ",#REF!," County")</f>
        <v>#REF!</v>
      </c>
      <c r="H58" s="3337"/>
      <c r="I58" s="3337"/>
      <c r="J58" s="3337"/>
      <c r="K58" s="3337"/>
      <c r="L58" s="3337"/>
    </row>
    <row r="59" spans="1:12" ht="14">
      <c r="A59" s="3338" t="s">
        <v>2269</v>
      </c>
      <c r="B59" s="3338"/>
      <c r="C59" s="3338"/>
      <c r="D59" s="3338"/>
      <c r="E59" s="3338"/>
      <c r="F59" s="3338"/>
      <c r="G59" s="3338" t="s">
        <v>2269</v>
      </c>
      <c r="H59" s="3338"/>
      <c r="I59" s="3338"/>
      <c r="J59" s="3338"/>
      <c r="K59" s="3338"/>
      <c r="L59" s="3338"/>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30" t="e">
        <f>CONCATENATE("PART III C  - HUD INSURED LOAN","  -  ",#REF!," ",#REF!,", ",#REF!,", ",#REF!," County")</f>
        <v>#REF!</v>
      </c>
      <c r="B1" s="3331"/>
      <c r="C1" s="3331"/>
      <c r="D1" s="3331"/>
      <c r="E1" s="3331"/>
      <c r="F1" s="3332"/>
      <c r="G1" s="139"/>
      <c r="H1" s="139"/>
      <c r="I1" s="139"/>
      <c r="J1" s="139"/>
      <c r="K1" s="139"/>
      <c r="L1" s="139"/>
      <c r="M1" s="139"/>
      <c r="N1" s="139"/>
      <c r="O1" s="139"/>
      <c r="P1" s="139"/>
      <c r="Q1" s="139"/>
    </row>
    <row r="2" spans="1:17" ht="13">
      <c r="A2" s="10"/>
    </row>
    <row r="3" spans="1:17" ht="15.65" customHeight="1">
      <c r="A3" s="3338" t="s">
        <v>210</v>
      </c>
      <c r="B3" s="3338"/>
      <c r="C3" s="3338"/>
      <c r="D3" s="3338"/>
      <c r="E3" s="3338"/>
      <c r="F3" s="3338"/>
      <c r="G3" s="189"/>
      <c r="H3" s="189"/>
    </row>
    <row r="4" spans="1:17" ht="13">
      <c r="A4" s="10"/>
    </row>
    <row r="5" spans="1:17" ht="13.4" customHeight="1">
      <c r="A5" t="s">
        <v>2078</v>
      </c>
      <c r="D5" s="183"/>
      <c r="E5" s="3341" t="s">
        <v>894</v>
      </c>
      <c r="F5" s="3342"/>
      <c r="G5" s="126"/>
    </row>
    <row r="6" spans="1:17">
      <c r="E6" s="3342"/>
      <c r="F6" s="3342"/>
      <c r="G6" s="126"/>
    </row>
    <row r="7" spans="1:17">
      <c r="A7" t="s">
        <v>2261</v>
      </c>
      <c r="C7" t="s">
        <v>2262</v>
      </c>
      <c r="D7" s="184"/>
      <c r="E7" s="3342"/>
      <c r="F7" s="3342"/>
      <c r="G7" s="126"/>
    </row>
    <row r="8" spans="1:17">
      <c r="C8" t="s">
        <v>2263</v>
      </c>
      <c r="D8" s="184"/>
      <c r="E8" s="3342"/>
      <c r="F8" s="3342"/>
      <c r="G8" s="126"/>
    </row>
    <row r="9" spans="1:17">
      <c r="C9" t="s">
        <v>2264</v>
      </c>
      <c r="D9" s="184"/>
      <c r="E9" s="3342"/>
      <c r="F9" s="3342"/>
      <c r="G9" s="126"/>
    </row>
    <row r="10" spans="1:17">
      <c r="C10" t="s">
        <v>2277</v>
      </c>
      <c r="D10" s="190">
        <f>D7+D8+D9</f>
        <v>0</v>
      </c>
      <c r="E10" s="3342"/>
      <c r="F10" s="3342"/>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339" t="s">
        <v>1594</v>
      </c>
      <c r="B24" s="3339"/>
      <c r="C24" s="3339"/>
      <c r="D24" s="3339"/>
      <c r="E24" s="3339"/>
      <c r="F24" s="3339"/>
      <c r="J24" s="192"/>
    </row>
    <row r="25" spans="1:10">
      <c r="C25" s="161"/>
      <c r="J25" s="192"/>
    </row>
    <row r="26" spans="1:10">
      <c r="A26" s="82"/>
      <c r="B26" s="60"/>
      <c r="C26" s="3343" t="s">
        <v>2077</v>
      </c>
      <c r="D26" s="188"/>
      <c r="E26" s="60"/>
      <c r="F26" s="3343" t="s">
        <v>2077</v>
      </c>
      <c r="J26" s="192"/>
    </row>
    <row r="27" spans="1:10" ht="13">
      <c r="A27" s="193" t="s">
        <v>2278</v>
      </c>
      <c r="B27" s="24" t="s">
        <v>961</v>
      </c>
      <c r="C27" s="3344"/>
      <c r="D27" s="194" t="s">
        <v>2278</v>
      </c>
      <c r="E27" s="24" t="s">
        <v>961</v>
      </c>
      <c r="F27" s="3344"/>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37" t="e">
        <f>CONCATENATE(#REF!," ",#REF!,", ",#REF!,", ",#REF!," County")</f>
        <v>#REF!</v>
      </c>
      <c r="B50" s="3337"/>
      <c r="C50" s="3337"/>
      <c r="D50" s="3337"/>
      <c r="E50" s="3337"/>
      <c r="F50" s="3337"/>
      <c r="G50" s="41"/>
      <c r="H50" s="41"/>
    </row>
    <row r="51" spans="1:10" ht="14">
      <c r="A51" s="3338" t="s">
        <v>2269</v>
      </c>
      <c r="B51" s="3338"/>
      <c r="C51" s="3338"/>
      <c r="D51" s="3338"/>
      <c r="E51" s="3338"/>
      <c r="F51" s="3338"/>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51" workbookViewId="0">
      <selection activeCell="G97" sqref="G97:H97"/>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2512"/>
    <col min="54" max="16384" width="9.26953125" style="145"/>
  </cols>
  <sheetData>
    <row r="1" spans="1:53" s="728" customFormat="1" hidden="1">
      <c r="G1" s="728" t="s">
        <v>4227</v>
      </c>
      <c r="J1" s="728" t="s">
        <v>4228</v>
      </c>
      <c r="M1" s="728" t="s">
        <v>4229</v>
      </c>
      <c r="N1" s="728" t="s">
        <v>4230</v>
      </c>
      <c r="P1" s="728" t="s">
        <v>4231</v>
      </c>
      <c r="Q1" s="728" t="s">
        <v>4232</v>
      </c>
      <c r="S1" s="728" t="s">
        <v>4233</v>
      </c>
      <c r="AZ1" s="2512"/>
      <c r="BA1" s="2513">
        <v>1</v>
      </c>
    </row>
    <row r="2" spans="1:53" s="144" customFormat="1" ht="13.5" customHeight="1">
      <c r="A2" s="3345" t="str">
        <f>CONCATENATE("PART THREE (A):  USES OF FUNDS","  -  ",'Part I-Project Identification'!$O$7," ",'Part I-Project Identification'!$F$26,", ",'Part I-Project Identification'!F27,", ",'Part I-Project Identification'!J27," County")</f>
        <v>PART THREE (A):  USES OF FUNDS  -  2025-5 Princeton Court, College Park, Fulton County</v>
      </c>
      <c r="B2" s="3346"/>
      <c r="C2" s="3346"/>
      <c r="D2" s="3346"/>
      <c r="E2" s="3346"/>
      <c r="F2" s="3346"/>
      <c r="G2" s="3346"/>
      <c r="H2" s="3346"/>
      <c r="I2" s="3346"/>
      <c r="J2" s="3346"/>
      <c r="K2" s="3346"/>
      <c r="L2" s="3346"/>
      <c r="M2" s="3346"/>
      <c r="N2" s="3346"/>
      <c r="O2" s="3346"/>
      <c r="P2" s="3346"/>
      <c r="Q2" s="3346"/>
      <c r="R2" s="3346"/>
      <c r="S2" s="3346"/>
      <c r="T2" s="3346"/>
      <c r="W2" s="3347" t="str">
        <f>A2</f>
        <v>PART THREE (A):  USES OF FUNDS  -  2025-5 Princeton Court, College Park, Fulton County</v>
      </c>
      <c r="X2" s="3347"/>
      <c r="AZ2" s="2514"/>
      <c r="BA2" s="2513">
        <v>2</v>
      </c>
    </row>
    <row r="3" spans="1:53" ht="2.25" customHeight="1">
      <c r="BA3" s="2513">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514"/>
      <c r="BA4" s="2513">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2514"/>
      <c r="BA5" s="2513">
        <v>5</v>
      </c>
    </row>
    <row r="6" spans="1:53" s="144" customFormat="1" ht="19.5" customHeight="1" thickBot="1">
      <c r="A6" s="342" t="s">
        <v>572</v>
      </c>
      <c r="B6" s="342" t="s">
        <v>841</v>
      </c>
      <c r="D6" s="3348" t="str">
        <f>'Part I-Project Identification'!$A$6</f>
        <v>August 11, 2025</v>
      </c>
      <c r="E6" s="3348"/>
      <c r="F6" s="3348"/>
      <c r="G6" s="3348"/>
      <c r="H6" s="3348"/>
      <c r="I6" s="375"/>
      <c r="J6" s="3349" t="s">
        <v>259</v>
      </c>
      <c r="K6" s="3350"/>
      <c r="L6" s="280"/>
      <c r="M6" s="3353" t="s">
        <v>459</v>
      </c>
      <c r="N6" s="3354"/>
      <c r="P6" s="3349" t="s">
        <v>260</v>
      </c>
      <c r="Q6" s="3350"/>
      <c r="S6" s="3349" t="s">
        <v>261</v>
      </c>
      <c r="T6" s="3350"/>
      <c r="V6" s="343" t="str">
        <f>B6</f>
        <v>DEVELOPMENT BUDGET</v>
      </c>
      <c r="AZ6" s="2514"/>
      <c r="BA6" s="2513">
        <v>6</v>
      </c>
    </row>
    <row r="7" spans="1:53" s="144" customFormat="1" ht="19.5" customHeight="1" thickBot="1">
      <c r="D7" s="1161"/>
      <c r="E7" s="1161"/>
      <c r="F7" s="1161"/>
      <c r="G7" s="3357" t="s">
        <v>95</v>
      </c>
      <c r="H7" s="3358"/>
      <c r="J7" s="3351"/>
      <c r="K7" s="3352"/>
      <c r="L7" s="280"/>
      <c r="M7" s="3355"/>
      <c r="N7" s="3356"/>
      <c r="P7" s="3351"/>
      <c r="Q7" s="3352"/>
      <c r="S7" s="3351"/>
      <c r="T7" s="3352"/>
      <c r="V7" s="253" t="s">
        <v>2441</v>
      </c>
      <c r="X7" s="253"/>
      <c r="AZ7" s="2514"/>
      <c r="BA7" s="2513">
        <v>7</v>
      </c>
    </row>
    <row r="8" spans="1:53" s="144" customFormat="1" ht="12" customHeight="1">
      <c r="B8" s="243" t="s">
        <v>96</v>
      </c>
      <c r="O8" s="374" t="str">
        <f>B8</f>
        <v>PRE-DEVELOPMENT COSTS</v>
      </c>
      <c r="W8" s="144" t="str">
        <f>B8</f>
        <v>PRE-DEVELOPMENT COSTS</v>
      </c>
      <c r="AZ8" s="2514"/>
      <c r="BA8" s="2513">
        <v>8</v>
      </c>
    </row>
    <row r="9" spans="1:53" s="144" customFormat="1" ht="11.25" customHeight="1">
      <c r="B9" s="144" t="s">
        <v>1850</v>
      </c>
      <c r="G9" s="3361">
        <v>15300</v>
      </c>
      <c r="H9" s="3362"/>
      <c r="J9" s="3361"/>
      <c r="K9" s="3362"/>
      <c r="L9" s="811"/>
      <c r="M9" s="3361"/>
      <c r="N9" s="3362"/>
      <c r="P9" s="3361">
        <f>G9</f>
        <v>15300</v>
      </c>
      <c r="Q9" s="3362"/>
      <c r="S9" s="3361"/>
      <c r="T9" s="3362"/>
      <c r="V9" s="832"/>
      <c r="W9" s="3359"/>
      <c r="X9" s="3360"/>
      <c r="AZ9" s="2514"/>
      <c r="BA9" s="2513">
        <v>9</v>
      </c>
    </row>
    <row r="10" spans="1:53" s="144" customFormat="1" ht="11.25" customHeight="1">
      <c r="B10" s="144" t="s">
        <v>430</v>
      </c>
      <c r="G10" s="3245">
        <v>20400</v>
      </c>
      <c r="H10" s="3246"/>
      <c r="J10" s="3245"/>
      <c r="K10" s="3246"/>
      <c r="L10" s="811"/>
      <c r="M10" s="3245"/>
      <c r="N10" s="3246"/>
      <c r="P10" s="3245">
        <f>G10</f>
        <v>20400</v>
      </c>
      <c r="Q10" s="3246"/>
      <c r="S10" s="3245"/>
      <c r="T10" s="3246"/>
      <c r="V10" s="832"/>
      <c r="W10" s="3359"/>
      <c r="X10" s="3360"/>
      <c r="AZ10" s="2514"/>
      <c r="BA10" s="2513">
        <v>10</v>
      </c>
    </row>
    <row r="11" spans="1:53" s="144" customFormat="1" ht="11.25" customHeight="1">
      <c r="B11" s="144" t="s">
        <v>457</v>
      </c>
      <c r="G11" s="3245">
        <v>71700</v>
      </c>
      <c r="H11" s="3246"/>
      <c r="J11" s="3245"/>
      <c r="K11" s="3246"/>
      <c r="L11" s="811"/>
      <c r="M11" s="3245"/>
      <c r="N11" s="3246"/>
      <c r="P11" s="3245">
        <f>G11</f>
        <v>71700</v>
      </c>
      <c r="Q11" s="3246"/>
      <c r="S11" s="3245"/>
      <c r="T11" s="3246"/>
      <c r="V11" s="832"/>
      <c r="W11" s="3359"/>
      <c r="X11" s="3360"/>
      <c r="AZ11" s="2514"/>
      <c r="BA11" s="2513">
        <v>11</v>
      </c>
    </row>
    <row r="12" spans="1:53" s="144" customFormat="1" ht="11.25" customHeight="1">
      <c r="B12" s="144" t="s">
        <v>458</v>
      </c>
      <c r="G12" s="3245"/>
      <c r="H12" s="3246"/>
      <c r="J12" s="3245"/>
      <c r="K12" s="3246"/>
      <c r="L12" s="811"/>
      <c r="M12" s="3245"/>
      <c r="N12" s="3246"/>
      <c r="P12" s="3245"/>
      <c r="Q12" s="3246"/>
      <c r="S12" s="3245"/>
      <c r="T12" s="3246"/>
      <c r="V12" s="832"/>
      <c r="W12" s="3359"/>
      <c r="X12" s="3360"/>
      <c r="AZ12" s="2514"/>
      <c r="BA12" s="2513">
        <v>12</v>
      </c>
    </row>
    <row r="13" spans="1:53" s="144" customFormat="1" ht="11.25" customHeight="1">
      <c r="B13" s="144" t="s">
        <v>2295</v>
      </c>
      <c r="G13" s="3245">
        <f>26350-G84</f>
        <v>16350</v>
      </c>
      <c r="H13" s="3246"/>
      <c r="J13" s="3245"/>
      <c r="K13" s="3246"/>
      <c r="L13" s="811"/>
      <c r="M13" s="3245"/>
      <c r="N13" s="3246"/>
      <c r="P13" s="3245">
        <f>G13</f>
        <v>16350</v>
      </c>
      <c r="Q13" s="3246"/>
      <c r="S13" s="3245"/>
      <c r="T13" s="3246"/>
      <c r="V13" s="832"/>
      <c r="W13" s="3359"/>
      <c r="X13" s="3360"/>
      <c r="AZ13" s="2514"/>
      <c r="BA13" s="2513">
        <v>13</v>
      </c>
    </row>
    <row r="14" spans="1:53" s="144" customFormat="1" ht="11.25" customHeight="1">
      <c r="B14" s="144" t="s">
        <v>183</v>
      </c>
      <c r="G14" s="3245"/>
      <c r="H14" s="3246"/>
      <c r="J14" s="3245"/>
      <c r="K14" s="3246"/>
      <c r="L14" s="811"/>
      <c r="M14" s="3245"/>
      <c r="N14" s="3246"/>
      <c r="P14" s="3245"/>
      <c r="Q14" s="3246"/>
      <c r="S14" s="3245"/>
      <c r="T14" s="3246"/>
      <c r="V14" s="832"/>
      <c r="W14" s="3359"/>
      <c r="X14" s="3360"/>
      <c r="AZ14" s="2514"/>
      <c r="BA14" s="2513">
        <v>14</v>
      </c>
    </row>
    <row r="15" spans="1:53" s="144" customFormat="1" ht="11.25" customHeight="1">
      <c r="A15" s="303" t="str">
        <f>IF(AND(G15&gt;0,OR(C15="",C15="&lt;Enter detailed description here; use Comments section if needed&gt;")),"X","")</f>
        <v/>
      </c>
      <c r="B15" s="147" t="s">
        <v>4165</v>
      </c>
      <c r="C15" s="3363" t="s">
        <v>5226</v>
      </c>
      <c r="D15" s="3363"/>
      <c r="E15" s="3363"/>
      <c r="F15" s="3364"/>
      <c r="G15" s="3245">
        <f>6750+6750+6450+6000</f>
        <v>25950</v>
      </c>
      <c r="H15" s="3246"/>
      <c r="J15" s="3245"/>
      <c r="K15" s="3246"/>
      <c r="L15" s="811"/>
      <c r="M15" s="3245"/>
      <c r="N15" s="3246"/>
      <c r="P15" s="3245">
        <f>G15</f>
        <v>25950</v>
      </c>
      <c r="Q15" s="3246"/>
      <c r="S15" s="3245"/>
      <c r="T15" s="3246"/>
      <c r="U15" s="302" t="str">
        <f>IF(AND(G15&gt;0,OR(C15="",C15="&lt;Enter detailed description here; use Comments section if needed&gt;")),"NO DESCRIPTION PROVIDED - please enter detailed description in Other box at left; use Comments section below if needed.","")</f>
        <v/>
      </c>
      <c r="V15" s="833"/>
      <c r="W15" s="3359"/>
      <c r="X15" s="3360"/>
      <c r="AZ15" s="2514" t="s">
        <v>4259</v>
      </c>
      <c r="BA15" s="2513">
        <v>15</v>
      </c>
    </row>
    <row r="16" spans="1:53" s="144" customFormat="1" ht="11.25" customHeight="1">
      <c r="A16" s="303" t="str">
        <f>IF(AND(G16&gt;0,OR(C16="",C16="&lt;Enter detailed description here; use Comments section if needed&gt;")),"X","")</f>
        <v/>
      </c>
      <c r="B16" s="147" t="s">
        <v>4166</v>
      </c>
      <c r="C16" s="3363" t="s">
        <v>4605</v>
      </c>
      <c r="D16" s="3363"/>
      <c r="E16" s="3363"/>
      <c r="F16" s="3364"/>
      <c r="G16" s="3245"/>
      <c r="H16" s="3246"/>
      <c r="J16" s="3245"/>
      <c r="K16" s="3246"/>
      <c r="L16" s="811"/>
      <c r="M16" s="3245"/>
      <c r="N16" s="3246"/>
      <c r="P16" s="3245"/>
      <c r="Q16" s="3246"/>
      <c r="S16" s="3245"/>
      <c r="T16" s="3246"/>
      <c r="U16" s="302" t="str">
        <f>IF(AND(G16&gt;0,OR(C16="",C16="&lt;Enter detailed description here; use Comments section if needed&gt;")),"NO DESCRIPTION PROVIDED - please enter detailed description in Other box at left; use Comments section below if needed.","")</f>
        <v/>
      </c>
      <c r="V16" s="833"/>
      <c r="W16" s="3359"/>
      <c r="X16" s="3360"/>
      <c r="AZ16" s="2514" t="s">
        <v>4260</v>
      </c>
      <c r="BA16" s="2513">
        <v>16</v>
      </c>
    </row>
    <row r="17" spans="1:53" s="144" customFormat="1" ht="11.25" customHeight="1" thickBot="1">
      <c r="A17" s="303" t="str">
        <f>IF(AND(G17&gt;0,OR(C17="",C17="&lt;Enter detailed description here; use Comments section if needed&gt;")),"X","")</f>
        <v/>
      </c>
      <c r="B17" s="147" t="s">
        <v>4167</v>
      </c>
      <c r="C17" s="3363" t="s">
        <v>4605</v>
      </c>
      <c r="D17" s="3363"/>
      <c r="E17" s="3363"/>
      <c r="F17" s="3364"/>
      <c r="G17" s="3371"/>
      <c r="H17" s="3372"/>
      <c r="J17" s="3371"/>
      <c r="K17" s="3372"/>
      <c r="L17" s="811"/>
      <c r="M17" s="3371"/>
      <c r="N17" s="3372"/>
      <c r="P17" s="3371"/>
      <c r="Q17" s="3372"/>
      <c r="S17" s="3371"/>
      <c r="T17" s="3372"/>
      <c r="U17" s="302" t="str">
        <f>IF(AND(G17&gt;0,OR(C17="",C17="&lt;Enter detailed description here; use Comments section if needed&gt;")),"NO DESCRIPTION PROVIDED - please enter detailed description in Other box at left; use Comments section below if needed.","")</f>
        <v/>
      </c>
      <c r="V17" s="833"/>
      <c r="W17" s="3365"/>
      <c r="X17" s="3366"/>
      <c r="AZ17" s="2514" t="s">
        <v>4261</v>
      </c>
      <c r="BA17" s="2513">
        <v>17</v>
      </c>
    </row>
    <row r="18" spans="1:53" s="144" customFormat="1" ht="12.65" customHeight="1" thickTop="1">
      <c r="F18" s="281" t="s">
        <v>184</v>
      </c>
      <c r="G18" s="3367">
        <f>SUM(G9:G17)</f>
        <v>149700</v>
      </c>
      <c r="H18" s="3368"/>
      <c r="J18" s="3367">
        <f>SUM(J9:J17)</f>
        <v>0</v>
      </c>
      <c r="K18" s="3368"/>
      <c r="L18" s="811"/>
      <c r="M18" s="3367">
        <f>SUM(M9:M17)</f>
        <v>0</v>
      </c>
      <c r="N18" s="3368"/>
      <c r="P18" s="3367">
        <f>SUM(P9:P17)</f>
        <v>149700</v>
      </c>
      <c r="Q18" s="3368"/>
      <c r="S18" s="3367">
        <f>SUM(S9:S17)</f>
        <v>0</v>
      </c>
      <c r="T18" s="3368"/>
      <c r="V18" s="834">
        <f>SUM(V9:V17)</f>
        <v>0</v>
      </c>
      <c r="W18" s="3369"/>
      <c r="X18" s="3370"/>
      <c r="AZ18" s="2514" t="s">
        <v>4262</v>
      </c>
      <c r="BA18" s="2513">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514"/>
      <c r="BA19" s="2513">
        <v>19</v>
      </c>
    </row>
    <row r="20" spans="1:53" s="144" customFormat="1" ht="11.25" customHeight="1">
      <c r="B20" s="144" t="s">
        <v>2033</v>
      </c>
      <c r="E20" s="644" t="s">
        <v>3137</v>
      </c>
      <c r="F20" s="1789">
        <f>IF('Part I-Project Identification'!$O$28="","",G20/'Part I-Project Identification'!$O$28)</f>
        <v>220852.01793721973</v>
      </c>
      <c r="G20" s="3361">
        <v>985000</v>
      </c>
      <c r="H20" s="3362"/>
      <c r="J20" s="283"/>
      <c r="K20" s="280"/>
      <c r="L20" s="283"/>
      <c r="M20" s="283"/>
      <c r="N20" s="280"/>
      <c r="P20" s="283"/>
      <c r="Q20" s="280"/>
      <c r="S20" s="3361">
        <f>G20</f>
        <v>985000</v>
      </c>
      <c r="T20" s="3362"/>
      <c r="V20" s="832"/>
      <c r="W20" s="3359"/>
      <c r="X20" s="3360"/>
      <c r="AZ20" s="2514"/>
      <c r="BA20" s="2513">
        <v>20</v>
      </c>
    </row>
    <row r="21" spans="1:53" s="144" customFormat="1" ht="11.25" customHeight="1">
      <c r="B21" s="144" t="s">
        <v>1053</v>
      </c>
      <c r="G21" s="3245"/>
      <c r="H21" s="3246"/>
      <c r="J21" s="283"/>
      <c r="K21" s="280"/>
      <c r="L21" s="283"/>
      <c r="M21" s="283"/>
      <c r="N21" s="280"/>
      <c r="P21" s="283"/>
      <c r="Q21" s="280"/>
      <c r="S21" s="3245"/>
      <c r="T21" s="3246"/>
      <c r="V21" s="832"/>
      <c r="W21" s="3359"/>
      <c r="X21" s="3360"/>
      <c r="AZ21" s="2514"/>
      <c r="BA21" s="2513">
        <v>21</v>
      </c>
    </row>
    <row r="22" spans="1:53" s="144" customFormat="1" ht="11.25" customHeight="1">
      <c r="B22" s="144" t="s">
        <v>431</v>
      </c>
      <c r="G22" s="3245"/>
      <c r="H22" s="3246"/>
      <c r="J22" s="283"/>
      <c r="K22" s="280"/>
      <c r="L22" s="283"/>
      <c r="M22" s="3361"/>
      <c r="N22" s="3362"/>
      <c r="P22" s="283"/>
      <c r="Q22" s="280"/>
      <c r="S22" s="3245"/>
      <c r="T22" s="3246"/>
      <c r="V22" s="832"/>
      <c r="W22" s="3359"/>
      <c r="X22" s="3360"/>
      <c r="AZ22" s="2514"/>
      <c r="BA22" s="2513">
        <v>22</v>
      </c>
    </row>
    <row r="23" spans="1:53" s="144" customFormat="1" ht="11.25" customHeight="1" thickBot="1">
      <c r="B23" s="144" t="s">
        <v>404</v>
      </c>
      <c r="G23" s="3371">
        <v>13435000</v>
      </c>
      <c r="H23" s="3372"/>
      <c r="J23" s="283"/>
      <c r="K23" s="280"/>
      <c r="L23" s="283"/>
      <c r="M23" s="3371">
        <f>G23</f>
        <v>13435000</v>
      </c>
      <c r="N23" s="3372"/>
      <c r="P23" s="283"/>
      <c r="Q23" s="280"/>
      <c r="S23" s="3371"/>
      <c r="T23" s="3372"/>
      <c r="V23" s="832"/>
      <c r="W23" s="3365"/>
      <c r="X23" s="3366"/>
      <c r="AZ23" s="2514"/>
      <c r="BA23" s="2513">
        <v>23</v>
      </c>
    </row>
    <row r="24" spans="1:53" s="144" customFormat="1" ht="12.65" customHeight="1" thickTop="1">
      <c r="F24" s="281" t="s">
        <v>184</v>
      </c>
      <c r="G24" s="3367">
        <f>SUM(G20:G23)</f>
        <v>14420000</v>
      </c>
      <c r="H24" s="3368"/>
      <c r="J24" s="283"/>
      <c r="K24" s="280"/>
      <c r="L24" s="283"/>
      <c r="M24" s="3367">
        <f>SUM(M22:M23)</f>
        <v>13435000</v>
      </c>
      <c r="N24" s="3368"/>
      <c r="P24" s="283"/>
      <c r="Q24" s="280"/>
      <c r="S24" s="3367">
        <f>SUM(S20:S23)</f>
        <v>985000</v>
      </c>
      <c r="T24" s="3368"/>
      <c r="V24" s="834">
        <f>SUM(V20:V23)</f>
        <v>0</v>
      </c>
      <c r="W24" s="3369"/>
      <c r="X24" s="3370"/>
      <c r="AZ24" s="2514" t="s">
        <v>4263</v>
      </c>
      <c r="BA24" s="2513">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514"/>
      <c r="BA25" s="2513">
        <v>25</v>
      </c>
    </row>
    <row r="26" spans="1:53" s="144" customFormat="1" ht="11.25" customHeight="1">
      <c r="B26" s="144" t="s">
        <v>1055</v>
      </c>
      <c r="E26" s="644" t="s">
        <v>3137</v>
      </c>
      <c r="F26" s="1789">
        <f>IF('Part I-Project Identification'!$O$28="","",G26/'Part I-Project Identification'!$O$28)</f>
        <v>137656.27802690584</v>
      </c>
      <c r="G26" s="3361">
        <v>613947</v>
      </c>
      <c r="H26" s="3362"/>
      <c r="J26" s="3361"/>
      <c r="K26" s="3362"/>
      <c r="L26" s="811"/>
      <c r="M26" s="3373"/>
      <c r="N26" s="3374"/>
      <c r="P26" s="3373">
        <f>G26</f>
        <v>613947</v>
      </c>
      <c r="Q26" s="3374"/>
      <c r="S26" s="3361"/>
      <c r="T26" s="3362"/>
      <c r="V26" s="832"/>
      <c r="W26" s="3359"/>
      <c r="X26" s="3360"/>
      <c r="AZ26" s="2514"/>
      <c r="BA26" s="2513">
        <v>26</v>
      </c>
    </row>
    <row r="27" spans="1:53" s="144" customFormat="1" ht="11.25" customHeight="1" thickBot="1">
      <c r="B27" s="144" t="s">
        <v>1056</v>
      </c>
      <c r="G27" s="3371"/>
      <c r="H27" s="3372"/>
      <c r="J27" s="3371"/>
      <c r="K27" s="3372"/>
      <c r="L27" s="284"/>
      <c r="M27" s="3375"/>
      <c r="N27" s="3375"/>
      <c r="P27" s="3375"/>
      <c r="Q27" s="3375"/>
      <c r="S27" s="3371"/>
      <c r="T27" s="3372"/>
      <c r="V27" s="832"/>
      <c r="W27" s="3365"/>
      <c r="X27" s="3366"/>
      <c r="AZ27" s="2514"/>
      <c r="BA27" s="2513">
        <v>27</v>
      </c>
    </row>
    <row r="28" spans="1:53" s="144" customFormat="1" ht="12.65" customHeight="1" thickTop="1">
      <c r="F28" s="281" t="s">
        <v>184</v>
      </c>
      <c r="G28" s="3367">
        <f>SUM(G26:G27)</f>
        <v>613947</v>
      </c>
      <c r="H28" s="3368"/>
      <c r="J28" s="3367">
        <f>SUM(J26:J27)</f>
        <v>0</v>
      </c>
      <c r="K28" s="3368"/>
      <c r="L28" s="283"/>
      <c r="M28" s="3367">
        <f>M26</f>
        <v>0</v>
      </c>
      <c r="N28" s="3368"/>
      <c r="P28" s="3367">
        <f>P26</f>
        <v>613947</v>
      </c>
      <c r="Q28" s="3368"/>
      <c r="S28" s="3367">
        <f>SUM(S26:S27)</f>
        <v>0</v>
      </c>
      <c r="T28" s="3368"/>
      <c r="V28" s="834">
        <f>SUM(V26:V27)</f>
        <v>0</v>
      </c>
      <c r="W28" s="3369"/>
      <c r="X28" s="3370"/>
      <c r="AZ28" s="2514" t="s">
        <v>4264</v>
      </c>
      <c r="BA28" s="2513">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514"/>
      <c r="BA29" s="2513">
        <v>29</v>
      </c>
    </row>
    <row r="30" spans="1:53" s="144" customFormat="1" ht="11.25" customHeight="1">
      <c r="B30" s="144" t="s">
        <v>1058</v>
      </c>
      <c r="G30" s="3361"/>
      <c r="H30" s="3362"/>
      <c r="J30" s="3361"/>
      <c r="K30" s="3362"/>
      <c r="L30" s="811"/>
      <c r="M30" s="3361"/>
      <c r="N30" s="3362"/>
      <c r="P30" s="3361"/>
      <c r="Q30" s="3362"/>
      <c r="S30" s="3361"/>
      <c r="T30" s="3362"/>
      <c r="V30" s="832"/>
      <c r="W30" s="3359"/>
      <c r="X30" s="3360"/>
      <c r="AZ30" s="2514"/>
      <c r="BA30" s="2513">
        <v>30</v>
      </c>
    </row>
    <row r="31" spans="1:53" s="144" customFormat="1" ht="11.25" customHeight="1">
      <c r="B31" s="144" t="s">
        <v>1059</v>
      </c>
      <c r="G31" s="3245">
        <f>10710664+220400+174000+2</f>
        <v>11105066</v>
      </c>
      <c r="H31" s="3246"/>
      <c r="J31" s="3245"/>
      <c r="K31" s="3246"/>
      <c r="L31" s="811"/>
      <c r="M31" s="3245"/>
      <c r="N31" s="3246"/>
      <c r="P31" s="3245">
        <f>G31</f>
        <v>11105066</v>
      </c>
      <c r="Q31" s="3246"/>
      <c r="S31" s="3245"/>
      <c r="T31" s="3246"/>
      <c r="V31" s="832"/>
      <c r="W31" s="3359"/>
      <c r="X31" s="3360"/>
      <c r="AZ31" s="2514"/>
      <c r="BA31" s="2513">
        <v>31</v>
      </c>
    </row>
    <row r="32" spans="1:53" s="144" customFormat="1" ht="11.25" customHeight="1">
      <c r="B32" s="144" t="s">
        <v>3986</v>
      </c>
      <c r="G32" s="3245"/>
      <c r="H32" s="3246"/>
      <c r="J32" s="3245"/>
      <c r="K32" s="3246"/>
      <c r="L32" s="811"/>
      <c r="M32" s="3245"/>
      <c r="N32" s="3246"/>
      <c r="P32" s="3245"/>
      <c r="Q32" s="3246"/>
      <c r="S32" s="3245"/>
      <c r="T32" s="3246"/>
      <c r="V32" s="832"/>
      <c r="W32" s="3359"/>
      <c r="X32" s="3360"/>
      <c r="AZ32" s="2514"/>
      <c r="BA32" s="2513">
        <v>32</v>
      </c>
    </row>
    <row r="33" spans="1:53" s="144" customFormat="1" ht="11.25" customHeight="1">
      <c r="B33" s="144" t="s">
        <v>3984</v>
      </c>
      <c r="G33" s="3245"/>
      <c r="H33" s="3246"/>
      <c r="J33" s="3245"/>
      <c r="K33" s="3246"/>
      <c r="L33" s="811"/>
      <c r="M33" s="3245"/>
      <c r="N33" s="3246"/>
      <c r="P33" s="3245"/>
      <c r="Q33" s="3246"/>
      <c r="S33" s="3245"/>
      <c r="T33" s="3246"/>
      <c r="V33" s="832"/>
      <c r="W33" s="3359"/>
      <c r="X33" s="3360"/>
      <c r="AZ33" s="2514"/>
      <c r="BA33" s="2513">
        <v>33</v>
      </c>
    </row>
    <row r="34" spans="1:53" ht="11.25" customHeight="1">
      <c r="B34" s="144" t="s">
        <v>2488</v>
      </c>
      <c r="G34" s="3245"/>
      <c r="H34" s="3246"/>
      <c r="I34" s="144"/>
      <c r="J34" s="3245"/>
      <c r="K34" s="3246"/>
      <c r="L34" s="811"/>
      <c r="M34" s="3245"/>
      <c r="N34" s="3246"/>
      <c r="O34" s="144"/>
      <c r="P34" s="3245"/>
      <c r="Q34" s="3246"/>
      <c r="R34" s="144"/>
      <c r="S34" s="3245"/>
      <c r="T34" s="3246"/>
      <c r="V34" s="832"/>
      <c r="W34" s="3365"/>
      <c r="X34" s="3366"/>
      <c r="BA34" s="2513">
        <v>34</v>
      </c>
    </row>
    <row r="35" spans="1:53" ht="11.25" customHeight="1" thickBot="1">
      <c r="B35" s="144" t="s">
        <v>3985</v>
      </c>
      <c r="G35" s="3376"/>
      <c r="H35" s="3377"/>
      <c r="I35" s="144"/>
      <c r="J35" s="3376"/>
      <c r="K35" s="3377"/>
      <c r="L35" s="811"/>
      <c r="M35" s="3376"/>
      <c r="N35" s="3377"/>
      <c r="O35" s="144"/>
      <c r="P35" s="3376"/>
      <c r="Q35" s="3377"/>
      <c r="R35" s="144"/>
      <c r="S35" s="3376"/>
      <c r="T35" s="3377"/>
      <c r="V35" s="832"/>
      <c r="W35" s="3365"/>
      <c r="X35" s="3366"/>
      <c r="BA35" s="2513">
        <v>35</v>
      </c>
    </row>
    <row r="36" spans="1:53" s="144" customFormat="1" ht="12.65" customHeight="1" thickTop="1">
      <c r="C36" s="3379"/>
      <c r="D36" s="3379"/>
      <c r="E36" s="812"/>
      <c r="F36" s="281" t="s">
        <v>184</v>
      </c>
      <c r="G36" s="3367">
        <f>SUM(G30:G35)</f>
        <v>11105066</v>
      </c>
      <c r="H36" s="3368"/>
      <c r="J36" s="3367">
        <f>SUM(J30:J35)</f>
        <v>0</v>
      </c>
      <c r="K36" s="3368"/>
      <c r="L36" s="811"/>
      <c r="M36" s="3367">
        <f>SUM(M30:M35)</f>
        <v>0</v>
      </c>
      <c r="N36" s="3368"/>
      <c r="P36" s="3367">
        <f>SUM(P30:P35)</f>
        <v>11105066</v>
      </c>
      <c r="Q36" s="3368"/>
      <c r="S36" s="3367">
        <f>SUM(S30:S35)</f>
        <v>0</v>
      </c>
      <c r="T36" s="3368"/>
      <c r="V36" s="834">
        <f>SUM(V30:V35)</f>
        <v>0</v>
      </c>
      <c r="W36" s="3369"/>
      <c r="X36" s="3370"/>
      <c r="AZ36" s="2514" t="s">
        <v>4265</v>
      </c>
      <c r="BA36" s="2513">
        <v>36</v>
      </c>
    </row>
    <row r="37" spans="1:53" s="144" customFormat="1" ht="12" customHeight="1">
      <c r="B37" s="243" t="s">
        <v>2157</v>
      </c>
      <c r="D37" s="3378" t="s">
        <v>3141</v>
      </c>
      <c r="E37" s="3378"/>
      <c r="F37" s="743">
        <f>SUM(F38:F40)</f>
        <v>0.13999984469681875</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514"/>
      <c r="BA37" s="2513">
        <v>37</v>
      </c>
    </row>
    <row r="38" spans="1:53" s="144" customFormat="1" ht="11.25" customHeight="1">
      <c r="B38" s="144" t="s">
        <v>2158</v>
      </c>
      <c r="D38" s="1836">
        <f>'DCA Underwriting Assumptions'!$R$52</f>
        <v>0.06</v>
      </c>
      <c r="E38" s="1837">
        <f>ROUNDDOWN(D38*(G28+G36),0)</f>
        <v>703140</v>
      </c>
      <c r="F38" s="1838">
        <f>IF(($G$28+$G$36)=0,0,G38/($G$28+$G$36))</f>
        <v>5.999993344149375E-2</v>
      </c>
      <c r="G38" s="3361">
        <v>703140</v>
      </c>
      <c r="H38" s="3362"/>
      <c r="I38" s="145"/>
      <c r="J38" s="3361"/>
      <c r="K38" s="3362"/>
      <c r="L38" s="811"/>
      <c r="M38" s="3361"/>
      <c r="N38" s="3362"/>
      <c r="P38" s="3361">
        <f>G38</f>
        <v>703140</v>
      </c>
      <c r="Q38" s="3362"/>
      <c r="S38" s="3361"/>
      <c r="T38" s="3362"/>
      <c r="V38" s="832"/>
      <c r="W38" s="3359"/>
      <c r="X38" s="3360"/>
      <c r="AZ38" s="2514"/>
      <c r="BA38" s="2513">
        <v>38</v>
      </c>
    </row>
    <row r="39" spans="1:53" s="144" customFormat="1" ht="11.25" customHeight="1">
      <c r="B39" s="144" t="s">
        <v>2469</v>
      </c>
      <c r="D39" s="1836">
        <f>'DCA Underwriting Assumptions'!$R$53</f>
        <v>0.02</v>
      </c>
      <c r="E39" s="1837">
        <f>ROUNDDOWN(D39*(G28+G36),0)</f>
        <v>234380</v>
      </c>
      <c r="F39" s="1838">
        <f>IF(($G$28+$G$36)=0,0,G39/($G$28+$G$36))</f>
        <v>1.9999977813831251E-2</v>
      </c>
      <c r="G39" s="3245">
        <v>234380</v>
      </c>
      <c r="H39" s="3246"/>
      <c r="I39" s="145"/>
      <c r="J39" s="3245"/>
      <c r="K39" s="3246"/>
      <c r="L39" s="811"/>
      <c r="M39" s="3245"/>
      <c r="N39" s="3246"/>
      <c r="P39" s="3245">
        <f t="shared" ref="P39:P40" si="0">G39</f>
        <v>234380</v>
      </c>
      <c r="Q39" s="3246"/>
      <c r="S39" s="3245"/>
      <c r="T39" s="3246"/>
      <c r="V39" s="832"/>
      <c r="W39" s="3359"/>
      <c r="X39" s="3360"/>
      <c r="AZ39" s="2514"/>
      <c r="BA39" s="2513">
        <v>39</v>
      </c>
    </row>
    <row r="40" spans="1:53" s="144" customFormat="1" ht="11.25" customHeight="1" thickBot="1">
      <c r="B40" s="144" t="s">
        <v>2470</v>
      </c>
      <c r="D40" s="1839">
        <f>'DCA Underwriting Assumptions'!$R$54</f>
        <v>0.06</v>
      </c>
      <c r="E40" s="1840">
        <f>ROUNDDOWN(D40*(G28+G36),0)</f>
        <v>703140</v>
      </c>
      <c r="F40" s="1841">
        <f>IF(($G$28+$G$36)=0,0,G40/($G$28+$G$36))</f>
        <v>5.999993344149375E-2</v>
      </c>
      <c r="G40" s="3371">
        <v>703140</v>
      </c>
      <c r="H40" s="3372"/>
      <c r="I40" s="145"/>
      <c r="J40" s="3371"/>
      <c r="K40" s="3372"/>
      <c r="L40" s="811"/>
      <c r="M40" s="3371"/>
      <c r="N40" s="3372"/>
      <c r="P40" s="3371">
        <f t="shared" si="0"/>
        <v>703140</v>
      </c>
      <c r="Q40" s="3372"/>
      <c r="S40" s="3371"/>
      <c r="T40" s="3372"/>
      <c r="V40" s="832"/>
      <c r="W40" s="3365"/>
      <c r="X40" s="3366"/>
      <c r="AZ40" s="2514"/>
      <c r="BA40" s="2513">
        <v>40</v>
      </c>
    </row>
    <row r="41" spans="1:53" s="144" customFormat="1" ht="12.65" customHeight="1" thickTop="1">
      <c r="B41" s="147" t="s">
        <v>3142</v>
      </c>
      <c r="D41" s="744">
        <f>SUM(D38:D40)</f>
        <v>0.14000000000000001</v>
      </c>
      <c r="E41" s="745">
        <f>SUM(E38:E40)</f>
        <v>1640660</v>
      </c>
      <c r="F41" s="1835" t="s">
        <v>184</v>
      </c>
      <c r="G41" s="3367">
        <f>SUM(G38:G40)</f>
        <v>1640660</v>
      </c>
      <c r="H41" s="3368"/>
      <c r="J41" s="3367">
        <f>SUM(J38:J40)</f>
        <v>0</v>
      </c>
      <c r="K41" s="3368"/>
      <c r="L41" s="283"/>
      <c r="M41" s="3367">
        <f>SUM(M38:M40)</f>
        <v>0</v>
      </c>
      <c r="N41" s="3368"/>
      <c r="P41" s="3367">
        <f>SUM(P38:P40)</f>
        <v>1640660</v>
      </c>
      <c r="Q41" s="3368"/>
      <c r="S41" s="3367">
        <f>SUM(S38:S40)</f>
        <v>0</v>
      </c>
      <c r="T41" s="3368"/>
      <c r="V41" s="834">
        <f>SUM(V38:V40)</f>
        <v>0</v>
      </c>
      <c r="W41" s="3369"/>
      <c r="X41" s="3370"/>
      <c r="AZ41" s="2514" t="s">
        <v>4266</v>
      </c>
      <c r="BA41" s="2513">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514"/>
      <c r="BA42" s="2513">
        <v>42</v>
      </c>
    </row>
    <row r="43" spans="1:53" s="144" customFormat="1">
      <c r="A43" s="374"/>
      <c r="C43" s="1550" t="s">
        <v>4383</v>
      </c>
      <c r="D43" s="1614"/>
      <c r="E43" s="1551"/>
      <c r="F43" s="1551"/>
      <c r="G43" s="3380">
        <f>G28+G36+G41</f>
        <v>13359673</v>
      </c>
      <c r="H43" s="3381"/>
      <c r="I43" s="374"/>
      <c r="J43" s="374"/>
      <c r="K43" s="374"/>
      <c r="L43" s="374"/>
      <c r="M43" s="374"/>
      <c r="N43" s="374"/>
      <c r="O43" s="374"/>
      <c r="P43" s="374"/>
      <c r="Q43" s="374"/>
      <c r="R43" s="374"/>
      <c r="S43" s="374"/>
      <c r="T43" s="374"/>
      <c r="V43" s="835"/>
      <c r="AZ43" s="2514"/>
      <c r="BA43" s="2513">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512" t="s">
        <v>4267</v>
      </c>
      <c r="BA44" s="2513">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514"/>
      <c r="BA45" s="2513">
        <v>45</v>
      </c>
    </row>
    <row r="46" spans="1:53" ht="11.25" customHeight="1">
      <c r="B46" s="147" t="s">
        <v>4168</v>
      </c>
      <c r="C46" s="3363" t="s">
        <v>4605</v>
      </c>
      <c r="D46" s="3382"/>
      <c r="E46" s="3382"/>
      <c r="F46" s="3383"/>
      <c r="G46" s="3384"/>
      <c r="H46" s="3385"/>
      <c r="I46" s="144"/>
      <c r="J46" s="3384"/>
      <c r="K46" s="3385"/>
      <c r="L46" s="811"/>
      <c r="M46" s="3384"/>
      <c r="N46" s="3385"/>
      <c r="O46" s="144"/>
      <c r="P46" s="3384"/>
      <c r="Q46" s="3385"/>
      <c r="R46" s="144"/>
      <c r="S46" s="3384"/>
      <c r="T46" s="3385"/>
      <c r="V46" s="832"/>
      <c r="W46" s="3386"/>
      <c r="X46" s="3387"/>
      <c r="AZ46" s="2514"/>
      <c r="BA46" s="2513">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388"/>
      <c r="X47" s="3389"/>
      <c r="AZ47" s="2514" t="s">
        <v>4268</v>
      </c>
      <c r="BA47" s="2513">
        <v>47</v>
      </c>
    </row>
    <row r="48" spans="1:53" s="144" customFormat="1" ht="12.65" customHeight="1">
      <c r="B48" s="1567" t="s">
        <v>2473</v>
      </c>
      <c r="C48" s="1568"/>
      <c r="E48" s="3392" t="s">
        <v>2472</v>
      </c>
      <c r="F48" s="1569">
        <f>C49/'Part V-Revenues &amp; Expenses'!$P$74</f>
        <v>116171.06956521739</v>
      </c>
      <c r="G48" s="1570" t="s">
        <v>2486</v>
      </c>
      <c r="H48" s="1571"/>
      <c r="I48" s="1571"/>
      <c r="J48" s="3394">
        <f>C49/'Part V-Revenues &amp; Expenses'!$P$76</f>
        <v>115169.5948275862</v>
      </c>
      <c r="K48" s="3394"/>
      <c r="L48" s="1571"/>
      <c r="M48" s="3395" t="s">
        <v>4369</v>
      </c>
      <c r="N48" s="3395"/>
      <c r="O48" s="1571"/>
      <c r="P48" s="3394">
        <f>C49/'Part V-Revenues &amp; Expenses'!$K$197</f>
        <v>104.32109977120636</v>
      </c>
      <c r="Q48" s="3394"/>
      <c r="R48" s="1571"/>
      <c r="S48" s="3396" t="s">
        <v>4371</v>
      </c>
      <c r="T48" s="3397"/>
      <c r="V48" s="835"/>
      <c r="W48" s="3388"/>
      <c r="X48" s="3389"/>
      <c r="AZ48" s="2514"/>
      <c r="BA48" s="2513">
        <v>48</v>
      </c>
    </row>
    <row r="49" spans="1:53" s="144" customFormat="1" ht="12.65" customHeight="1">
      <c r="B49" s="1616" t="s">
        <v>4382</v>
      </c>
      <c r="C49" s="1615">
        <f>G28+G36+G41+G46</f>
        <v>13359673</v>
      </c>
      <c r="E49" s="3393"/>
      <c r="F49" s="1572">
        <f>C49/'Part V-Revenues &amp; Expenses'!$P$188</f>
        <v>138.96928245989972</v>
      </c>
      <c r="G49" s="1573" t="s">
        <v>2487</v>
      </c>
      <c r="H49" s="1574"/>
      <c r="I49" s="1574"/>
      <c r="J49" s="3398">
        <f>C49/'Part V-Revenues &amp; Expenses'!$P$190</f>
        <v>137.60658591351998</v>
      </c>
      <c r="K49" s="3398"/>
      <c r="L49" s="1574"/>
      <c r="M49" s="3399" t="s">
        <v>4370</v>
      </c>
      <c r="N49" s="3399"/>
      <c r="O49" s="1574"/>
      <c r="P49" s="1574"/>
      <c r="Q49" s="1574"/>
      <c r="R49" s="1574"/>
      <c r="S49" s="1574"/>
      <c r="T49" s="1575"/>
      <c r="V49" s="835"/>
      <c r="W49" s="3390"/>
      <c r="X49" s="3391"/>
      <c r="AZ49" s="2514"/>
      <c r="BA49" s="2513">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514"/>
      <c r="BA50" s="2513">
        <v>50</v>
      </c>
    </row>
    <row r="51" spans="1:53" s="144" customFormat="1" ht="18.75" customHeight="1" thickBot="1">
      <c r="A51" s="342" t="s">
        <v>572</v>
      </c>
      <c r="B51" s="342" t="s">
        <v>2518</v>
      </c>
      <c r="J51" s="3349" t="s">
        <v>259</v>
      </c>
      <c r="K51" s="3350"/>
      <c r="L51" s="280"/>
      <c r="M51" s="3353" t="s">
        <v>459</v>
      </c>
      <c r="N51" s="3354"/>
      <c r="P51" s="3349" t="s">
        <v>260</v>
      </c>
      <c r="Q51" s="3350"/>
      <c r="S51" s="3349" t="s">
        <v>261</v>
      </c>
      <c r="T51" s="3350"/>
      <c r="V51" s="835"/>
      <c r="W51" s="343" t="str">
        <f>B51</f>
        <v>DEVELOPMENT BUDGET (cont'd)</v>
      </c>
      <c r="AZ51" s="2514"/>
      <c r="BA51" s="2513">
        <v>51</v>
      </c>
    </row>
    <row r="52" spans="1:53" s="144" customFormat="1" ht="18.75" customHeight="1" thickBot="1">
      <c r="G52" s="3357" t="s">
        <v>95</v>
      </c>
      <c r="H52" s="3358"/>
      <c r="J52" s="3351"/>
      <c r="K52" s="3352"/>
      <c r="L52" s="280"/>
      <c r="M52" s="3355"/>
      <c r="N52" s="3356"/>
      <c r="P52" s="3351"/>
      <c r="Q52" s="3352"/>
      <c r="S52" s="3351"/>
      <c r="T52" s="3352"/>
      <c r="V52" s="835"/>
      <c r="W52" s="3400" t="s">
        <v>2441</v>
      </c>
      <c r="X52" s="3400"/>
      <c r="AZ52" s="2514"/>
      <c r="BA52" s="2513">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512"/>
      <c r="BA53" s="2513">
        <v>53</v>
      </c>
    </row>
    <row r="54" spans="1:53" s="144" customFormat="1" ht="12" customHeight="1">
      <c r="B54" s="243" t="s">
        <v>4190</v>
      </c>
      <c r="F54" s="231" t="s">
        <v>3323</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514"/>
      <c r="BA54" s="2513">
        <v>54</v>
      </c>
    </row>
    <row r="55" spans="1:53" ht="11.25" customHeight="1">
      <c r="B55" s="144" t="s">
        <v>1816</v>
      </c>
      <c r="D55" s="644" t="s">
        <v>3322</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1335967.3</v>
      </c>
      <c r="F55" s="1648">
        <f>G55/C49</f>
        <v>9.999997754436056E-2</v>
      </c>
      <c r="G55" s="3384">
        <v>1335967</v>
      </c>
      <c r="H55" s="3385"/>
      <c r="I55" s="144"/>
      <c r="J55" s="3384"/>
      <c r="K55" s="3385"/>
      <c r="L55" s="811"/>
      <c r="M55" s="3384"/>
      <c r="N55" s="3385"/>
      <c r="O55" s="144"/>
      <c r="P55" s="3384">
        <f>G55</f>
        <v>1335967</v>
      </c>
      <c r="Q55" s="3385"/>
      <c r="R55" s="144"/>
      <c r="S55" s="3384"/>
      <c r="T55" s="3385"/>
      <c r="V55" s="832"/>
      <c r="W55" s="3359"/>
      <c r="X55" s="3360"/>
      <c r="AZ55" s="2514"/>
      <c r="BA55" s="2513">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386"/>
      <c r="X56" s="3387"/>
      <c r="AZ56" s="2514"/>
      <c r="BA56" s="2513">
        <v>56</v>
      </c>
    </row>
    <row r="57" spans="1:53" s="144" customFormat="1" ht="12.65" customHeight="1">
      <c r="B57" s="1576" t="s">
        <v>4191</v>
      </c>
      <c r="C57" s="1568"/>
      <c r="E57" s="3403" t="s">
        <v>4192</v>
      </c>
      <c r="F57" s="1569">
        <f>B58/'Part V-Revenues &amp; Expenses'!$P$74</f>
        <v>127788.17391304347</v>
      </c>
      <c r="G57" s="1570" t="s">
        <v>2486</v>
      </c>
      <c r="H57" s="1571"/>
      <c r="I57" s="1571"/>
      <c r="J57" s="3394">
        <f>B58/'Part V-Revenues &amp; Expenses'!$P$76</f>
        <v>126686.55172413793</v>
      </c>
      <c r="K57" s="3394"/>
      <c r="L57" s="1571"/>
      <c r="M57" s="3395" t="s">
        <v>4369</v>
      </c>
      <c r="N57" s="3395"/>
      <c r="O57" s="1571"/>
      <c r="P57" s="3394">
        <f>B58/'Part V-Revenues &amp; Expenses'!$K$197</f>
        <v>114.75320740573</v>
      </c>
      <c r="Q57" s="3394"/>
      <c r="R57" s="1571"/>
      <c r="S57" s="3396" t="s">
        <v>4371</v>
      </c>
      <c r="T57" s="3397"/>
      <c r="V57" s="835"/>
      <c r="W57" s="3388"/>
      <c r="X57" s="3389"/>
      <c r="AZ57" s="2514"/>
      <c r="BA57" s="2513">
        <v>57</v>
      </c>
    </row>
    <row r="58" spans="1:53" s="144" customFormat="1" ht="12.65" customHeight="1">
      <c r="B58" s="3401">
        <f>C49+G55</f>
        <v>14695640</v>
      </c>
      <c r="C58" s="3402"/>
      <c r="E58" s="3404"/>
      <c r="F58" s="1572">
        <f>B58/'Part V-Revenues &amp; Expenses'!$P$188</f>
        <v>152.8662075852456</v>
      </c>
      <c r="G58" s="1573" t="s">
        <v>2487</v>
      </c>
      <c r="H58" s="1574"/>
      <c r="I58" s="1574"/>
      <c r="J58" s="3398">
        <f>B58/'Part V-Revenues &amp; Expenses'!$P$190</f>
        <v>151.3672414148281</v>
      </c>
      <c r="K58" s="3398"/>
      <c r="L58" s="1574"/>
      <c r="M58" s="3399" t="s">
        <v>4370</v>
      </c>
      <c r="N58" s="3399"/>
      <c r="O58" s="1574"/>
      <c r="P58" s="1574"/>
      <c r="Q58" s="1574"/>
      <c r="R58" s="1574"/>
      <c r="S58" s="1574"/>
      <c r="T58" s="1575"/>
      <c r="V58" s="835"/>
      <c r="W58" s="3388"/>
      <c r="X58" s="3389"/>
      <c r="AZ58" s="2514"/>
      <c r="BA58" s="2513">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390"/>
      <c r="X59" s="3391"/>
      <c r="AZ59" s="2514"/>
      <c r="BA59" s="2513">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514"/>
      <c r="BA60" s="2513">
        <v>60</v>
      </c>
    </row>
    <row r="61" spans="1:53" s="144" customFormat="1" ht="12" customHeight="1">
      <c r="B61" s="144" t="s">
        <v>3143</v>
      </c>
      <c r="G61" s="3361"/>
      <c r="H61" s="3362"/>
      <c r="J61" s="3361"/>
      <c r="K61" s="3362"/>
      <c r="L61" s="811"/>
      <c r="M61" s="3361"/>
      <c r="N61" s="3362"/>
      <c r="P61" s="3361"/>
      <c r="Q61" s="3362"/>
      <c r="S61" s="3361"/>
      <c r="T61" s="3362"/>
      <c r="V61" s="836"/>
      <c r="W61" s="3359"/>
      <c r="X61" s="3360"/>
      <c r="AZ61" s="2514"/>
      <c r="BA61" s="2513">
        <v>61</v>
      </c>
    </row>
    <row r="62" spans="1:53" s="144" customFormat="1" ht="12" customHeight="1">
      <c r="B62" s="144" t="s">
        <v>3144</v>
      </c>
      <c r="G62" s="3245"/>
      <c r="H62" s="3246"/>
      <c r="J62" s="3245"/>
      <c r="K62" s="3246"/>
      <c r="L62" s="811"/>
      <c r="M62" s="3245"/>
      <c r="N62" s="3246"/>
      <c r="P62" s="3245"/>
      <c r="Q62" s="3246"/>
      <c r="S62" s="3245"/>
      <c r="T62" s="3246"/>
      <c r="V62" s="836"/>
      <c r="W62" s="3359"/>
      <c r="X62" s="3360"/>
      <c r="AZ62" s="2514"/>
      <c r="BA62" s="2513">
        <v>62</v>
      </c>
    </row>
    <row r="63" spans="1:53" s="144" customFormat="1" ht="12" customHeight="1">
      <c r="B63" s="144" t="s">
        <v>2160</v>
      </c>
      <c r="G63" s="3245">
        <v>167813</v>
      </c>
      <c r="H63" s="3246"/>
      <c r="J63" s="3245"/>
      <c r="K63" s="3246"/>
      <c r="L63" s="811"/>
      <c r="M63" s="3245"/>
      <c r="N63" s="3246"/>
      <c r="P63" s="3245">
        <f>G63</f>
        <v>167813</v>
      </c>
      <c r="Q63" s="3246"/>
      <c r="S63" s="3245"/>
      <c r="T63" s="3246"/>
      <c r="V63" s="836"/>
      <c r="W63" s="3359"/>
      <c r="X63" s="3360"/>
      <c r="AZ63" s="2514"/>
      <c r="BA63" s="2513">
        <v>63</v>
      </c>
    </row>
    <row r="64" spans="1:53" s="144" customFormat="1" ht="12" customHeight="1">
      <c r="B64" s="144" t="s">
        <v>2161</v>
      </c>
      <c r="G64" s="3245">
        <v>2145393</v>
      </c>
      <c r="H64" s="3246"/>
      <c r="J64" s="3245"/>
      <c r="K64" s="3246"/>
      <c r="L64" s="811"/>
      <c r="M64" s="3245"/>
      <c r="N64" s="3246"/>
      <c r="P64" s="3245">
        <v>1072696</v>
      </c>
      <c r="Q64" s="3246"/>
      <c r="S64" s="3245">
        <f>G64-P64</f>
        <v>1072697</v>
      </c>
      <c r="T64" s="3246"/>
      <c r="V64" s="836"/>
      <c r="W64" s="3359"/>
      <c r="X64" s="3360"/>
      <c r="AZ64" s="2514"/>
      <c r="BA64" s="2513">
        <v>64</v>
      </c>
    </row>
    <row r="65" spans="1:53" s="144" customFormat="1" ht="12" customHeight="1">
      <c r="B65" s="144" t="s">
        <v>2162</v>
      </c>
      <c r="G65" s="3245">
        <v>45000</v>
      </c>
      <c r="H65" s="3246"/>
      <c r="J65" s="3245"/>
      <c r="K65" s="3246"/>
      <c r="L65" s="811"/>
      <c r="M65" s="3245"/>
      <c r="N65" s="3246"/>
      <c r="P65" s="3245">
        <f>G65</f>
        <v>45000</v>
      </c>
      <c r="Q65" s="3246"/>
      <c r="S65" s="3245"/>
      <c r="T65" s="3246"/>
      <c r="V65" s="836"/>
      <c r="W65" s="3359"/>
      <c r="X65" s="3360"/>
      <c r="AZ65" s="2514" t="s">
        <v>4269</v>
      </c>
      <c r="BA65" s="2513">
        <v>65</v>
      </c>
    </row>
    <row r="66" spans="1:53" s="144" customFormat="1" ht="12" customHeight="1">
      <c r="B66" s="144" t="s">
        <v>2443</v>
      </c>
      <c r="G66" s="3245">
        <v>33250</v>
      </c>
      <c r="H66" s="3246"/>
      <c r="J66" s="3245"/>
      <c r="K66" s="3246"/>
      <c r="L66" s="811"/>
      <c r="M66" s="3245"/>
      <c r="N66" s="3246"/>
      <c r="P66" s="3245">
        <f>G66</f>
        <v>33250</v>
      </c>
      <c r="Q66" s="3246"/>
      <c r="S66" s="3245"/>
      <c r="T66" s="3246"/>
      <c r="V66" s="836"/>
      <c r="W66" s="3359"/>
      <c r="X66" s="3360"/>
      <c r="AZ66" s="2514" t="s">
        <v>4270</v>
      </c>
      <c r="BA66" s="2513">
        <v>66</v>
      </c>
    </row>
    <row r="67" spans="1:53" s="144" customFormat="1" ht="12" customHeight="1">
      <c r="B67" s="144" t="s">
        <v>675</v>
      </c>
      <c r="G67" s="3245"/>
      <c r="H67" s="3246"/>
      <c r="J67" s="3245"/>
      <c r="K67" s="3246"/>
      <c r="L67" s="811"/>
      <c r="M67" s="3245"/>
      <c r="N67" s="3246"/>
      <c r="P67" s="3245"/>
      <c r="Q67" s="3246"/>
      <c r="S67" s="3245"/>
      <c r="T67" s="3246"/>
      <c r="V67" s="836"/>
      <c r="W67" s="3359"/>
      <c r="X67" s="3360"/>
      <c r="AZ67" s="2514" t="s">
        <v>4271</v>
      </c>
      <c r="BA67" s="2513">
        <v>67</v>
      </c>
    </row>
    <row r="68" spans="1:53" s="144" customFormat="1" ht="12" customHeight="1">
      <c r="B68" s="144" t="s">
        <v>2163</v>
      </c>
      <c r="G68" s="3245">
        <v>60000</v>
      </c>
      <c r="H68" s="3246"/>
      <c r="J68" s="3245"/>
      <c r="K68" s="3246"/>
      <c r="L68" s="811"/>
      <c r="M68" s="3245"/>
      <c r="N68" s="3246"/>
      <c r="P68" s="3245">
        <f>G68</f>
        <v>60000</v>
      </c>
      <c r="Q68" s="3246"/>
      <c r="S68" s="3245"/>
      <c r="T68" s="3246"/>
      <c r="V68" s="836"/>
      <c r="W68" s="3359"/>
      <c r="X68" s="3360"/>
      <c r="AZ68" s="2514"/>
      <c r="BA68" s="2513">
        <v>68</v>
      </c>
    </row>
    <row r="69" spans="1:53" s="144" customFormat="1" ht="12" customHeight="1">
      <c r="B69" s="144" t="s">
        <v>1198</v>
      </c>
      <c r="G69" s="3245">
        <v>100000</v>
      </c>
      <c r="H69" s="3246"/>
      <c r="J69" s="3245"/>
      <c r="K69" s="3246"/>
      <c r="L69" s="811"/>
      <c r="M69" s="3245"/>
      <c r="N69" s="3246"/>
      <c r="P69" s="3245">
        <f>G69-S69</f>
        <v>90000</v>
      </c>
      <c r="Q69" s="3246"/>
      <c r="S69" s="3245">
        <f>G69*0.1</f>
        <v>10000</v>
      </c>
      <c r="T69" s="3246"/>
      <c r="V69" s="836"/>
      <c r="W69" s="3359"/>
      <c r="X69" s="3360"/>
      <c r="AZ69" s="2514"/>
      <c r="BA69" s="2513">
        <v>69</v>
      </c>
    </row>
    <row r="70" spans="1:53" s="144" customFormat="1" ht="12" customHeight="1">
      <c r="B70" s="287" t="s">
        <v>1084</v>
      </c>
      <c r="D70" s="285"/>
      <c r="E70" s="285"/>
      <c r="F70" s="286"/>
      <c r="G70" s="3245">
        <v>72142</v>
      </c>
      <c r="H70" s="3246"/>
      <c r="I70" s="145"/>
      <c r="J70" s="3245"/>
      <c r="K70" s="3246"/>
      <c r="L70" s="811"/>
      <c r="M70" s="3245"/>
      <c r="N70" s="3246"/>
      <c r="P70" s="3245">
        <f>G70</f>
        <v>72142</v>
      </c>
      <c r="Q70" s="3246"/>
      <c r="S70" s="3245"/>
      <c r="T70" s="3246"/>
      <c r="V70" s="836"/>
      <c r="W70" s="3359"/>
      <c r="X70" s="3360"/>
      <c r="AZ70" s="2514"/>
      <c r="BA70" s="2513">
        <v>70</v>
      </c>
    </row>
    <row r="71" spans="1:53" s="144" customFormat="1" ht="12" customHeight="1">
      <c r="A71" s="303" t="str">
        <f>IF(AND(G71&gt;0,OR(C71="",C71="&lt;Enter detailed description here; use Comments section if needed&gt;")),"X","")</f>
        <v/>
      </c>
      <c r="B71" s="147" t="s">
        <v>4170</v>
      </c>
      <c r="C71" s="3407" t="s">
        <v>5254</v>
      </c>
      <c r="D71" s="3407"/>
      <c r="E71" s="3407"/>
      <c r="F71" s="3408"/>
      <c r="G71" s="3245">
        <v>201190</v>
      </c>
      <c r="H71" s="3246"/>
      <c r="J71" s="3245"/>
      <c r="K71" s="3246"/>
      <c r="L71" s="811"/>
      <c r="M71" s="3245"/>
      <c r="N71" s="3246"/>
      <c r="P71" s="3245">
        <f>G71-S71</f>
        <v>134127</v>
      </c>
      <c r="Q71" s="3246"/>
      <c r="S71" s="3245">
        <v>67063</v>
      </c>
      <c r="T71" s="3246"/>
      <c r="U71" s="302" t="str">
        <f>IF(AND(G71&gt;0,OR(C71="",C71="&lt;Enter detailed description here; use Comments section if needed&gt;")),"NO DESCRIPTION PROVIDED - please enter detailed description in Other box at left; use Comments section below if needed.","")</f>
        <v/>
      </c>
      <c r="V71" s="836"/>
      <c r="W71" s="3359"/>
      <c r="X71" s="3360"/>
      <c r="AZ71" s="2514"/>
      <c r="BA71" s="2513">
        <v>71</v>
      </c>
    </row>
    <row r="72" spans="1:53" s="144" customFormat="1" ht="12" customHeight="1" thickBot="1">
      <c r="A72" s="303" t="str">
        <f>IF(AND(G72&gt;0,OR(C72="",C72="&lt;Enter detailed description here; use Comments section if needed&gt;")),"X","")</f>
        <v/>
      </c>
      <c r="B72" s="147" t="s">
        <v>4171</v>
      </c>
      <c r="C72" s="3405" t="s">
        <v>4605</v>
      </c>
      <c r="D72" s="3405"/>
      <c r="E72" s="3405"/>
      <c r="F72" s="3406"/>
      <c r="G72" s="3255"/>
      <c r="H72" s="3256"/>
      <c r="J72" s="3255"/>
      <c r="K72" s="3256"/>
      <c r="L72" s="811"/>
      <c r="M72" s="3255"/>
      <c r="N72" s="3256"/>
      <c r="P72" s="3255"/>
      <c r="Q72" s="3256"/>
      <c r="S72" s="3255"/>
      <c r="T72" s="3256"/>
      <c r="U72" s="302" t="str">
        <f>IF(AND(G72&gt;0,OR(C72="",C72="&lt;Enter detailed description here; use Comments section if needed&gt;")),"NO DESCRIPTION PROVIDED - please enter detailed description in Other box at left; use Comments section below if needed.","")</f>
        <v/>
      </c>
      <c r="V72" s="836"/>
      <c r="W72" s="3365"/>
      <c r="X72" s="3366"/>
      <c r="AZ72" s="2514"/>
      <c r="BA72" s="2513">
        <v>72</v>
      </c>
    </row>
    <row r="73" spans="1:53" s="144" customFormat="1" ht="12" customHeight="1" thickTop="1">
      <c r="F73" s="281" t="s">
        <v>184</v>
      </c>
      <c r="G73" s="3367">
        <f>SUM(G61:G72)</f>
        <v>2824788</v>
      </c>
      <c r="H73" s="3368"/>
      <c r="J73" s="3367">
        <f>SUM(J61:J72)</f>
        <v>0</v>
      </c>
      <c r="K73" s="3368"/>
      <c r="L73" s="283"/>
      <c r="M73" s="3367">
        <f>SUM(M61:M72)</f>
        <v>0</v>
      </c>
      <c r="N73" s="3368"/>
      <c r="P73" s="3367">
        <f>SUM(P61:P72)</f>
        <v>1675028</v>
      </c>
      <c r="Q73" s="3368"/>
      <c r="S73" s="3367">
        <f>SUM(S61:S72)</f>
        <v>1149760</v>
      </c>
      <c r="T73" s="3368"/>
      <c r="V73" s="837">
        <f>SUM(V61:V72)</f>
        <v>0</v>
      </c>
      <c r="W73" s="3369"/>
      <c r="X73" s="3370"/>
      <c r="AZ73" s="2514"/>
      <c r="BA73" s="2513">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514"/>
      <c r="BA74" s="2513">
        <v>74</v>
      </c>
    </row>
    <row r="75" spans="1:53" s="144" customFormat="1" ht="12" customHeight="1">
      <c r="B75" s="144" t="s">
        <v>449</v>
      </c>
      <c r="G75" s="3361">
        <v>670446</v>
      </c>
      <c r="H75" s="3362"/>
      <c r="J75" s="3361"/>
      <c r="K75" s="3362"/>
      <c r="L75" s="811"/>
      <c r="M75" s="3361"/>
      <c r="N75" s="3362"/>
      <c r="P75" s="3361">
        <f t="shared" ref="P75:P79" si="1">G75</f>
        <v>670446</v>
      </c>
      <c r="Q75" s="3362"/>
      <c r="S75" s="3361"/>
      <c r="T75" s="3362"/>
      <c r="V75" s="832"/>
      <c r="W75" s="3359"/>
      <c r="X75" s="3360"/>
      <c r="AZ75" s="2514"/>
      <c r="BA75" s="2513">
        <v>75</v>
      </c>
    </row>
    <row r="76" spans="1:53" s="144" customFormat="1" ht="12" customHeight="1">
      <c r="B76" s="144" t="s">
        <v>450</v>
      </c>
      <c r="G76" s="3245">
        <v>205632</v>
      </c>
      <c r="H76" s="3246"/>
      <c r="J76" s="3245"/>
      <c r="K76" s="3246"/>
      <c r="L76" s="811"/>
      <c r="M76" s="3245"/>
      <c r="N76" s="3246"/>
      <c r="P76" s="3245">
        <f t="shared" si="1"/>
        <v>205632</v>
      </c>
      <c r="Q76" s="3246"/>
      <c r="S76" s="3245"/>
      <c r="T76" s="3246"/>
      <c r="V76" s="832"/>
      <c r="W76" s="3359"/>
      <c r="X76" s="3360"/>
      <c r="AZ76" s="2514"/>
      <c r="BA76" s="2513">
        <v>76</v>
      </c>
    </row>
    <row r="77" spans="1:53" s="144" customFormat="1" ht="12" customHeight="1">
      <c r="B77" s="144" t="s">
        <v>1060</v>
      </c>
      <c r="D77" s="247"/>
      <c r="E77" s="827"/>
      <c r="F77" s="392"/>
      <c r="G77" s="3245">
        <f>SUM(31500+3750)-4500</f>
        <v>30750</v>
      </c>
      <c r="H77" s="3246"/>
      <c r="J77" s="3245"/>
      <c r="K77" s="3246"/>
      <c r="L77" s="811"/>
      <c r="M77" s="3245"/>
      <c r="N77" s="3246"/>
      <c r="P77" s="3245">
        <f t="shared" si="1"/>
        <v>30750</v>
      </c>
      <c r="Q77" s="3246"/>
      <c r="S77" s="3245"/>
      <c r="T77" s="3246"/>
      <c r="V77" s="832"/>
      <c r="W77" s="3359"/>
      <c r="X77" s="3360"/>
      <c r="AZ77" s="2514"/>
      <c r="BA77" s="2513">
        <v>77</v>
      </c>
    </row>
    <row r="78" spans="1:53" s="144" customFormat="1" ht="12" customHeight="1">
      <c r="B78" s="144" t="s">
        <v>1061</v>
      </c>
      <c r="G78" s="3245">
        <f>4500</f>
        <v>4500</v>
      </c>
      <c r="H78" s="3246"/>
      <c r="J78" s="3245"/>
      <c r="K78" s="3246"/>
      <c r="L78" s="811"/>
      <c r="M78" s="3245"/>
      <c r="N78" s="3246"/>
      <c r="P78" s="3245">
        <f t="shared" si="1"/>
        <v>4500</v>
      </c>
      <c r="Q78" s="3246"/>
      <c r="S78" s="3245"/>
      <c r="T78" s="3246"/>
      <c r="V78" s="832"/>
      <c r="W78" s="3359"/>
      <c r="X78" s="3360"/>
      <c r="AZ78" s="2514"/>
      <c r="BA78" s="2513">
        <v>78</v>
      </c>
    </row>
    <row r="79" spans="1:53" s="144" customFormat="1" ht="12" customHeight="1">
      <c r="B79" s="144" t="s">
        <v>1062</v>
      </c>
      <c r="G79" s="3245">
        <f>2400+9300</f>
        <v>11700</v>
      </c>
      <c r="H79" s="3246"/>
      <c r="J79" s="3245"/>
      <c r="K79" s="3246"/>
      <c r="L79" s="811"/>
      <c r="M79" s="3245"/>
      <c r="N79" s="3246"/>
      <c r="P79" s="3245">
        <f t="shared" si="1"/>
        <v>11700</v>
      </c>
      <c r="Q79" s="3246"/>
      <c r="S79" s="3245"/>
      <c r="T79" s="3246"/>
      <c r="V79" s="832"/>
      <c r="W79" s="3359"/>
      <c r="X79" s="3360"/>
      <c r="AZ79" s="2514" t="s">
        <v>4272</v>
      </c>
      <c r="BA79" s="2513">
        <v>79</v>
      </c>
    </row>
    <row r="80" spans="1:53" s="144" customFormat="1" ht="12" customHeight="1">
      <c r="B80" s="144" t="s">
        <v>1063</v>
      </c>
      <c r="G80" s="3245">
        <f>225451-G77-G78-G79-G85-G15</f>
        <v>107538</v>
      </c>
      <c r="H80" s="3246"/>
      <c r="J80" s="3245"/>
      <c r="K80" s="3246"/>
      <c r="L80" s="811"/>
      <c r="M80" s="3245"/>
      <c r="N80" s="3246"/>
      <c r="P80" s="3245">
        <f>G80</f>
        <v>107538</v>
      </c>
      <c r="Q80" s="3246"/>
      <c r="S80" s="3245"/>
      <c r="T80" s="3246"/>
      <c r="V80" s="832"/>
      <c r="W80" s="3359"/>
      <c r="X80" s="3360"/>
      <c r="AZ80" s="2514" t="s">
        <v>4273</v>
      </c>
      <c r="BA80" s="2513">
        <v>80</v>
      </c>
    </row>
    <row r="81" spans="1:53" s="144" customFormat="1" ht="12" customHeight="1">
      <c r="B81" s="144" t="s">
        <v>451</v>
      </c>
      <c r="G81" s="3245"/>
      <c r="H81" s="3246"/>
      <c r="J81" s="3245"/>
      <c r="K81" s="3246"/>
      <c r="L81" s="811"/>
      <c r="M81" s="3245"/>
      <c r="N81" s="3246"/>
      <c r="P81" s="3245"/>
      <c r="Q81" s="3246"/>
      <c r="S81" s="3245"/>
      <c r="T81" s="3246"/>
      <c r="V81" s="832"/>
      <c r="W81" s="3359"/>
      <c r="X81" s="3360"/>
      <c r="AZ81" s="2512"/>
      <c r="BA81" s="2513">
        <v>81</v>
      </c>
    </row>
    <row r="82" spans="1:53" s="144" customFormat="1" ht="12" customHeight="1">
      <c r="B82" s="144" t="s">
        <v>452</v>
      </c>
      <c r="G82" s="3245">
        <v>195000</v>
      </c>
      <c r="H82" s="3246"/>
      <c r="J82" s="3245"/>
      <c r="K82" s="3246"/>
      <c r="L82" s="811"/>
      <c r="M82" s="3245"/>
      <c r="N82" s="3246"/>
      <c r="P82" s="3245">
        <f>G82-S82</f>
        <v>117000</v>
      </c>
      <c r="Q82" s="3246"/>
      <c r="S82" s="3245">
        <v>78000</v>
      </c>
      <c r="T82" s="3246"/>
      <c r="V82" s="832"/>
      <c r="W82" s="3359"/>
      <c r="X82" s="3360"/>
      <c r="AZ82" s="2514"/>
      <c r="BA82" s="2513">
        <v>82</v>
      </c>
    </row>
    <row r="83" spans="1:53" s="144" customFormat="1" ht="12" customHeight="1">
      <c r="B83" s="144" t="s">
        <v>1894</v>
      </c>
      <c r="G83" s="3245">
        <f>17100+5000</f>
        <v>22100</v>
      </c>
      <c r="H83" s="3246"/>
      <c r="J83" s="3245"/>
      <c r="K83" s="3246"/>
      <c r="L83" s="811"/>
      <c r="M83" s="3245"/>
      <c r="N83" s="3246"/>
      <c r="P83" s="3245"/>
      <c r="Q83" s="3246"/>
      <c r="S83" s="3245">
        <f>G83</f>
        <v>22100</v>
      </c>
      <c r="T83" s="3246"/>
      <c r="V83" s="832"/>
      <c r="W83" s="3359"/>
      <c r="X83" s="3360"/>
      <c r="AZ83" s="2514"/>
      <c r="BA83" s="2513">
        <v>83</v>
      </c>
    </row>
    <row r="84" spans="1:53" s="144" customFormat="1" ht="12" customHeight="1">
      <c r="B84" s="144" t="s">
        <v>1199</v>
      </c>
      <c r="G84" s="3245">
        <v>10000</v>
      </c>
      <c r="H84" s="3246"/>
      <c r="J84" s="3245"/>
      <c r="K84" s="3246"/>
      <c r="L84" s="811"/>
      <c r="M84" s="3245"/>
      <c r="N84" s="3246"/>
      <c r="P84" s="3245">
        <f>G84</f>
        <v>10000</v>
      </c>
      <c r="Q84" s="3246"/>
      <c r="S84" s="3245"/>
      <c r="T84" s="3246"/>
      <c r="V84" s="832"/>
      <c r="W84" s="3359"/>
      <c r="X84" s="3360"/>
      <c r="AZ84" s="2514"/>
      <c r="BA84" s="2513">
        <v>84</v>
      </c>
    </row>
    <row r="85" spans="1:53" s="144" customFormat="1" ht="12" customHeight="1" thickBot="1">
      <c r="A85" s="303" t="str">
        <f>IF(AND(G85&gt;0,OR(C85="",C85="&lt;Enter detailed description here; use Comments section if needed&gt;")),"X","")</f>
        <v/>
      </c>
      <c r="B85" s="147" t="s">
        <v>4172</v>
      </c>
      <c r="C85" s="3363" t="s">
        <v>5225</v>
      </c>
      <c r="D85" s="3363"/>
      <c r="E85" s="3363"/>
      <c r="F85" s="3364"/>
      <c r="G85" s="3255">
        <v>45013</v>
      </c>
      <c r="H85" s="3256"/>
      <c r="J85" s="3255"/>
      <c r="K85" s="3256"/>
      <c r="L85" s="811"/>
      <c r="M85" s="3255"/>
      <c r="N85" s="3256"/>
      <c r="P85" s="3255">
        <f>G85</f>
        <v>45013</v>
      </c>
      <c r="Q85" s="3256"/>
      <c r="S85" s="3255"/>
      <c r="T85" s="3256"/>
      <c r="U85" s="302" t="str">
        <f>IF(AND(G85&gt;0,OR(C85="",C85="&lt;Enter detailed description here; use Comments section if needed&gt;")),"NO DESCRIPTION PROVIDED - please enter detailed description in Other box at left; use Comments section below if needed.","")</f>
        <v/>
      </c>
      <c r="V85" s="832"/>
      <c r="W85" s="3365"/>
      <c r="X85" s="3366"/>
      <c r="AZ85" s="2514"/>
      <c r="BA85" s="2513">
        <v>85</v>
      </c>
    </row>
    <row r="86" spans="1:53" s="144" customFormat="1" ht="12" customHeight="1" thickTop="1">
      <c r="F86" s="281" t="s">
        <v>184</v>
      </c>
      <c r="G86" s="3367">
        <f>SUM(G75:G85)</f>
        <v>1302679</v>
      </c>
      <c r="H86" s="3368"/>
      <c r="J86" s="3367">
        <f>SUM(J75:J85)</f>
        <v>0</v>
      </c>
      <c r="K86" s="3368"/>
      <c r="L86" s="283"/>
      <c r="M86" s="3367">
        <f>SUM(M75:M85)</f>
        <v>0</v>
      </c>
      <c r="N86" s="3368"/>
      <c r="P86" s="3367">
        <f>SUM(P75:P85)</f>
        <v>1202579</v>
      </c>
      <c r="Q86" s="3368"/>
      <c r="S86" s="3367">
        <f>SUM(S75:S85)</f>
        <v>100100</v>
      </c>
      <c r="T86" s="3368"/>
      <c r="V86" s="834">
        <f>SUM(V75:V85)</f>
        <v>0</v>
      </c>
      <c r="W86" s="3369"/>
      <c r="X86" s="3370"/>
      <c r="AZ86" s="2514" t="s">
        <v>4274</v>
      </c>
      <c r="BA86" s="2513">
        <v>86</v>
      </c>
    </row>
    <row r="87" spans="1:53" ht="12" customHeight="1">
      <c r="A87" s="144"/>
      <c r="B87" s="243" t="s">
        <v>1191</v>
      </c>
      <c r="C87" s="144"/>
      <c r="D87" s="675" t="s">
        <v>3146</v>
      </c>
      <c r="E87" s="746">
        <f>G92/'Part V-Revenues &amp; Expenses'!$P$76</f>
        <v>437.62931034482756</v>
      </c>
      <c r="F87" s="144"/>
      <c r="G87" s="144"/>
      <c r="H87" s="144"/>
      <c r="I87" s="144"/>
      <c r="J87" s="283"/>
      <c r="K87" s="283"/>
      <c r="M87" s="283"/>
      <c r="N87" s="283"/>
      <c r="O87" s="282" t="str">
        <f>B87</f>
        <v>LOCAL GOVERNMENT FEES</v>
      </c>
      <c r="P87" s="283"/>
      <c r="Q87" s="283"/>
      <c r="S87" s="283"/>
      <c r="T87" s="283"/>
      <c r="V87" s="835"/>
      <c r="W87" s="144" t="str">
        <f>B87</f>
        <v>LOCAL GOVERNMENT FEES</v>
      </c>
      <c r="AZ87" s="2514"/>
      <c r="BA87" s="2513">
        <v>87</v>
      </c>
    </row>
    <row r="88" spans="1:53" s="144" customFormat="1" ht="12" customHeight="1">
      <c r="B88" s="144" t="s">
        <v>1192</v>
      </c>
      <c r="G88" s="3361">
        <v>50765</v>
      </c>
      <c r="H88" s="3362"/>
      <c r="J88" s="3361"/>
      <c r="K88" s="3362"/>
      <c r="L88" s="811"/>
      <c r="M88" s="3361"/>
      <c r="N88" s="3362"/>
      <c r="P88" s="3361">
        <f>G88</f>
        <v>50765</v>
      </c>
      <c r="Q88" s="3362"/>
      <c r="S88" s="3361"/>
      <c r="T88" s="3362"/>
      <c r="V88" s="832"/>
      <c r="W88" s="3359"/>
      <c r="X88" s="3360"/>
      <c r="AZ88" s="2514"/>
      <c r="BA88" s="2513">
        <v>88</v>
      </c>
    </row>
    <row r="89" spans="1:53" s="144" customFormat="1" ht="12" customHeight="1">
      <c r="B89" s="144" t="s">
        <v>1193</v>
      </c>
      <c r="G89" s="3245"/>
      <c r="H89" s="3246"/>
      <c r="J89" s="3245"/>
      <c r="K89" s="3246"/>
      <c r="L89" s="811"/>
      <c r="M89" s="3245"/>
      <c r="N89" s="3246"/>
      <c r="P89" s="3245"/>
      <c r="Q89" s="3246"/>
      <c r="S89" s="3245"/>
      <c r="T89" s="3246"/>
      <c r="V89" s="832"/>
      <c r="W89" s="3359"/>
      <c r="X89" s="3360"/>
      <c r="AZ89" s="2514"/>
      <c r="BA89" s="2513">
        <v>89</v>
      </c>
    </row>
    <row r="90" spans="1:53" s="144" customFormat="1" ht="12" customHeight="1">
      <c r="B90" s="144" t="s">
        <v>1194</v>
      </c>
      <c r="D90" s="289" t="s">
        <v>1322</v>
      </c>
      <c r="E90" s="846"/>
      <c r="G90" s="3245"/>
      <c r="H90" s="3246"/>
      <c r="I90" s="145"/>
      <c r="J90" s="3245"/>
      <c r="K90" s="3246"/>
      <c r="L90" s="811"/>
      <c r="M90" s="3245"/>
      <c r="N90" s="3246"/>
      <c r="P90" s="3245"/>
      <c r="Q90" s="3246"/>
      <c r="S90" s="3245"/>
      <c r="T90" s="3246"/>
      <c r="V90" s="832"/>
      <c r="W90" s="3359"/>
      <c r="X90" s="3360"/>
      <c r="AZ90" s="2514"/>
      <c r="BA90" s="2513">
        <v>90</v>
      </c>
    </row>
    <row r="91" spans="1:53" s="144" customFormat="1" ht="12" customHeight="1" thickBot="1">
      <c r="B91" s="144" t="s">
        <v>1195</v>
      </c>
      <c r="D91" s="289" t="s">
        <v>1322</v>
      </c>
      <c r="E91" s="847"/>
      <c r="G91" s="3255"/>
      <c r="H91" s="3256"/>
      <c r="I91" s="145"/>
      <c r="J91" s="3255"/>
      <c r="K91" s="3256"/>
      <c r="L91" s="811"/>
      <c r="M91" s="3255"/>
      <c r="N91" s="3256"/>
      <c r="P91" s="3255"/>
      <c r="Q91" s="3256"/>
      <c r="S91" s="3255"/>
      <c r="T91" s="3256"/>
      <c r="V91" s="832"/>
      <c r="W91" s="3365"/>
      <c r="X91" s="3366"/>
      <c r="AZ91" s="2514"/>
      <c r="BA91" s="2513">
        <v>91</v>
      </c>
    </row>
    <row r="92" spans="1:53" s="144" customFormat="1" ht="12" customHeight="1" thickTop="1">
      <c r="F92" s="281" t="s">
        <v>184</v>
      </c>
      <c r="G92" s="3367">
        <f>SUM(G88:G91)</f>
        <v>50765</v>
      </c>
      <c r="H92" s="3368"/>
      <c r="J92" s="3367">
        <f>SUM(J88:J91)</f>
        <v>0</v>
      </c>
      <c r="K92" s="3368"/>
      <c r="L92" s="283"/>
      <c r="M92" s="3367">
        <f>SUM(M88:M91)</f>
        <v>0</v>
      </c>
      <c r="N92" s="3368"/>
      <c r="P92" s="3367">
        <f>SUM(P88:P91)</f>
        <v>50765</v>
      </c>
      <c r="Q92" s="3368"/>
      <c r="S92" s="3367">
        <f>SUM(S88:S91)</f>
        <v>0</v>
      </c>
      <c r="T92" s="3368"/>
      <c r="V92" s="834">
        <f>SUM(V88:V91)</f>
        <v>0</v>
      </c>
      <c r="W92" s="3369"/>
      <c r="X92" s="3370"/>
      <c r="AZ92" s="2514"/>
      <c r="BA92" s="2513">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514"/>
      <c r="BA93" s="2513">
        <v>93</v>
      </c>
    </row>
    <row r="94" spans="1:53" s="144" customFormat="1" ht="18" customHeight="1" thickBot="1">
      <c r="A94" s="342" t="s">
        <v>572</v>
      </c>
      <c r="B94" s="342" t="s">
        <v>2517</v>
      </c>
      <c r="J94" s="3349" t="s">
        <v>259</v>
      </c>
      <c r="K94" s="3350"/>
      <c r="L94" s="280"/>
      <c r="M94" s="3353" t="s">
        <v>459</v>
      </c>
      <c r="N94" s="3354"/>
      <c r="P94" s="3349" t="s">
        <v>260</v>
      </c>
      <c r="Q94" s="3350"/>
      <c r="S94" s="3349" t="s">
        <v>261</v>
      </c>
      <c r="T94" s="3350"/>
      <c r="V94" s="343" t="str">
        <f>B94</f>
        <v>DEVELOPMENT BUDGET  (cont'd)</v>
      </c>
      <c r="AZ94" s="2514"/>
      <c r="BA94" s="2513">
        <v>94</v>
      </c>
    </row>
    <row r="95" spans="1:53" s="144" customFormat="1" ht="18" customHeight="1" thickBot="1">
      <c r="G95" s="3357" t="s">
        <v>95</v>
      </c>
      <c r="H95" s="3358"/>
      <c r="J95" s="3351"/>
      <c r="K95" s="3352"/>
      <c r="L95" s="280"/>
      <c r="M95" s="3355"/>
      <c r="N95" s="3356"/>
      <c r="P95" s="3351"/>
      <c r="Q95" s="3352"/>
      <c r="S95" s="3351"/>
      <c r="T95" s="3352"/>
      <c r="V95" s="253" t="s">
        <v>2441</v>
      </c>
      <c r="X95" s="253"/>
      <c r="AZ95" s="2514"/>
      <c r="BA95" s="2513">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514" t="s">
        <v>4275</v>
      </c>
      <c r="BA96" s="2513">
        <v>96</v>
      </c>
    </row>
    <row r="97" spans="1:53" s="144" customFormat="1" ht="12" customHeight="1">
      <c r="B97" s="144" t="s">
        <v>1196</v>
      </c>
      <c r="G97" s="3361">
        <f>71600+10000+7160+26850+5000+25000</f>
        <v>145610</v>
      </c>
      <c r="H97" s="3362"/>
      <c r="J97" s="3409"/>
      <c r="K97" s="3409"/>
      <c r="L97" s="811"/>
      <c r="M97" s="3409"/>
      <c r="N97" s="3409"/>
      <c r="P97" s="3409"/>
      <c r="Q97" s="3409"/>
      <c r="S97" s="3361">
        <f>G97</f>
        <v>145610</v>
      </c>
      <c r="T97" s="3362"/>
      <c r="V97" s="832"/>
      <c r="W97" s="3359"/>
      <c r="X97" s="3360"/>
      <c r="AZ97" s="2514" t="s">
        <v>4276</v>
      </c>
      <c r="BA97" s="2513">
        <v>97</v>
      </c>
    </row>
    <row r="98" spans="1:53" s="144" customFormat="1" ht="12" customHeight="1">
      <c r="B98" s="144" t="s">
        <v>1197</v>
      </c>
      <c r="G98" s="3245">
        <v>85000</v>
      </c>
      <c r="H98" s="3246"/>
      <c r="J98" s="3409"/>
      <c r="K98" s="3409"/>
      <c r="L98" s="811"/>
      <c r="M98" s="3409"/>
      <c r="N98" s="3409"/>
      <c r="P98" s="3409"/>
      <c r="Q98" s="3409"/>
      <c r="S98" s="3245">
        <f>G98</f>
        <v>85000</v>
      </c>
      <c r="T98" s="3246"/>
      <c r="V98" s="832"/>
      <c r="W98" s="3359"/>
      <c r="X98" s="3360"/>
      <c r="AZ98" s="2514"/>
      <c r="BA98" s="2513">
        <v>98</v>
      </c>
    </row>
    <row r="99" spans="1:53" s="144" customFormat="1" ht="12" customHeight="1">
      <c r="B99" s="144" t="s">
        <v>1198</v>
      </c>
      <c r="G99" s="3245"/>
      <c r="H99" s="3246"/>
      <c r="J99" s="3409"/>
      <c r="K99" s="3409"/>
      <c r="L99" s="811"/>
      <c r="M99" s="3409"/>
      <c r="N99" s="3409"/>
      <c r="P99" s="3409"/>
      <c r="Q99" s="3409"/>
      <c r="S99" s="3245"/>
      <c r="T99" s="3246"/>
      <c r="V99" s="832"/>
      <c r="W99" s="3359"/>
      <c r="X99" s="3360"/>
      <c r="AZ99" s="2514"/>
      <c r="BA99" s="2513">
        <v>99</v>
      </c>
    </row>
    <row r="100" spans="1:53" s="144" customFormat="1" ht="12" customHeight="1">
      <c r="B100" s="144" t="s">
        <v>1200</v>
      </c>
      <c r="G100" s="3245"/>
      <c r="H100" s="3246"/>
      <c r="J100" s="3409"/>
      <c r="K100" s="3409"/>
      <c r="L100" s="811"/>
      <c r="M100" s="3409"/>
      <c r="N100" s="3409"/>
      <c r="P100" s="3409"/>
      <c r="Q100" s="3409"/>
      <c r="S100" s="3245"/>
      <c r="T100" s="3246"/>
      <c r="V100" s="832"/>
      <c r="W100" s="3359"/>
      <c r="X100" s="3360"/>
      <c r="AZ100" s="2514"/>
      <c r="BA100" s="2513">
        <v>100</v>
      </c>
    </row>
    <row r="101" spans="1:53" s="144" customFormat="1" ht="12" customHeight="1">
      <c r="B101" s="144" t="s">
        <v>2115</v>
      </c>
      <c r="G101" s="3245"/>
      <c r="H101" s="3246"/>
      <c r="J101" s="3409"/>
      <c r="K101" s="3409"/>
      <c r="L101" s="811"/>
      <c r="M101" s="3409"/>
      <c r="N101" s="3409"/>
      <c r="P101" s="3409"/>
      <c r="Q101" s="3409"/>
      <c r="S101" s="3245"/>
      <c r="T101" s="3246"/>
      <c r="V101" s="832"/>
      <c r="W101" s="3359"/>
      <c r="X101" s="3360"/>
      <c r="AZ101" s="2514"/>
      <c r="BA101" s="2513">
        <v>101</v>
      </c>
    </row>
    <row r="102" spans="1:53" s="144" customFormat="1" ht="12" customHeight="1" thickBot="1">
      <c r="A102" s="303" t="str">
        <f>IF(AND(G102&gt;0,OR(C102="",C102="&lt;Enter detailed description here; use Comments section if needed&gt;")),"X","")</f>
        <v/>
      </c>
      <c r="B102" s="147" t="s">
        <v>4173</v>
      </c>
      <c r="C102" s="3363" t="s">
        <v>4605</v>
      </c>
      <c r="D102" s="3363"/>
      <c r="E102" s="3363"/>
      <c r="F102" s="3364"/>
      <c r="G102" s="3255"/>
      <c r="H102" s="3256"/>
      <c r="J102" s="3409"/>
      <c r="K102" s="3409"/>
      <c r="L102" s="811"/>
      <c r="M102" s="3409"/>
      <c r="N102" s="3409"/>
      <c r="P102" s="3409"/>
      <c r="Q102" s="3409"/>
      <c r="S102" s="3255"/>
      <c r="T102" s="3256"/>
      <c r="U102" s="302" t="str">
        <f>IF(AND(G102&gt;0,OR(C102="",C102="&lt;Enter detailed description here; use Comments section if needed&gt;")),"NO DESCRIPTION PROVIDED - please enter detailed description in Other box at left; use Comments section below if needed.","")</f>
        <v/>
      </c>
      <c r="V102" s="832"/>
      <c r="W102" s="3365"/>
      <c r="X102" s="3366"/>
      <c r="AZ102" s="2514"/>
      <c r="BA102" s="2513">
        <v>102</v>
      </c>
    </row>
    <row r="103" spans="1:53" s="144" customFormat="1" ht="12" customHeight="1" thickTop="1">
      <c r="F103" s="281" t="s">
        <v>184</v>
      </c>
      <c r="G103" s="3367">
        <f>SUM(G97:G102)</f>
        <v>230610</v>
      </c>
      <c r="H103" s="3368"/>
      <c r="J103" s="3409"/>
      <c r="K103" s="3409"/>
      <c r="L103" s="283"/>
      <c r="M103" s="3409"/>
      <c r="N103" s="3409"/>
      <c r="P103" s="3409"/>
      <c r="Q103" s="3409"/>
      <c r="S103" s="3367">
        <f>SUM(S97:S102)</f>
        <v>230610</v>
      </c>
      <c r="T103" s="3368"/>
      <c r="V103" s="834">
        <f>SUM(V97:V102)</f>
        <v>0</v>
      </c>
      <c r="W103" s="3369"/>
      <c r="X103" s="3370"/>
      <c r="AZ103" s="2514"/>
      <c r="BA103" s="2513">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3799</v>
      </c>
      <c r="AB104" s="147"/>
      <c r="AC104" s="147"/>
      <c r="AD104" s="1819" t="str">
        <f>IF(OR($M$38="9% Credit Competitive Round only", $M$38="9% Credit &amp; HOME"),"9%",IF(OR($M$38="4% Credit/TE Bond", $M$38="4% Credit/TE Bond &amp; HOME", $M$38="4% Credit/TE Bond &amp; HOME NOFA", $M$38="4% Credit &amp; NHTF", $M$38="4% Credit &amp; NHTF &amp; HOME"),"4%",""))</f>
        <v/>
      </c>
      <c r="AZ104" s="2514"/>
      <c r="BA104" s="2513">
        <v>104</v>
      </c>
    </row>
    <row r="105" spans="1:53" s="144" customFormat="1" ht="12.65" customHeight="1">
      <c r="B105" s="144" t="s">
        <v>4964</v>
      </c>
      <c r="G105" s="3361"/>
      <c r="H105" s="3362"/>
      <c r="J105" s="283"/>
      <c r="K105" s="283"/>
      <c r="L105" s="811"/>
      <c r="M105" s="283"/>
      <c r="N105" s="283"/>
      <c r="P105" s="283"/>
      <c r="Q105" s="283"/>
      <c r="S105" s="3361"/>
      <c r="T105" s="3362"/>
      <c r="V105" s="832"/>
      <c r="W105" s="3359"/>
      <c r="X105" s="3360"/>
      <c r="Y105" s="3410" t="s">
        <v>4587</v>
      </c>
      <c r="AA105" s="236" t="s">
        <v>4535</v>
      </c>
      <c r="AB105" s="147"/>
      <c r="AC105" s="147"/>
      <c r="AD105" s="1818" t="str">
        <f>'Part V-Revenues &amp; Expenses'!$O$62</f>
        <v>40% of Units at 60% of AMI</v>
      </c>
      <c r="AE105" s="1817"/>
      <c r="AF105" s="1817"/>
      <c r="AZ105" s="2514"/>
      <c r="BA105" s="2513">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245">
        <v>8000</v>
      </c>
      <c r="H106" s="3246"/>
      <c r="J106" s="283"/>
      <c r="K106" s="283"/>
      <c r="L106" s="290"/>
      <c r="M106" s="283"/>
      <c r="N106" s="283"/>
      <c r="P106" s="283"/>
      <c r="Q106" s="283"/>
      <c r="S106" s="3245">
        <f>G106</f>
        <v>8000</v>
      </c>
      <c r="T106" s="3246"/>
      <c r="V106" s="832"/>
      <c r="W106" s="3359"/>
      <c r="X106" s="3360"/>
      <c r="Y106" s="3410"/>
      <c r="AA106" s="1820" t="s">
        <v>3068</v>
      </c>
      <c r="AB106" s="1820"/>
      <c r="AC106" s="1820"/>
      <c r="AD106" s="1821">
        <f>'Part V-Revenues &amp; Expenses'!$P$76</f>
        <v>116</v>
      </c>
      <c r="AZ106" s="2514" t="s">
        <v>4277</v>
      </c>
      <c r="BA106" s="2513">
        <v>106</v>
      </c>
    </row>
    <row r="107" spans="1:53" s="144" customFormat="1" ht="12.65" customHeight="1">
      <c r="B107" s="144" t="s">
        <v>4965</v>
      </c>
      <c r="G107" s="3245">
        <f>4500+2000+7500</f>
        <v>14000</v>
      </c>
      <c r="H107" s="3246"/>
      <c r="J107" s="283"/>
      <c r="K107" s="283"/>
      <c r="L107" s="290"/>
      <c r="M107" s="283"/>
      <c r="N107" s="283"/>
      <c r="P107" s="283"/>
      <c r="Q107" s="283"/>
      <c r="S107" s="3245">
        <f>G107</f>
        <v>14000</v>
      </c>
      <c r="T107" s="3246"/>
      <c r="V107" s="832"/>
      <c r="W107" s="3359"/>
      <c r="X107" s="3360"/>
      <c r="Y107" s="3410"/>
      <c r="Z107" s="301"/>
      <c r="AA107" s="225" t="s">
        <v>4592</v>
      </c>
      <c r="AB107" s="147"/>
      <c r="AC107" s="147"/>
      <c r="AD107" s="147"/>
      <c r="AF107" s="1825" t="s">
        <v>4593</v>
      </c>
      <c r="AZ107" s="2514" t="s">
        <v>4278</v>
      </c>
      <c r="BA107" s="2513">
        <v>107</v>
      </c>
    </row>
    <row r="108" spans="1:53" s="144" customFormat="1" ht="12.65" customHeight="1">
      <c r="B108" s="144" t="s">
        <v>485</v>
      </c>
      <c r="E108" s="3411">
        <f>ROUNDUP('DCA Underwriting Assumptions'!$Q$70*J192,0)</f>
        <v>118279</v>
      </c>
      <c r="F108" s="3412"/>
      <c r="G108" s="3245">
        <v>118279</v>
      </c>
      <c r="H108" s="3246"/>
      <c r="J108" s="747" t="str">
        <f>IF(E108&gt;G108,"WARNING!  LIHTC Allocation Fee proposed is below minimum required.","")</f>
        <v/>
      </c>
      <c r="K108" s="283"/>
      <c r="L108" s="811"/>
      <c r="M108" s="283"/>
      <c r="N108" s="283"/>
      <c r="P108" s="283"/>
      <c r="Q108" s="283"/>
      <c r="S108" s="3245">
        <f>G108</f>
        <v>118279</v>
      </c>
      <c r="T108" s="3246"/>
      <c r="V108" s="832"/>
      <c r="W108" s="3359"/>
      <c r="X108" s="3360"/>
      <c r="Y108" s="3410"/>
      <c r="Z108" s="301"/>
      <c r="AA108" s="147" t="s">
        <v>4588</v>
      </c>
      <c r="AB108" s="147"/>
      <c r="AC108" s="147"/>
      <c r="AD108" s="234">
        <f>'Part V-Revenues &amp; Expenses'!P159+'Part V-Revenues &amp; Expenses'!P160</f>
        <v>0</v>
      </c>
      <c r="AF108" s="1823">
        <f>AD108*'DCA Underwriting Assumptions'!$Q$77</f>
        <v>0</v>
      </c>
      <c r="AZ108" s="2514" t="s">
        <v>4279</v>
      </c>
      <c r="BA108" s="2513">
        <v>108</v>
      </c>
    </row>
    <row r="109" spans="1:53" s="144" customFormat="1" ht="12.65" customHeight="1">
      <c r="B109" s="144" t="s">
        <v>701</v>
      </c>
      <c r="E109" s="3411">
        <f>AF111+AF115</f>
        <v>92800</v>
      </c>
      <c r="F109" s="3412"/>
      <c r="G109" s="3245">
        <v>92800</v>
      </c>
      <c r="H109" s="3246"/>
      <c r="I109" s="3413" t="str">
        <f>IF(E109&gt;G109,"WARNING!  LIHTC Compliance Fee proposed is below minimum required.","")</f>
        <v/>
      </c>
      <c r="J109" s="3414"/>
      <c r="K109" s="3414"/>
      <c r="L109" s="3414"/>
      <c r="M109" s="3414"/>
      <c r="N109" s="3414"/>
      <c r="O109" s="3414"/>
      <c r="P109" s="3414"/>
      <c r="Q109" s="3414"/>
      <c r="R109" s="3415"/>
      <c r="S109" s="3245">
        <v>92800</v>
      </c>
      <c r="T109" s="3246"/>
      <c r="V109" s="832"/>
      <c r="W109" s="3359"/>
      <c r="X109" s="3360"/>
      <c r="Y109" s="3410"/>
      <c r="Z109" s="301"/>
      <c r="AA109" s="147" t="s">
        <v>4181</v>
      </c>
      <c r="AB109" s="147"/>
      <c r="AC109" s="147"/>
      <c r="AD109" s="234">
        <f>'Part V-Revenues &amp; Expenses'!$P$163+'Part V-Revenues &amp; Expenses'!$P$164</f>
        <v>0</v>
      </c>
      <c r="AF109" s="1823">
        <f>AD109*'DCA Underwriting Assumptions'!$Q$77</f>
        <v>0</v>
      </c>
      <c r="AZ109" s="2514"/>
      <c r="BA109" s="2513">
        <v>109</v>
      </c>
    </row>
    <row r="110" spans="1:53" s="144" customFormat="1" ht="12.65" customHeight="1">
      <c r="B110" s="144" t="s">
        <v>3362</v>
      </c>
      <c r="F110" s="952"/>
      <c r="G110" s="3245">
        <v>4000</v>
      </c>
      <c r="H110" s="3246"/>
      <c r="I110" s="3413"/>
      <c r="J110" s="3414"/>
      <c r="K110" s="3414"/>
      <c r="L110" s="3414"/>
      <c r="M110" s="3414"/>
      <c r="N110" s="3414"/>
      <c r="O110" s="3414"/>
      <c r="P110" s="3414"/>
      <c r="Q110" s="3414"/>
      <c r="R110" s="3415"/>
      <c r="S110" s="3245">
        <v>4000</v>
      </c>
      <c r="T110" s="3246"/>
      <c r="V110" s="832"/>
      <c r="W110" s="3359"/>
      <c r="X110" s="3360"/>
      <c r="Y110" s="3410"/>
      <c r="AA110" s="147" t="s">
        <v>4589</v>
      </c>
      <c r="AB110" s="147"/>
      <c r="AC110" s="147"/>
      <c r="AD110" s="234">
        <f>'Part V-Revenues &amp; Expenses'!$P$165+'Part V-Revenues &amp; Expenses'!$P$166</f>
        <v>0</v>
      </c>
      <c r="AF110" s="1823">
        <f>AD110*'DCA Underwriting Assumptions'!$Q$77</f>
        <v>0</v>
      </c>
      <c r="AZ110" s="2514"/>
      <c r="BA110" s="2513">
        <v>110</v>
      </c>
    </row>
    <row r="111" spans="1:53" s="144" customFormat="1" ht="12.65" customHeight="1">
      <c r="B111" s="144" t="s">
        <v>4723</v>
      </c>
      <c r="F111" s="952">
        <f>ROUNDUP('DCA Underwriting Assumptions'!$Q$73,0)</f>
        <v>8000</v>
      </c>
      <c r="G111" s="3245">
        <f>8000</f>
        <v>8000</v>
      </c>
      <c r="H111" s="3246"/>
      <c r="J111" s="145"/>
      <c r="K111" s="145"/>
      <c r="L111" s="145"/>
      <c r="M111" s="145"/>
      <c r="N111" s="145"/>
      <c r="O111" s="145"/>
      <c r="P111" s="145"/>
      <c r="Q111" s="145"/>
      <c r="S111" s="3245">
        <f>G111</f>
        <v>8000</v>
      </c>
      <c r="T111" s="3246"/>
      <c r="V111" s="832"/>
      <c r="W111" s="3359"/>
      <c r="X111" s="3360"/>
      <c r="AA111" s="147"/>
      <c r="AB111" s="1451" t="s">
        <v>4590</v>
      </c>
      <c r="AC111" s="147"/>
      <c r="AD111" s="1822">
        <f>SUM(AD108:AD110)</f>
        <v>0</v>
      </c>
      <c r="AF111" s="1824">
        <f>SUM(AF108:AF110)</f>
        <v>0</v>
      </c>
      <c r="AZ111" s="2514"/>
      <c r="BA111" s="2513">
        <v>111</v>
      </c>
    </row>
    <row r="112" spans="1:53" s="144" customFormat="1" ht="12.65" customHeight="1">
      <c r="A112" s="303" t="str">
        <f>IF(AND(G112&gt;0,OR(C112="",C112="&lt;Enter detailed description here; use Comments section if needed&gt;")),"X","")</f>
        <v/>
      </c>
      <c r="B112" s="147" t="s">
        <v>4169</v>
      </c>
      <c r="C112" s="3407" t="s">
        <v>4605</v>
      </c>
      <c r="D112" s="3407"/>
      <c r="E112" s="3407"/>
      <c r="F112" s="3408"/>
      <c r="G112" s="3245"/>
      <c r="H112" s="3246"/>
      <c r="J112" s="145"/>
      <c r="K112" s="145"/>
      <c r="L112" s="145"/>
      <c r="M112" s="145"/>
      <c r="N112" s="145"/>
      <c r="O112" s="145"/>
      <c r="P112" s="145"/>
      <c r="Q112" s="145"/>
      <c r="S112" s="3245"/>
      <c r="T112" s="3246"/>
      <c r="U112" s="302" t="str">
        <f>IF(AND(G112&gt;0,OR(C112="",C112="&lt;Enter detailed description here; use Comments section if needed&gt;")),"NO DESCRIPTION PROVIDED - please enter detailed description in Other box at left; use Comments section below if needed.","")</f>
        <v/>
      </c>
      <c r="V112" s="832"/>
      <c r="W112" s="3359"/>
      <c r="X112" s="3360"/>
      <c r="AA112" s="225" t="s">
        <v>4591</v>
      </c>
      <c r="AB112" s="147"/>
      <c r="AC112" s="231"/>
      <c r="AD112" s="147"/>
      <c r="AF112" s="1823"/>
      <c r="AZ112" s="2514"/>
      <c r="BA112" s="2513">
        <v>112</v>
      </c>
    </row>
    <row r="113" spans="1:53" s="144" customFormat="1" ht="12.65" customHeight="1" thickBot="1">
      <c r="A113" s="303" t="str">
        <f>IF(AND(G113&gt;0,OR(C113="",C113="&lt;Enter detailed description here; use Comments section if needed&gt;")),"X","")</f>
        <v/>
      </c>
      <c r="B113" s="147" t="s">
        <v>4169</v>
      </c>
      <c r="C113" s="3405" t="s">
        <v>4605</v>
      </c>
      <c r="D113" s="3405"/>
      <c r="E113" s="3405"/>
      <c r="F113" s="3406"/>
      <c r="G113" s="3255"/>
      <c r="H113" s="3256"/>
      <c r="J113" s="145"/>
      <c r="K113" s="145"/>
      <c r="L113" s="145"/>
      <c r="M113" s="145"/>
      <c r="N113" s="145"/>
      <c r="O113" s="145"/>
      <c r="P113" s="145"/>
      <c r="Q113" s="145"/>
      <c r="S113" s="3255"/>
      <c r="T113" s="3256"/>
      <c r="U113" s="302" t="str">
        <f>IF(AND(G113&gt;0,OR(C113="",C113="&lt;Enter detailed description here; use Comments section if needed&gt;")),"NO DESCRIPTION PROVIDED - please enter detailed description in Other box at left; use Comments section below if needed.","")</f>
        <v/>
      </c>
      <c r="V113" s="832"/>
      <c r="W113" s="3365"/>
      <c r="X113" s="3366"/>
      <c r="AA113" s="147" t="s">
        <v>36</v>
      </c>
      <c r="AB113" s="147"/>
      <c r="AC113" s="231"/>
      <c r="AD113" s="234">
        <f>'Part V-Revenues &amp; Expenses'!$P$150</f>
        <v>116</v>
      </c>
      <c r="AF113" s="1823">
        <f>IF($AD$105="Income Averaging",AD113*'DCA Underwriting Assumptions'!$Q$75,AD113*'DCA Underwriting Assumptions'!$Q$74)</f>
        <v>92800</v>
      </c>
      <c r="AZ113" s="2514" t="s">
        <v>4280</v>
      </c>
      <c r="BA113" s="2513">
        <v>113</v>
      </c>
    </row>
    <row r="114" spans="1:53" s="144" customFormat="1" ht="12.65" customHeight="1" thickTop="1">
      <c r="F114" s="281" t="s">
        <v>184</v>
      </c>
      <c r="G114" s="3367">
        <f>SUM(G105:G113)</f>
        <v>245079</v>
      </c>
      <c r="H114" s="3368"/>
      <c r="J114" s="283"/>
      <c r="K114" s="283"/>
      <c r="L114" s="811"/>
      <c r="M114" s="283"/>
      <c r="N114" s="283"/>
      <c r="P114" s="283"/>
      <c r="Q114" s="283"/>
      <c r="S114" s="3367">
        <f>SUM(S105:S113)</f>
        <v>245079</v>
      </c>
      <c r="T114" s="3368"/>
      <c r="V114" s="834">
        <f>SUM(V105:V113)</f>
        <v>0</v>
      </c>
      <c r="W114" s="3416"/>
      <c r="X114" s="3417"/>
      <c r="AA114" s="147" t="s">
        <v>4375</v>
      </c>
      <c r="AB114" s="147"/>
      <c r="AC114" s="241"/>
      <c r="AD114" s="234">
        <f>'Part V-Revenues &amp; Expenses'!$P$161+'Part V-Revenues &amp; Expenses'!$P$162</f>
        <v>0</v>
      </c>
      <c r="AF114" s="1823">
        <f>IF($AD$105="Income Averaging",AD114*'DCA Underwriting Assumptions'!$Q$75,AD114*'DCA Underwriting Assumptions'!$Q$74)</f>
        <v>0</v>
      </c>
      <c r="AZ114" s="2514" t="s">
        <v>4281</v>
      </c>
      <c r="BA114" s="2513">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4590</v>
      </c>
      <c r="AC115" s="147"/>
      <c r="AD115" s="1822">
        <f>SUM(AD113:AD114)</f>
        <v>116</v>
      </c>
      <c r="AF115" s="1824">
        <f>SUM(AF113:AF114)</f>
        <v>92800</v>
      </c>
      <c r="AZ115" s="2498"/>
      <c r="BA115" s="2513">
        <v>115</v>
      </c>
    </row>
    <row r="116" spans="1:53" s="144" customFormat="1" ht="12.65" customHeight="1">
      <c r="B116" s="144" t="s">
        <v>267</v>
      </c>
      <c r="G116" s="3361">
        <v>5000</v>
      </c>
      <c r="H116" s="3362"/>
      <c r="J116" s="3409"/>
      <c r="K116" s="3409"/>
      <c r="L116" s="811"/>
      <c r="M116" s="3409"/>
      <c r="N116" s="3409"/>
      <c r="P116" s="3409"/>
      <c r="Q116" s="3409"/>
      <c r="S116" s="3361">
        <f>G116</f>
        <v>5000</v>
      </c>
      <c r="T116" s="3362"/>
      <c r="V116" s="832"/>
      <c r="W116" s="3359"/>
      <c r="X116" s="3360"/>
      <c r="AZ116" s="2498"/>
      <c r="BA116" s="2513">
        <v>116</v>
      </c>
    </row>
    <row r="117" spans="1:53" s="144" customFormat="1" ht="12.65" customHeight="1">
      <c r="B117" s="144" t="s">
        <v>268</v>
      </c>
      <c r="G117" s="3245"/>
      <c r="H117" s="3246"/>
      <c r="J117" s="3409"/>
      <c r="K117" s="3409"/>
      <c r="L117" s="811"/>
      <c r="M117" s="3409"/>
      <c r="N117" s="3409"/>
      <c r="P117" s="3409"/>
      <c r="Q117" s="3409"/>
      <c r="S117" s="3245"/>
      <c r="T117" s="3246"/>
      <c r="V117" s="832"/>
      <c r="W117" s="3359"/>
      <c r="X117" s="3360"/>
      <c r="AZ117" s="2498"/>
      <c r="BA117" s="2513">
        <v>117</v>
      </c>
    </row>
    <row r="118" spans="1:53" s="144" customFormat="1" ht="12.65" customHeight="1">
      <c r="B118" s="144" t="s">
        <v>2194</v>
      </c>
      <c r="G118" s="3245">
        <v>55000</v>
      </c>
      <c r="H118" s="3246"/>
      <c r="J118" s="3409"/>
      <c r="K118" s="3409"/>
      <c r="L118" s="811"/>
      <c r="M118" s="3409"/>
      <c r="N118" s="3409"/>
      <c r="P118" s="3409"/>
      <c r="Q118" s="3409"/>
      <c r="S118" s="3245">
        <f>G118</f>
        <v>55000</v>
      </c>
      <c r="T118" s="3246"/>
      <c r="V118" s="832"/>
      <c r="W118" s="3359"/>
      <c r="X118" s="3360"/>
      <c r="AZ118" s="2498"/>
      <c r="BA118" s="2513">
        <v>118</v>
      </c>
    </row>
    <row r="119" spans="1:53" s="144" customFormat="1" ht="12.65" customHeight="1" thickBot="1">
      <c r="A119" s="303" t="str">
        <f>IF(AND(G119&gt;0,OR(C119="",C119="&lt;Enter detailed description here; use Comments section if needed&gt;")),"X","")</f>
        <v/>
      </c>
      <c r="B119" s="147" t="s">
        <v>4169</v>
      </c>
      <c r="C119" s="3363" t="s">
        <v>4605</v>
      </c>
      <c r="D119" s="3363"/>
      <c r="E119" s="3363"/>
      <c r="F119" s="3364"/>
      <c r="G119" s="3255"/>
      <c r="H119" s="3256"/>
      <c r="J119" s="3409"/>
      <c r="K119" s="3409"/>
      <c r="L119" s="811"/>
      <c r="M119" s="3409"/>
      <c r="N119" s="3409"/>
      <c r="P119" s="3409"/>
      <c r="Q119" s="3409"/>
      <c r="S119" s="3255"/>
      <c r="T119" s="3256"/>
      <c r="U119" s="302" t="str">
        <f>IF(AND(G119&gt;0,OR(C119="",C119="&lt;Enter detailed description here; use Comments section if needed&gt;")),"NO DESCRIPTION PROVIDED - please enter detailed description in Other box at left; use Comments section below if needed.","")</f>
        <v/>
      </c>
      <c r="V119" s="832"/>
      <c r="W119" s="3365"/>
      <c r="X119" s="3366"/>
      <c r="AZ119" s="2498"/>
      <c r="BA119" s="2513">
        <v>119</v>
      </c>
    </row>
    <row r="120" spans="1:53" s="144" customFormat="1" ht="12.65" customHeight="1" thickTop="1">
      <c r="F120" s="281" t="s">
        <v>184</v>
      </c>
      <c r="G120" s="3367">
        <f>SUM(G116:G119)</f>
        <v>60000</v>
      </c>
      <c r="H120" s="3368"/>
      <c r="J120" s="3409"/>
      <c r="K120" s="3409"/>
      <c r="L120" s="811"/>
      <c r="M120" s="3409"/>
      <c r="N120" s="3409"/>
      <c r="P120" s="3409"/>
      <c r="Q120" s="3409"/>
      <c r="S120" s="3367">
        <f>SUM(S116:S119)</f>
        <v>60000</v>
      </c>
      <c r="T120" s="3368"/>
      <c r="V120" s="834">
        <f>SUM(V116:V119)</f>
        <v>0</v>
      </c>
      <c r="W120" s="3369"/>
      <c r="X120" s="3370"/>
      <c r="AC120" s="3418" t="s">
        <v>3796</v>
      </c>
      <c r="AD120" s="3418" t="s">
        <v>3797</v>
      </c>
      <c r="AE120" s="3420" t="s">
        <v>3800</v>
      </c>
      <c r="AF120" s="3421" t="s">
        <v>3798</v>
      </c>
      <c r="AG120" s="3420" t="s">
        <v>3789</v>
      </c>
      <c r="AH120" s="3423" t="s">
        <v>4625</v>
      </c>
      <c r="AI120" s="3423"/>
      <c r="AZ120" s="2498"/>
      <c r="BA120" s="2513">
        <v>120</v>
      </c>
    </row>
    <row r="121" spans="1:53" s="144" customFormat="1" ht="12" customHeight="1">
      <c r="B121" s="243" t="s">
        <v>269</v>
      </c>
      <c r="E121" s="483" t="s">
        <v>3799</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35"/>
      <c r="W121" s="144" t="str">
        <f>B121</f>
        <v>DEVELOPER'S FEE</v>
      </c>
      <c r="Y121" s="1222" t="s">
        <v>3787</v>
      </c>
      <c r="Z121" s="236"/>
      <c r="AA121" s="231" t="s">
        <v>3793</v>
      </c>
      <c r="AB121" s="231" t="s">
        <v>3794</v>
      </c>
      <c r="AC121" s="3419"/>
      <c r="AD121" s="3419"/>
      <c r="AE121" s="3157"/>
      <c r="AF121" s="3422"/>
      <c r="AG121" s="3420"/>
      <c r="AH121" s="3423"/>
      <c r="AI121" s="3423"/>
      <c r="AK121" s="44"/>
      <c r="AZ121" s="2498" t="s">
        <v>4282</v>
      </c>
      <c r="BA121" s="2513">
        <v>121</v>
      </c>
    </row>
    <row r="122" spans="1:53" s="144" customFormat="1" ht="12.65" customHeight="1">
      <c r="B122" s="144" t="s">
        <v>1719</v>
      </c>
      <c r="F122" s="322">
        <f>IF($G$127=0,0,G122/$G$127)</f>
        <v>0.45</v>
      </c>
      <c r="G122" s="3436">
        <v>1158300</v>
      </c>
      <c r="H122" s="3436"/>
      <c r="J122" s="3437"/>
      <c r="K122" s="3438"/>
      <c r="L122" s="282"/>
      <c r="M122" s="3437">
        <v>115830</v>
      </c>
      <c r="N122" s="3438"/>
      <c r="P122" s="3437">
        <v>1042470</v>
      </c>
      <c r="Q122" s="3438"/>
      <c r="S122" s="3437"/>
      <c r="T122" s="3438"/>
      <c r="V122" s="832"/>
      <c r="W122" s="3359"/>
      <c r="X122" s="3360"/>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24">
        <f>SUM(AE122:AE124)</f>
        <v>2285000</v>
      </c>
      <c r="AG122" s="3427">
        <f>'DCA Underwriting Assumptions'!$Q$89</f>
        <v>2285000</v>
      </c>
      <c r="AH122" s="3430">
        <f>MIN(AF122,AG122)</f>
        <v>2285000</v>
      </c>
      <c r="AI122" s="3431"/>
      <c r="AZ122" s="2498"/>
      <c r="BA122" s="2513">
        <v>122</v>
      </c>
    </row>
    <row r="123" spans="1:53" s="144" customFormat="1" ht="12.65" customHeight="1">
      <c r="B123" s="144" t="s">
        <v>3324</v>
      </c>
      <c r="F123" s="932">
        <v>453347</v>
      </c>
      <c r="G123" s="241" t="s">
        <v>4606</v>
      </c>
      <c r="V123" s="832"/>
      <c r="W123" s="3359"/>
      <c r="X123" s="3360"/>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425"/>
      <c r="AG123" s="3428"/>
      <c r="AH123" s="3432"/>
      <c r="AI123" s="3433"/>
      <c r="AZ123" s="2498"/>
      <c r="BA123" s="2513">
        <v>123</v>
      </c>
    </row>
    <row r="124" spans="1:53" s="144" customFormat="1" ht="12.65" customHeight="1">
      <c r="B124" s="144" t="s">
        <v>1720</v>
      </c>
      <c r="F124" s="322">
        <f>IF($G$127=0,0,G124/$G$127)</f>
        <v>0</v>
      </c>
      <c r="G124" s="3361"/>
      <c r="H124" s="3362"/>
      <c r="J124" s="3361"/>
      <c r="K124" s="3362"/>
      <c r="L124" s="811"/>
      <c r="M124" s="3361"/>
      <c r="N124" s="3362"/>
      <c r="P124" s="3361"/>
      <c r="Q124" s="3362"/>
      <c r="S124" s="3361"/>
      <c r="T124" s="3362"/>
      <c r="V124" s="832"/>
      <c r="W124" s="3359"/>
      <c r="X124" s="3360"/>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470000</v>
      </c>
      <c r="AF124" s="3426"/>
      <c r="AG124" s="3429"/>
      <c r="AH124" s="3434"/>
      <c r="AI124" s="3435"/>
      <c r="AZ124" s="2498"/>
      <c r="BA124" s="2513">
        <v>124</v>
      </c>
    </row>
    <row r="125" spans="1:53" s="144" customFormat="1" ht="12.65" customHeight="1">
      <c r="B125" s="144" t="s">
        <v>3080</v>
      </c>
      <c r="F125" s="322">
        <f>IF($G$127=0,0,G125/$G$127)</f>
        <v>0</v>
      </c>
      <c r="G125" s="3245"/>
      <c r="H125" s="3246"/>
      <c r="J125" s="3245"/>
      <c r="K125" s="3246"/>
      <c r="L125" s="811"/>
      <c r="M125" s="3245"/>
      <c r="N125" s="3246"/>
      <c r="P125" s="3245"/>
      <c r="Q125" s="3246"/>
      <c r="S125" s="3245"/>
      <c r="T125" s="3246"/>
      <c r="V125" s="832"/>
      <c r="W125" s="3359"/>
      <c r="X125" s="3360"/>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24">
        <f>SUM(AE125:AE127)</f>
        <v>2574000</v>
      </c>
      <c r="AG125" s="3424">
        <f>'DCA Underwriting Assumptions'!$Q$90</f>
        <v>4000000</v>
      </c>
      <c r="AH125" s="3430">
        <f>MIN(AF125,AG125)</f>
        <v>2574000</v>
      </c>
      <c r="AI125" s="3431"/>
      <c r="AZ125" s="2498"/>
      <c r="BA125" s="2513">
        <v>125</v>
      </c>
    </row>
    <row r="126" spans="1:53" s="144" customFormat="1" ht="12.65" customHeight="1" thickBot="1">
      <c r="B126" s="144" t="s">
        <v>1712</v>
      </c>
      <c r="F126" s="322">
        <f>IF($G$127=0,0,G126/$G$127)</f>
        <v>0.55000000000000004</v>
      </c>
      <c r="G126" s="3255">
        <v>1415700</v>
      </c>
      <c r="H126" s="3256"/>
      <c r="J126" s="3255"/>
      <c r="K126" s="3256"/>
      <c r="L126" s="811"/>
      <c r="M126" s="3255">
        <v>141570</v>
      </c>
      <c r="N126" s="3256"/>
      <c r="P126" s="3255">
        <v>1274130</v>
      </c>
      <c r="Q126" s="3256"/>
      <c r="S126" s="3255"/>
      <c r="T126" s="3256"/>
      <c r="V126" s="832"/>
      <c r="W126" s="3365"/>
      <c r="X126" s="3366"/>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425"/>
      <c r="AG126" s="3425"/>
      <c r="AH126" s="3432"/>
      <c r="AI126" s="3433"/>
      <c r="AZ126" s="2514"/>
      <c r="BA126" s="2513">
        <v>126</v>
      </c>
    </row>
    <row r="127" spans="1:53" s="144" customFormat="1" ht="12.65" customHeight="1" thickTop="1">
      <c r="A127" s="1238" t="str">
        <f>IF(G127&gt;E127,"DF over limit!  Round down/Enter nbr.","")</f>
        <v/>
      </c>
      <c r="B127" s="1842"/>
      <c r="D127" s="483" t="s">
        <v>3795</v>
      </c>
      <c r="E127" s="1843">
        <f>IF(AF122+AF125=0,"Fill in Rent Chart!",IF(F121="9%",AH122,IF(F121="4%",AH125,"Select App Type!")))</f>
        <v>2574000</v>
      </c>
      <c r="F127" s="281" t="s">
        <v>184</v>
      </c>
      <c r="G127" s="3367">
        <f>SUM(G122:G126)</f>
        <v>2574000</v>
      </c>
      <c r="H127" s="3439"/>
      <c r="J127" s="3367">
        <f>SUM(J122:J126)</f>
        <v>0</v>
      </c>
      <c r="K127" s="3439"/>
      <c r="L127" s="811"/>
      <c r="M127" s="3367">
        <f>SUM(M122:M126)</f>
        <v>257400</v>
      </c>
      <c r="N127" s="3439"/>
      <c r="P127" s="3367">
        <f>SUM(P122:P126)</f>
        <v>2316600</v>
      </c>
      <c r="Q127" s="3439"/>
      <c r="S127" s="3367">
        <f>SUM(S122:S126)</f>
        <v>0</v>
      </c>
      <c r="T127" s="3439"/>
      <c r="V127" s="834">
        <f>SUM(V122:V126)</f>
        <v>0</v>
      </c>
      <c r="W127" s="3369"/>
      <c r="X127" s="3370"/>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759000</v>
      </c>
      <c r="AF127" s="3426"/>
      <c r="AG127" s="3426"/>
      <c r="AH127" s="3434"/>
      <c r="AI127" s="3435"/>
      <c r="AZ127" s="2514"/>
      <c r="BA127" s="2513">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514" t="s">
        <v>4283</v>
      </c>
      <c r="BA128" s="2513">
        <v>128</v>
      </c>
    </row>
    <row r="129" spans="1:53" s="144" customFormat="1" ht="12.65" customHeight="1">
      <c r="B129" s="144" t="s">
        <v>241</v>
      </c>
      <c r="G129" s="3361">
        <v>20000</v>
      </c>
      <c r="H129" s="3362"/>
      <c r="J129" s="291"/>
      <c r="K129" s="291"/>
      <c r="L129" s="291"/>
      <c r="M129" s="291"/>
      <c r="N129" s="291"/>
      <c r="P129" s="291"/>
      <c r="Q129" s="291"/>
      <c r="S129" s="3361">
        <f>G129</f>
        <v>20000</v>
      </c>
      <c r="T129" s="3362"/>
      <c r="V129" s="832"/>
      <c r="W129" s="3359"/>
      <c r="X129" s="3360"/>
      <c r="Z129" s="1234"/>
      <c r="AB129" s="44"/>
      <c r="AC129"/>
      <c r="AD129"/>
      <c r="AF129"/>
      <c r="AG129"/>
      <c r="AH129"/>
      <c r="AI129"/>
      <c r="AJ129"/>
      <c r="AK129"/>
      <c r="AZ129" s="2514" t="s">
        <v>4284</v>
      </c>
      <c r="BA129" s="2513">
        <v>129</v>
      </c>
    </row>
    <row r="130" spans="1:53" s="144" customFormat="1" ht="12.65" customHeight="1">
      <c r="B130" s="144" t="s">
        <v>1434</v>
      </c>
      <c r="F130" s="364">
        <f>+'Part V-Revenues &amp; Expenses'!$Q$250*('DCA Underwriting Assumptions'!$Q$105/12)</f>
        <v>221748.5</v>
      </c>
      <c r="G130" s="3245">
        <v>221749</v>
      </c>
      <c r="H130" s="3246"/>
      <c r="J130" s="748" t="str">
        <f>IF(E130&gt;G130,"WARNING! Rent-Up Reserves proposed is below minimum - add comment.","")</f>
        <v/>
      </c>
      <c r="K130" s="748"/>
      <c r="L130" s="811"/>
      <c r="M130" s="734"/>
      <c r="N130" s="734"/>
      <c r="P130" s="734"/>
      <c r="Q130" s="734"/>
      <c r="S130" s="3245">
        <f>G130</f>
        <v>221749</v>
      </c>
      <c r="T130" s="3246"/>
      <c r="V130" s="832"/>
      <c r="W130" s="3359"/>
      <c r="X130" s="3360"/>
      <c r="Y130"/>
      <c r="Z130" s="1235"/>
      <c r="AB130" s="236"/>
      <c r="AD130"/>
      <c r="AG130"/>
      <c r="AH130"/>
      <c r="AI130"/>
      <c r="AZ130" s="2514"/>
      <c r="BA130" s="2513">
        <v>130</v>
      </c>
    </row>
    <row r="131" spans="1:53" s="144" customFormat="1" ht="12.65" customHeight="1">
      <c r="B131" s="144" t="s">
        <v>631</v>
      </c>
      <c r="F131" s="364">
        <f>'Part V-Revenues &amp; Expenses'!$Q$250*('DCA Underwriting Assumptions'!$Q$103/12)+('Part VI-Pro Forma'!$B$26+'Part VI-Pro Forma'!$B$27+'Part VI-Pro Forma'!$B$28+'Part VI-Pro Forma'!$B$29)*'DCA Underwriting Assumptions'!$Q$102/(-12)</f>
        <v>684979.47747895948</v>
      </c>
      <c r="G131" s="3245">
        <v>684979</v>
      </c>
      <c r="H131" s="3246"/>
      <c r="J131" s="748" t="str">
        <f>IF(E131&gt;G131,"WARNING! ODR proposed is below minimum - add comment.","")</f>
        <v/>
      </c>
      <c r="K131" s="290"/>
      <c r="L131" s="290"/>
      <c r="M131" s="290"/>
      <c r="N131" s="290"/>
      <c r="P131" s="290"/>
      <c r="Q131" s="290"/>
      <c r="S131" s="3245">
        <f>G131</f>
        <v>684979</v>
      </c>
      <c r="T131" s="3246"/>
      <c r="V131" s="832"/>
      <c r="W131" s="3359"/>
      <c r="X131" s="3360"/>
      <c r="Y131"/>
      <c r="Z131" s="1235"/>
      <c r="AB131" s="236"/>
      <c r="AD131"/>
      <c r="AG131"/>
      <c r="AH131"/>
      <c r="AI131"/>
      <c r="AZ131" s="2514"/>
      <c r="BA131" s="2513">
        <v>131</v>
      </c>
    </row>
    <row r="132" spans="1:53" s="144" customFormat="1" ht="12.65" customHeight="1">
      <c r="B132" s="144" t="s">
        <v>5096</v>
      </c>
      <c r="E132" s="644" t="s">
        <v>5097</v>
      </c>
      <c r="F132" s="364">
        <f>'Part V-Revenues &amp; Expenses'!$L$266+'Part V-Revenues &amp; Expenses'!$L$267</f>
        <v>268667</v>
      </c>
      <c r="G132" s="3245">
        <v>268667</v>
      </c>
      <c r="H132" s="3246"/>
      <c r="J132" s="748"/>
      <c r="K132" s="290"/>
      <c r="L132" s="290"/>
      <c r="M132" s="290"/>
      <c r="N132" s="290"/>
      <c r="P132" s="290"/>
      <c r="Q132" s="290"/>
      <c r="S132" s="3245">
        <f>G132</f>
        <v>268667</v>
      </c>
      <c r="T132" s="3246"/>
      <c r="V132" s="832"/>
      <c r="W132" s="3359"/>
      <c r="X132" s="3360"/>
      <c r="Y132"/>
      <c r="Z132" s="1235"/>
      <c r="AB132" s="236"/>
      <c r="AD132"/>
      <c r="AG132"/>
      <c r="AH132"/>
      <c r="AI132"/>
      <c r="AZ132" s="2514"/>
      <c r="BA132" s="2513">
        <v>132</v>
      </c>
    </row>
    <row r="133" spans="1:53" s="144" customFormat="1" ht="12.65" customHeight="1">
      <c r="B133" s="144" t="s">
        <v>1169</v>
      </c>
      <c r="G133" s="3245">
        <v>116000</v>
      </c>
      <c r="H133" s="3246"/>
      <c r="J133" s="291"/>
      <c r="K133" s="291"/>
      <c r="L133" s="291"/>
      <c r="M133" s="291"/>
      <c r="N133" s="291"/>
      <c r="P133" s="291"/>
      <c r="Q133" s="291"/>
      <c r="S133" s="3245">
        <f>G133</f>
        <v>116000</v>
      </c>
      <c r="T133" s="3246"/>
      <c r="V133" s="832"/>
      <c r="W133" s="3359"/>
      <c r="X133" s="3360"/>
      <c r="AZ133" s="2514" t="s">
        <v>4285</v>
      </c>
      <c r="BA133" s="2513">
        <v>133</v>
      </c>
    </row>
    <row r="134" spans="1:53" s="144" customFormat="1" ht="12.65" customHeight="1">
      <c r="B134" s="144" t="s">
        <v>1170</v>
      </c>
      <c r="E134" s="644" t="s">
        <v>3054</v>
      </c>
      <c r="F134" s="364">
        <f>IF('Part V-Revenues &amp; Expenses'!$P$76=0,0,G134/'Part V-Revenues &amp; Expenses'!$P$76)</f>
        <v>2158.6206896551726</v>
      </c>
      <c r="G134" s="3245">
        <v>250400</v>
      </c>
      <c r="H134" s="3246"/>
      <c r="J134" s="3361"/>
      <c r="K134" s="3362"/>
      <c r="L134" s="811"/>
      <c r="M134" s="3361"/>
      <c r="N134" s="3362"/>
      <c r="P134" s="3361">
        <f>G134</f>
        <v>250400</v>
      </c>
      <c r="Q134" s="3362"/>
      <c r="S134" s="3245"/>
      <c r="T134" s="3246"/>
      <c r="V134" s="832"/>
      <c r="W134" s="3359"/>
      <c r="X134" s="3360"/>
      <c r="AZ134" s="2514" t="s">
        <v>4286</v>
      </c>
      <c r="BA134" s="2513">
        <v>134</v>
      </c>
    </row>
    <row r="135" spans="1:53" s="144" customFormat="1" ht="12.65" customHeight="1" thickBot="1">
      <c r="A135" s="303" t="str">
        <f>IF(AND(G135&gt;0,OR(C135="",C135="&lt;Enter detailed description here; use Comments section if needed&gt;")),"X","")</f>
        <v/>
      </c>
      <c r="B135" s="147" t="s">
        <v>4169</v>
      </c>
      <c r="C135" s="3363" t="s">
        <v>5222</v>
      </c>
      <c r="D135" s="3363"/>
      <c r="E135" s="3363"/>
      <c r="F135" s="3364"/>
      <c r="G135" s="3255">
        <v>124716</v>
      </c>
      <c r="H135" s="3256"/>
      <c r="J135" s="3371"/>
      <c r="K135" s="3372"/>
      <c r="L135" s="811"/>
      <c r="M135" s="3255"/>
      <c r="N135" s="3256"/>
      <c r="P135" s="3255"/>
      <c r="Q135" s="3256"/>
      <c r="S135" s="3255">
        <f>G135</f>
        <v>124716</v>
      </c>
      <c r="T135" s="3256"/>
      <c r="U135" s="302" t="str">
        <f>IF(AND(G135&gt;0,OR(C135="",C135="&lt;Enter detailed description here; use Comments section if needed&gt;")),"NO DESCRIPTION PROVIDED - please enter detailed description in Other box at left; use Comments section below if needed.","")</f>
        <v/>
      </c>
      <c r="V135" s="832"/>
      <c r="W135" s="3365"/>
      <c r="X135" s="3366"/>
      <c r="AZ135" s="2514"/>
      <c r="BA135" s="2513">
        <v>135</v>
      </c>
    </row>
    <row r="136" spans="1:53" s="144" customFormat="1" ht="12.65" customHeight="1" thickTop="1">
      <c r="B136" s="292"/>
      <c r="F136" s="281" t="s">
        <v>184</v>
      </c>
      <c r="G136" s="3367">
        <f>SUM(G129:G135)</f>
        <v>1686511</v>
      </c>
      <c r="H136" s="3368"/>
      <c r="J136" s="3367">
        <f>SUM(J134:J135)</f>
        <v>0</v>
      </c>
      <c r="K136" s="3368"/>
      <c r="L136" s="811"/>
      <c r="M136" s="3367">
        <f>SUM(M134:M135)</f>
        <v>0</v>
      </c>
      <c r="N136" s="3368"/>
      <c r="P136" s="3367">
        <f>SUM(P134:P135)</f>
        <v>250400</v>
      </c>
      <c r="Q136" s="3368"/>
      <c r="S136" s="3367">
        <f>SUM(S129:S135)</f>
        <v>1436111</v>
      </c>
      <c r="T136" s="3368"/>
      <c r="V136" s="834">
        <f>SUM(V129:V135)</f>
        <v>0</v>
      </c>
      <c r="W136" s="3369"/>
      <c r="X136" s="3370"/>
      <c r="AZ136" s="2514"/>
      <c r="BA136" s="2513">
        <v>136</v>
      </c>
    </row>
    <row r="137" spans="1:53" s="144" customFormat="1" ht="3" customHeight="1">
      <c r="I137" s="293"/>
      <c r="L137" s="293"/>
      <c r="V137" s="835"/>
      <c r="AZ137" s="2514"/>
      <c r="BA137" s="2513">
        <v>137</v>
      </c>
    </row>
    <row r="138" spans="1:53" s="144" customFormat="1" ht="3.65" customHeight="1">
      <c r="D138" s="246"/>
      <c r="E138" s="246"/>
      <c r="I138" s="288"/>
      <c r="J138" s="288"/>
      <c r="K138" s="294"/>
      <c r="L138" s="246"/>
      <c r="V138" s="835"/>
      <c r="AZ138" s="2514"/>
      <c r="BA138" s="2513">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514"/>
      <c r="BA139" s="2513">
        <v>139</v>
      </c>
    </row>
    <row r="140" spans="1:53" s="144" customFormat="1" ht="18" customHeight="1" thickBot="1">
      <c r="A140" s="342" t="s">
        <v>572</v>
      </c>
      <c r="B140" s="342" t="s">
        <v>2517</v>
      </c>
      <c r="J140" s="3349" t="s">
        <v>259</v>
      </c>
      <c r="K140" s="3350"/>
      <c r="L140" s="280"/>
      <c r="M140" s="3353" t="s">
        <v>459</v>
      </c>
      <c r="N140" s="3354"/>
      <c r="P140" s="3349" t="s">
        <v>260</v>
      </c>
      <c r="Q140" s="3350"/>
      <c r="S140" s="3349" t="s">
        <v>261</v>
      </c>
      <c r="T140" s="3350"/>
      <c r="V140" s="343" t="str">
        <f>B140</f>
        <v>DEVELOPMENT BUDGET  (cont'd)</v>
      </c>
      <c r="AZ140" s="2514"/>
      <c r="BA140" s="2513">
        <v>140</v>
      </c>
    </row>
    <row r="141" spans="1:53" s="144" customFormat="1" ht="18" customHeight="1" thickBot="1">
      <c r="G141" s="3357" t="s">
        <v>95</v>
      </c>
      <c r="H141" s="3358"/>
      <c r="J141" s="3351"/>
      <c r="K141" s="3352"/>
      <c r="L141" s="280"/>
      <c r="M141" s="3355"/>
      <c r="N141" s="3356"/>
      <c r="P141" s="3351"/>
      <c r="Q141" s="3352"/>
      <c r="S141" s="3351"/>
      <c r="T141" s="3352"/>
      <c r="V141" s="253" t="s">
        <v>2441</v>
      </c>
      <c r="X141" s="253"/>
      <c r="AZ141" s="2514"/>
      <c r="BA141" s="2513">
        <v>141</v>
      </c>
    </row>
    <row r="142" spans="1:53" s="144" customFormat="1" ht="13.4"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514"/>
      <c r="BA142" s="2513">
        <v>142</v>
      </c>
    </row>
    <row r="143" spans="1:53" s="144" customFormat="1" ht="12.65" customHeight="1">
      <c r="B143" s="144" t="s">
        <v>568</v>
      </c>
      <c r="C143" s="246"/>
      <c r="G143" s="3361">
        <v>315232</v>
      </c>
      <c r="H143" s="3362"/>
      <c r="J143" s="3361"/>
      <c r="K143" s="3362"/>
      <c r="L143" s="282"/>
      <c r="M143" s="3361"/>
      <c r="N143" s="3362"/>
      <c r="P143" s="3361">
        <v>315232</v>
      </c>
      <c r="Q143" s="3362"/>
      <c r="S143" s="3361"/>
      <c r="T143" s="3362"/>
      <c r="V143" s="832"/>
      <c r="W143" s="3359"/>
      <c r="X143" s="3360"/>
      <c r="AZ143" s="2514"/>
      <c r="BA143" s="2513">
        <v>143</v>
      </c>
    </row>
    <row r="144" spans="1:53" s="144" customFormat="1" ht="12.65" customHeight="1" thickBot="1">
      <c r="A144" s="303" t="str">
        <f>IF(AND(G144&gt;0,OR(C144="",C144="&lt;Enter detailed description here; use Comments section if needed&gt;")),"X","")</f>
        <v/>
      </c>
      <c r="B144" s="147" t="s">
        <v>4169</v>
      </c>
      <c r="C144" s="3363" t="s">
        <v>4605</v>
      </c>
      <c r="D144" s="3363"/>
      <c r="E144" s="3363"/>
      <c r="F144" s="3364"/>
      <c r="G144" s="3255"/>
      <c r="H144" s="3256"/>
      <c r="J144" s="3255"/>
      <c r="K144" s="3256"/>
      <c r="L144" s="811"/>
      <c r="M144" s="3255"/>
      <c r="N144" s="3256"/>
      <c r="P144" s="3255"/>
      <c r="Q144" s="3256"/>
      <c r="S144" s="3255"/>
      <c r="T144" s="3256"/>
      <c r="U144" s="302" t="str">
        <f>IF(AND(G144&gt;0,OR(C144="",C144="&lt;Enter detailed description here; use Comments section if needed&gt;")),"NO DESCRIPTION PROVIDED - please enter detailed description in Other box at left; use Comments section below if needed.","")</f>
        <v/>
      </c>
      <c r="V144" s="832"/>
      <c r="W144" s="3365"/>
      <c r="X144" s="3366"/>
      <c r="AZ144" s="2514"/>
      <c r="BA144" s="2513">
        <v>144</v>
      </c>
    </row>
    <row r="145" spans="1:53" s="144" customFormat="1" ht="12.65" customHeight="1" thickTop="1">
      <c r="C145" s="246"/>
      <c r="F145" s="281" t="s">
        <v>184</v>
      </c>
      <c r="G145" s="3367">
        <f>SUM(G143:G144)</f>
        <v>315232</v>
      </c>
      <c r="H145" s="3368"/>
      <c r="J145" s="3367">
        <f>SUM(J143:J144)</f>
        <v>0</v>
      </c>
      <c r="K145" s="3368"/>
      <c r="L145" s="811"/>
      <c r="M145" s="3367">
        <f>SUM(M143:M144)</f>
        <v>0</v>
      </c>
      <c r="N145" s="3368"/>
      <c r="P145" s="3367">
        <f>SUM(P143:P144)</f>
        <v>315232</v>
      </c>
      <c r="Q145" s="3368"/>
      <c r="S145" s="3367">
        <f>SUM(S143:S144)</f>
        <v>0</v>
      </c>
      <c r="T145" s="3368"/>
      <c r="V145" s="834">
        <f>SUM(V143:V144)</f>
        <v>0</v>
      </c>
      <c r="W145" s="3369"/>
      <c r="X145" s="3370"/>
      <c r="AZ145" s="2514"/>
      <c r="BA145" s="2513">
        <v>145</v>
      </c>
    </row>
    <row r="146" spans="1:53" s="144" customFormat="1" ht="15" customHeight="1" thickBot="1">
      <c r="C146" s="246"/>
      <c r="H146" s="288"/>
      <c r="I146" s="288"/>
      <c r="V146" s="835"/>
      <c r="W146" s="830"/>
      <c r="X146" s="831"/>
      <c r="AZ146" s="2514"/>
      <c r="BA146" s="2513">
        <v>146</v>
      </c>
    </row>
    <row r="147" spans="1:53" s="144" customFormat="1" ht="18.75" customHeight="1" thickBot="1">
      <c r="B147" s="1617" t="s">
        <v>4384</v>
      </c>
      <c r="E147" s="644"/>
      <c r="F147" s="1239"/>
      <c r="G147" s="3440">
        <f>G18+G24+G28+G36+G41+G46+G55+G73+G86+G92+G103+G114+G120+G127+G136+G145</f>
        <v>38555004</v>
      </c>
      <c r="H147" s="3441"/>
      <c r="J147" s="3440">
        <f>J18+J24+J28+J36+J41+J46+J55+J73+J86+J92+J103+J114+J120+J127+J136+J145</f>
        <v>0</v>
      </c>
      <c r="K147" s="3441"/>
      <c r="M147" s="3440">
        <f>M18+M24+M28+M36+M41+M46+M55+M73+M86+M92+M103+M114+M120+M127+M136+M145</f>
        <v>13692400</v>
      </c>
      <c r="N147" s="3441"/>
      <c r="P147" s="3440">
        <f>P18+P24+P28+P36+P41+P46+P55+P73+P86+P92+P103+P114+P120+P127+P136+P145</f>
        <v>20655944</v>
      </c>
      <c r="Q147" s="3441"/>
      <c r="S147" s="3440">
        <f>S18+S24+S28+S36+S41+S46+S55+S73+S86+S92+S103+S114+S120+S127+S136+S145</f>
        <v>4206660</v>
      </c>
      <c r="T147" s="3441"/>
      <c r="V147" s="838">
        <f>V18+V24+V28+V36+V41+V46+V55+V73+V86+V92+V103+V114+V120+V127+V136+V145</f>
        <v>0</v>
      </c>
      <c r="W147" s="3442"/>
      <c r="X147" s="3370"/>
      <c r="AZ147" s="2514"/>
      <c r="BA147" s="2513">
        <v>147</v>
      </c>
    </row>
    <row r="148" spans="1:53" s="144" customFormat="1" ht="12" customHeight="1">
      <c r="C148" s="246"/>
      <c r="H148" s="288"/>
      <c r="I148" s="288"/>
      <c r="V148" s="835"/>
      <c r="AZ148" s="2514"/>
      <c r="BA148" s="2513">
        <v>148</v>
      </c>
    </row>
    <row r="149" spans="1:53" s="144" customFormat="1" ht="14.15" customHeight="1">
      <c r="B149" s="390" t="s">
        <v>2482</v>
      </c>
      <c r="C149" s="388"/>
      <c r="D149" s="3445">
        <f>IF('Part V-Revenues &amp; Expenses'!$P$76=0,0,G147/'Part V-Revenues &amp; Expenses'!$P$76)</f>
        <v>332370.72413793101</v>
      </c>
      <c r="E149" s="3445"/>
      <c r="F149" s="389" t="s">
        <v>2481</v>
      </c>
      <c r="G149" s="3446">
        <f>IF('Part V-Revenues &amp; Expenses'!$K$197=0,0,G147/'Part V-Revenues &amp; Expenses'!$K$197)</f>
        <v>301.06278940833806</v>
      </c>
      <c r="H149" s="3447"/>
      <c r="I149" s="293"/>
      <c r="V149" s="835"/>
      <c r="AZ149" s="2514"/>
      <c r="BA149" s="2513">
        <v>149</v>
      </c>
    </row>
    <row r="150" spans="1:53" s="144" customFormat="1" ht="21" customHeight="1" thickBot="1">
      <c r="B150" s="1610"/>
      <c r="C150" s="1611"/>
      <c r="D150" s="1612"/>
      <c r="E150" s="1612"/>
      <c r="F150" s="1613"/>
      <c r="G150" s="1413"/>
      <c r="H150" s="1413"/>
      <c r="I150" s="293"/>
      <c r="V150" s="835"/>
      <c r="AZ150" s="2514"/>
      <c r="BA150" s="2513">
        <v>150</v>
      </c>
    </row>
    <row r="151" spans="1:53" s="144" customFormat="1" ht="26.15" customHeight="1">
      <c r="A151" s="342" t="s">
        <v>688</v>
      </c>
      <c r="B151" s="344" t="s">
        <v>1339</v>
      </c>
      <c r="C151" s="374"/>
      <c r="D151" s="811"/>
      <c r="E151" s="811"/>
      <c r="F151" s="811"/>
      <c r="I151" s="295"/>
      <c r="J151" s="3349" t="s">
        <v>259</v>
      </c>
      <c r="K151" s="3350"/>
      <c r="M151" s="3349" t="s">
        <v>94</v>
      </c>
      <c r="N151" s="3350"/>
      <c r="P151" s="3349" t="s">
        <v>260</v>
      </c>
      <c r="Q151" s="3350"/>
      <c r="V151" s="835"/>
      <c r="W151" s="343" t="str">
        <f>B151</f>
        <v>TAX CREDIT CALCULATION - BASIS METHOD</v>
      </c>
      <c r="AZ151" s="2514"/>
      <c r="BA151" s="2513">
        <v>151</v>
      </c>
    </row>
    <row r="152" spans="1:53" s="144" customFormat="1" ht="15" customHeight="1" thickBot="1">
      <c r="B152" s="222" t="s">
        <v>1889</v>
      </c>
      <c r="D152" s="811"/>
      <c r="E152" s="811"/>
      <c r="I152" s="295"/>
      <c r="J152" s="3351"/>
      <c r="K152" s="3352"/>
      <c r="L152" s="374"/>
      <c r="M152" s="3351"/>
      <c r="N152" s="3352"/>
      <c r="P152" s="3351"/>
      <c r="Q152" s="3352"/>
      <c r="V152" s="835"/>
      <c r="W152" s="144" t="str">
        <f>B152</f>
        <v>Subtractions From Eligible Basis</v>
      </c>
      <c r="X152" s="253"/>
      <c r="AZ152" s="2514"/>
      <c r="BA152" s="2513">
        <v>152</v>
      </c>
    </row>
    <row r="153" spans="1:53" s="144" customFormat="1" ht="6" customHeight="1">
      <c r="D153" s="246"/>
      <c r="E153" s="246"/>
      <c r="I153" s="288"/>
      <c r="J153" s="288"/>
      <c r="K153" s="294"/>
      <c r="L153" s="246"/>
      <c r="V153" s="835"/>
      <c r="AZ153" s="2514"/>
      <c r="BA153" s="2513">
        <v>153</v>
      </c>
    </row>
    <row r="154" spans="1:53" s="144" customFormat="1" ht="14.15" customHeight="1">
      <c r="B154" s="246" t="s">
        <v>138</v>
      </c>
      <c r="I154" s="295"/>
      <c r="J154" s="3448"/>
      <c r="K154" s="3449"/>
      <c r="P154" s="3448"/>
      <c r="Q154" s="3449"/>
      <c r="V154" s="832"/>
      <c r="W154" s="3359"/>
      <c r="X154" s="3360"/>
      <c r="AZ154" s="2514"/>
      <c r="BA154" s="2513">
        <v>154</v>
      </c>
    </row>
    <row r="155" spans="1:53" s="144" customFormat="1" ht="14.15" customHeight="1">
      <c r="B155" s="144" t="s">
        <v>1993</v>
      </c>
      <c r="I155" s="295"/>
      <c r="J155" s="3443"/>
      <c r="K155" s="3444"/>
      <c r="P155" s="3443"/>
      <c r="Q155" s="3444"/>
      <c r="V155" s="832"/>
      <c r="W155" s="3359"/>
      <c r="X155" s="3360"/>
      <c r="AZ155" s="2514"/>
      <c r="BA155" s="2513">
        <v>155</v>
      </c>
    </row>
    <row r="156" spans="1:53" s="144" customFormat="1" ht="14.15" customHeight="1">
      <c r="B156" s="144" t="s">
        <v>1722</v>
      </c>
      <c r="I156" s="295"/>
      <c r="J156" s="3443"/>
      <c r="K156" s="3444"/>
      <c r="P156" s="3443"/>
      <c r="Q156" s="3444"/>
      <c r="V156" s="832"/>
      <c r="W156" s="3359"/>
      <c r="X156" s="3360"/>
      <c r="AZ156" s="2514"/>
      <c r="BA156" s="2513">
        <v>156</v>
      </c>
    </row>
    <row r="157" spans="1:53" s="144" customFormat="1" ht="14.15" customHeight="1">
      <c r="B157" s="144" t="s">
        <v>1723</v>
      </c>
      <c r="I157" s="295"/>
      <c r="J157" s="3443"/>
      <c r="K157" s="3444"/>
      <c r="P157" s="3443"/>
      <c r="Q157" s="3444"/>
      <c r="V157" s="832"/>
      <c r="W157" s="3359"/>
      <c r="X157" s="3360"/>
      <c r="AZ157" s="2514"/>
      <c r="BA157" s="2513">
        <v>157</v>
      </c>
    </row>
    <row r="158" spans="1:53" s="144" customFormat="1" ht="14.15" customHeight="1">
      <c r="B158" s="144" t="s">
        <v>243</v>
      </c>
      <c r="I158" s="295"/>
      <c r="J158" s="3443"/>
      <c r="K158" s="3444"/>
      <c r="P158" s="3443">
        <v>834612</v>
      </c>
      <c r="Q158" s="3444"/>
      <c r="V158" s="832"/>
      <c r="W158" s="3359"/>
      <c r="X158" s="3360"/>
      <c r="AZ158" s="2514"/>
      <c r="BA158" s="2513">
        <v>158</v>
      </c>
    </row>
    <row r="159" spans="1:53" s="144" customFormat="1" ht="14.15" customHeight="1" thickBot="1">
      <c r="B159" s="144" t="s">
        <v>1494</v>
      </c>
      <c r="C159" s="3450" t="s">
        <v>2218</v>
      </c>
      <c r="D159" s="3450"/>
      <c r="E159" s="3450"/>
      <c r="F159" s="3450"/>
      <c r="G159" s="3450"/>
      <c r="H159" s="3450"/>
      <c r="I159" s="3451"/>
      <c r="J159" s="3452"/>
      <c r="K159" s="3453"/>
      <c r="P159" s="3452"/>
      <c r="Q159" s="3453"/>
      <c r="V159" s="832"/>
      <c r="W159" s="3365"/>
      <c r="X159" s="3366"/>
      <c r="AZ159" s="2514"/>
      <c r="BA159" s="2513">
        <v>159</v>
      </c>
    </row>
    <row r="160" spans="1:53" s="144" customFormat="1" ht="14.15" customHeight="1" thickBot="1">
      <c r="B160" s="243" t="s">
        <v>1724</v>
      </c>
      <c r="C160" s="250"/>
      <c r="J160" s="3328">
        <f>SUM(J154:K159)</f>
        <v>0</v>
      </c>
      <c r="K160" s="3329"/>
      <c r="P160" s="3328">
        <f>SUM(P154:Q159)</f>
        <v>834612</v>
      </c>
      <c r="Q160" s="3329"/>
      <c r="V160" s="834">
        <f>SUM(V154:V159)</f>
        <v>0</v>
      </c>
      <c r="W160" s="3369"/>
      <c r="X160" s="3370"/>
      <c r="AZ160" s="2514"/>
      <c r="BA160" s="2513">
        <v>160</v>
      </c>
    </row>
    <row r="161" spans="1:53" s="144" customFormat="1" ht="3" customHeight="1">
      <c r="V161" s="835"/>
      <c r="AZ161" s="2514"/>
      <c r="BA161" s="2513">
        <v>161</v>
      </c>
    </row>
    <row r="162" spans="1:53" s="144" customFormat="1" ht="15" customHeight="1">
      <c r="B162" s="243" t="s">
        <v>2154</v>
      </c>
      <c r="V162" s="835"/>
      <c r="W162" s="144" t="str">
        <f>B162</f>
        <v>Eligible Basis Calculation</v>
      </c>
      <c r="AZ162" s="2514"/>
      <c r="BA162" s="2513">
        <v>162</v>
      </c>
    </row>
    <row r="163" spans="1:53" s="144" customFormat="1" ht="14.15" customHeight="1">
      <c r="B163" s="144" t="s">
        <v>1660</v>
      </c>
      <c r="J163" s="3454">
        <f>J147</f>
        <v>0</v>
      </c>
      <c r="K163" s="3455"/>
      <c r="M163" s="3456">
        <f>M147</f>
        <v>13692400</v>
      </c>
      <c r="N163" s="3457"/>
      <c r="P163" s="3454">
        <f>P147</f>
        <v>20655944</v>
      </c>
      <c r="Q163" s="3455"/>
      <c r="R163" s="3458" t="s">
        <v>4734</v>
      </c>
      <c r="S163" s="3459"/>
      <c r="T163" s="3459"/>
      <c r="V163" s="832"/>
      <c r="W163" s="3359"/>
      <c r="X163" s="3360"/>
      <c r="AZ163" s="2514"/>
      <c r="BA163" s="2513">
        <v>163</v>
      </c>
    </row>
    <row r="164" spans="1:53" s="144" customFormat="1" ht="14.15" customHeight="1">
      <c r="B164" s="144" t="s">
        <v>2047</v>
      </c>
      <c r="J164" s="3460">
        <f>J160</f>
        <v>0</v>
      </c>
      <c r="K164" s="3461"/>
      <c r="M164" s="3462"/>
      <c r="N164" s="3462"/>
      <c r="P164" s="3460">
        <f>P160</f>
        <v>834612</v>
      </c>
      <c r="Q164" s="3461"/>
      <c r="R164" s="3458"/>
      <c r="S164" s="3459"/>
      <c r="T164" s="3459"/>
      <c r="U164" s="1105"/>
      <c r="V164" s="832"/>
      <c r="W164" s="3359"/>
      <c r="X164" s="3360"/>
      <c r="AZ164" s="2514"/>
      <c r="BA164" s="2513">
        <v>164</v>
      </c>
    </row>
    <row r="165" spans="1:53" s="144" customFormat="1" ht="14.15" customHeight="1">
      <c r="B165" s="144" t="s">
        <v>2048</v>
      </c>
      <c r="J165" s="3460">
        <f>J163-J164</f>
        <v>0</v>
      </c>
      <c r="K165" s="3461"/>
      <c r="M165" s="3463">
        <f>M163</f>
        <v>13692400</v>
      </c>
      <c r="N165" s="3464"/>
      <c r="P165" s="3460">
        <f>P163-P164</f>
        <v>19821332</v>
      </c>
      <c r="Q165" s="3461"/>
      <c r="R165" s="3465" t="s">
        <v>4735</v>
      </c>
      <c r="S165" s="3466"/>
      <c r="T165" s="3467"/>
      <c r="U165" s="1105"/>
      <c r="V165" s="832"/>
      <c r="W165" s="3359"/>
      <c r="X165" s="3360"/>
      <c r="AZ165" s="2514"/>
      <c r="BA165" s="2513">
        <v>165</v>
      </c>
    </row>
    <row r="166" spans="1:53" s="144" customFormat="1" ht="14.15" customHeight="1">
      <c r="B166" s="144" t="s">
        <v>1388</v>
      </c>
      <c r="G166" s="248" t="s">
        <v>1591</v>
      </c>
      <c r="H166" s="3474" t="s">
        <v>5227</v>
      </c>
      <c r="I166" s="3475"/>
      <c r="J166" s="3476"/>
      <c r="K166" s="3477"/>
      <c r="M166" s="3478"/>
      <c r="N166" s="3478"/>
      <c r="P166" s="3476">
        <v>1.3</v>
      </c>
      <c r="Q166" s="3477"/>
      <c r="R166" s="3468"/>
      <c r="S166" s="3469"/>
      <c r="T166" s="3470"/>
      <c r="U166" s="1106"/>
      <c r="V166" s="832"/>
      <c r="W166" s="3359"/>
      <c r="X166" s="3360"/>
      <c r="AZ166" s="2514"/>
      <c r="BA166" s="2513">
        <v>166</v>
      </c>
    </row>
    <row r="167" spans="1:53" s="144" customFormat="1" ht="14.15" customHeight="1">
      <c r="B167" s="144" t="s">
        <v>1898</v>
      </c>
      <c r="J167" s="3460">
        <f>J165*J166</f>
        <v>0</v>
      </c>
      <c r="K167" s="3461"/>
      <c r="M167" s="3454">
        <f>+M165</f>
        <v>13692400</v>
      </c>
      <c r="N167" s="3455"/>
      <c r="P167" s="3460">
        <f>P165*P166</f>
        <v>25767731.600000001</v>
      </c>
      <c r="Q167" s="3461"/>
      <c r="R167" s="3471"/>
      <c r="S167" s="3472"/>
      <c r="T167" s="3473"/>
      <c r="U167" s="1106"/>
      <c r="V167" s="832"/>
      <c r="W167" s="3359"/>
      <c r="X167" s="3360"/>
      <c r="AZ167" s="2514"/>
      <c r="BA167" s="2513">
        <v>167</v>
      </c>
    </row>
    <row r="168" spans="1:53" s="144" customFormat="1" ht="14.15" customHeight="1">
      <c r="B168" s="144" t="s">
        <v>2333</v>
      </c>
      <c r="J168" s="3479">
        <f>MIN('Part V-Revenues &amp; Expenses'!$P$72/'Part V-Revenues &amp; Expenses'!$P$74,'Part V-Revenues &amp; Expenses'!$P$186/'Part V-Revenues &amp; Expenses'!$P$188)</f>
        <v>0.93669253333888114</v>
      </c>
      <c r="K168" s="3480"/>
      <c r="M168" s="3479">
        <f>MIN('Part V-Revenues &amp; Expenses'!$P$72/'Part V-Revenues &amp; Expenses'!$P$74,'Part V-Revenues &amp; Expenses'!$P$186/'Part V-Revenues &amp; Expenses'!$P$188)</f>
        <v>0.93669253333888114</v>
      </c>
      <c r="N168" s="3480"/>
      <c r="P168" s="3479">
        <f>MIN('Part V-Revenues &amp; Expenses'!$P$72/'Part V-Revenues &amp; Expenses'!$P$74,'Part V-Revenues &amp; Expenses'!$P$186/'Part V-Revenues &amp; Expenses'!$P$188)</f>
        <v>0.93669253333888114</v>
      </c>
      <c r="Q168" s="3480"/>
      <c r="R168" s="3481" t="s">
        <v>5256</v>
      </c>
      <c r="S168" s="3482"/>
      <c r="T168" s="3483"/>
      <c r="V168" s="832"/>
      <c r="W168" s="3359"/>
      <c r="X168" s="3360"/>
      <c r="AZ168" s="2514"/>
      <c r="BA168" s="2513">
        <v>168</v>
      </c>
    </row>
    <row r="169" spans="1:53" s="144" customFormat="1" ht="14.15" customHeight="1">
      <c r="B169" s="144" t="s">
        <v>1890</v>
      </c>
      <c r="J169" s="3460">
        <f>J167*J168</f>
        <v>0</v>
      </c>
      <c r="K169" s="3461"/>
      <c r="M169" s="3460">
        <f>M167*M168</f>
        <v>12825568.843489297</v>
      </c>
      <c r="N169" s="3461"/>
      <c r="P169" s="3460">
        <f>P167*P168</f>
        <v>24136441.790800344</v>
      </c>
      <c r="Q169" s="3461"/>
      <c r="V169" s="832"/>
      <c r="W169" s="3359"/>
      <c r="X169" s="3360"/>
      <c r="AZ169" s="2514"/>
      <c r="BA169" s="2513">
        <v>169</v>
      </c>
    </row>
    <row r="170" spans="1:53" s="144" customFormat="1" ht="14.15" customHeight="1">
      <c r="B170" s="144" t="s">
        <v>1891</v>
      </c>
      <c r="J170" s="3476">
        <v>0.04</v>
      </c>
      <c r="K170" s="3477"/>
      <c r="M170" s="3476">
        <v>0.04</v>
      </c>
      <c r="N170" s="3477"/>
      <c r="P170" s="3476">
        <v>0.04</v>
      </c>
      <c r="Q170" s="3477"/>
      <c r="V170" s="832"/>
      <c r="W170" s="3359"/>
      <c r="X170" s="3360"/>
      <c r="AZ170" s="2514"/>
      <c r="BA170" s="2513">
        <v>170</v>
      </c>
    </row>
    <row r="171" spans="1:53" s="144" customFormat="1" ht="14.15" customHeight="1" thickBot="1">
      <c r="B171" s="144" t="s">
        <v>2334</v>
      </c>
      <c r="J171" s="3484">
        <f>J169*J170</f>
        <v>0</v>
      </c>
      <c r="K171" s="3485"/>
      <c r="M171" s="3484">
        <f>M169*M170</f>
        <v>513022.7537395719</v>
      </c>
      <c r="N171" s="3485"/>
      <c r="P171" s="3484">
        <f>P169*P170</f>
        <v>965457.67163201375</v>
      </c>
      <c r="Q171" s="3485"/>
      <c r="V171" s="839"/>
      <c r="W171" s="3365"/>
      <c r="X171" s="3366"/>
      <c r="AZ171" s="2514"/>
      <c r="BA171" s="2513">
        <v>171</v>
      </c>
    </row>
    <row r="172" spans="1:53" s="144" customFormat="1" ht="14.15" customHeight="1" thickBot="1">
      <c r="B172" s="243" t="s">
        <v>1337</v>
      </c>
      <c r="J172" s="3328">
        <f>ROUNDDOWN(J171+M171+P171,0)</f>
        <v>1478480</v>
      </c>
      <c r="K172" s="3491"/>
      <c r="L172" s="3491"/>
      <c r="M172" s="3491"/>
      <c r="N172" s="3491"/>
      <c r="O172" s="3491"/>
      <c r="P172" s="3491"/>
      <c r="Q172" s="3329"/>
      <c r="V172" s="834"/>
      <c r="W172" s="3416"/>
      <c r="X172" s="3417"/>
      <c r="AZ172" s="2514"/>
      <c r="BA172" s="2513">
        <v>172</v>
      </c>
    </row>
    <row r="173" spans="1:53" s="144" customFormat="1" ht="6" customHeight="1">
      <c r="B173" s="296"/>
      <c r="L173" s="297"/>
      <c r="M173" s="297"/>
      <c r="N173" s="297"/>
      <c r="O173" s="297"/>
      <c r="V173" s="835"/>
      <c r="AZ173" s="2514"/>
      <c r="BA173" s="2513">
        <v>173</v>
      </c>
    </row>
    <row r="174" spans="1:53" s="144" customFormat="1" ht="14.15" customHeight="1">
      <c r="A174" s="343" t="s">
        <v>690</v>
      </c>
      <c r="B174" s="343" t="s">
        <v>1340</v>
      </c>
      <c r="H174" s="288"/>
      <c r="I174" s="288"/>
      <c r="M174" s="370"/>
      <c r="V174" s="835"/>
      <c r="AZ174" s="2514"/>
      <c r="BA174" s="2513">
        <v>174</v>
      </c>
    </row>
    <row r="175" spans="1:53" s="144" customFormat="1" ht="3" customHeight="1">
      <c r="H175" s="288"/>
      <c r="I175" s="288"/>
      <c r="M175" s="370"/>
      <c r="O175" s="1148"/>
      <c r="P175" s="1148"/>
      <c r="Q175" s="1148"/>
      <c r="R175" s="1148"/>
      <c r="S175" s="1148"/>
      <c r="T175" s="1148"/>
      <c r="U175" s="1148"/>
      <c r="V175" s="1148"/>
      <c r="AZ175" s="2514"/>
      <c r="BA175" s="2513">
        <v>175</v>
      </c>
    </row>
    <row r="176" spans="1:53" s="144" customFormat="1" ht="15" customHeight="1" thickBot="1">
      <c r="B176" s="243" t="s">
        <v>167</v>
      </c>
      <c r="V176" s="835"/>
      <c r="W176" s="343" t="str">
        <f>B174</f>
        <v>TAX CREDIT CALCULATION - GAP METHOD</v>
      </c>
      <c r="AZ176" s="2514"/>
      <c r="BA176" s="2513">
        <v>176</v>
      </c>
    </row>
    <row r="177" spans="1:53" s="144" customFormat="1" ht="15" customHeight="1">
      <c r="B177" s="144" t="s">
        <v>3808</v>
      </c>
      <c r="J177" s="3454">
        <f>G147</f>
        <v>38555004</v>
      </c>
      <c r="K177" s="3492"/>
      <c r="L177" s="3455"/>
      <c r="N177" s="3493" t="s">
        <v>4600</v>
      </c>
      <c r="O177" s="3494"/>
      <c r="P177" s="3494"/>
      <c r="Q177" s="3495"/>
      <c r="S177" s="3501" t="s">
        <v>3104</v>
      </c>
      <c r="T177" s="3502"/>
      <c r="V177" s="832"/>
      <c r="W177" s="3359"/>
      <c r="X177" s="3360"/>
      <c r="AZ177" s="2514"/>
      <c r="BA177" s="2513">
        <v>177</v>
      </c>
    </row>
    <row r="178" spans="1:53" s="144" customFormat="1" ht="14.15" customHeight="1">
      <c r="B178" s="144" t="s">
        <v>252</v>
      </c>
      <c r="J178" s="3460">
        <f>'Part II-Sources of Funds'!$I$62-'Part II-Sources of Funds'!$I$46-'Part II-Sources of Funds'!$I$47-'Part II-Sources of Funds'!$I$53-'Part II-Sources of Funds'!$I$54</f>
        <v>17503498</v>
      </c>
      <c r="K178" s="3505"/>
      <c r="L178" s="3461"/>
      <c r="M178" s="1858"/>
      <c r="N178" s="3496"/>
      <c r="O178" s="3459"/>
      <c r="P178" s="3459"/>
      <c r="Q178" s="3497"/>
      <c r="S178" s="3503"/>
      <c r="T178" s="3504"/>
      <c r="V178" s="832"/>
      <c r="W178" s="3359"/>
      <c r="X178" s="3360"/>
      <c r="AZ178" s="2514"/>
      <c r="BA178" s="2513">
        <v>178</v>
      </c>
    </row>
    <row r="179" spans="1:53" s="144" customFormat="1" ht="14.15" customHeight="1">
      <c r="B179" s="144" t="s">
        <v>2059</v>
      </c>
      <c r="J179" s="3506">
        <f>+J177-J178</f>
        <v>21051506</v>
      </c>
      <c r="K179" s="3507"/>
      <c r="L179" s="3508"/>
      <c r="M179" s="1858"/>
      <c r="N179" s="3498"/>
      <c r="O179" s="3499"/>
      <c r="P179" s="3499"/>
      <c r="Q179" s="3500"/>
      <c r="S179" s="3503"/>
      <c r="T179" s="3504"/>
      <c r="V179" s="832"/>
      <c r="W179" s="3359"/>
      <c r="X179" s="3360"/>
      <c r="AZ179" s="2514"/>
      <c r="BA179" s="2513">
        <v>179</v>
      </c>
    </row>
    <row r="180" spans="1:53" s="144" customFormat="1" ht="14.15" customHeight="1" thickBot="1">
      <c r="B180" s="144" t="s">
        <v>1207</v>
      </c>
      <c r="J180" s="3303" t="str">
        <f>"/ 10"</f>
        <v>/ 10</v>
      </c>
      <c r="K180" s="3303"/>
      <c r="L180" s="3303"/>
      <c r="M180" s="223"/>
      <c r="N180" s="3520">
        <f>'Part II-Sources of Funds'!$I$46</f>
        <v>0</v>
      </c>
      <c r="O180" s="3521"/>
      <c r="P180" s="3521"/>
      <c r="Q180" s="3522"/>
      <c r="S180" s="328" t="s">
        <v>1546</v>
      </c>
      <c r="T180" s="329" t="s">
        <v>2642</v>
      </c>
      <c r="V180" s="832"/>
      <c r="W180" s="3359"/>
      <c r="X180" s="3360"/>
      <c r="AZ180" s="2514"/>
      <c r="BA180" s="2513">
        <v>180</v>
      </c>
    </row>
    <row r="181" spans="1:53" s="144" customFormat="1" ht="14.15" customHeight="1">
      <c r="B181" s="144" t="s">
        <v>1208</v>
      </c>
      <c r="J181" s="3463">
        <f>J179/10</f>
        <v>2105150.6</v>
      </c>
      <c r="K181" s="3462"/>
      <c r="L181" s="3464"/>
      <c r="N181" s="368"/>
      <c r="O181" s="368"/>
      <c r="P181" s="368"/>
      <c r="Q181" s="368"/>
      <c r="R181" s="368"/>
      <c r="V181" s="832"/>
      <c r="W181" s="3359"/>
      <c r="X181" s="3360"/>
      <c r="AZ181" s="2514"/>
      <c r="BA181" s="2513">
        <v>181</v>
      </c>
    </row>
    <row r="182" spans="1:53" s="144" customFormat="1" ht="14.15" customHeight="1">
      <c r="M182" s="145"/>
      <c r="N182" s="3250" t="s">
        <v>1209</v>
      </c>
      <c r="O182" s="3250"/>
      <c r="Q182" s="3250" t="s">
        <v>1666</v>
      </c>
      <c r="R182" s="3250"/>
      <c r="V182" s="832"/>
      <c r="W182" s="3359"/>
      <c r="X182" s="3360"/>
      <c r="Z182" s="1711" t="s">
        <v>1641</v>
      </c>
      <c r="AZ182" s="2514"/>
      <c r="BA182" s="2513">
        <v>182</v>
      </c>
    </row>
    <row r="183" spans="1:53" s="144" customFormat="1" ht="14.15" customHeight="1" thickBot="1">
      <c r="B183" s="144" t="s">
        <v>1387</v>
      </c>
      <c r="J183" s="3486">
        <f>N183+Q183</f>
        <v>1.3725000000000001</v>
      </c>
      <c r="K183" s="3487"/>
      <c r="L183" s="3488"/>
      <c r="M183" s="248" t="s">
        <v>1210</v>
      </c>
      <c r="N183" s="3489">
        <v>0.85</v>
      </c>
      <c r="O183" s="3490"/>
      <c r="P183" s="248" t="s">
        <v>569</v>
      </c>
      <c r="Q183" s="3489">
        <v>0.52249999999999996</v>
      </c>
      <c r="R183" s="3490"/>
      <c r="V183" s="832"/>
      <c r="W183" s="3359"/>
      <c r="X183" s="3360"/>
      <c r="Z183" s="1712">
        <f>'DCA Underwriting Assumptions'!Q135</f>
        <v>0</v>
      </c>
      <c r="AZ183" s="2514"/>
      <c r="BA183" s="2513">
        <v>183</v>
      </c>
    </row>
    <row r="184" spans="1:53" s="144" customFormat="1" ht="14.15" customHeight="1" thickBot="1">
      <c r="B184" s="243" t="s">
        <v>1338</v>
      </c>
      <c r="J184" s="3328">
        <f>ROUNDDOWN(IF(J183=0,"",J181/J183),0)</f>
        <v>1533807</v>
      </c>
      <c r="K184" s="3491"/>
      <c r="L184" s="3329"/>
      <c r="M184" s="145"/>
      <c r="V184" s="832"/>
      <c r="W184" s="3359"/>
      <c r="X184" s="3360"/>
      <c r="Z184" s="1712">
        <f>'DCA Underwriting Assumptions'!Q136</f>
        <v>0</v>
      </c>
      <c r="AZ184" s="2514"/>
      <c r="BA184" s="2513">
        <v>184</v>
      </c>
    </row>
    <row r="185" spans="1:53" s="144" customFormat="1" ht="6" customHeight="1">
      <c r="J185" s="298"/>
      <c r="K185" s="298"/>
      <c r="L185" s="298"/>
      <c r="M185" s="145"/>
      <c r="N185" s="248"/>
      <c r="O185" s="248"/>
      <c r="V185" s="835"/>
      <c r="W185" s="1553"/>
      <c r="X185" s="1553"/>
      <c r="AZ185" s="2514"/>
      <c r="BA185" s="2513">
        <v>185</v>
      </c>
    </row>
    <row r="186" spans="1:53" s="144" customFormat="1" ht="14.15" customHeight="1">
      <c r="A186" s="343" t="s">
        <v>1661</v>
      </c>
      <c r="B186" s="343" t="s">
        <v>3807</v>
      </c>
      <c r="H186" s="288"/>
      <c r="I186" s="288"/>
      <c r="V186" s="835"/>
      <c r="AZ186" s="2514"/>
      <c r="BA186" s="2513">
        <v>186</v>
      </c>
    </row>
    <row r="187" spans="1:53" s="144" customFormat="1" ht="3" customHeight="1">
      <c r="H187" s="288"/>
      <c r="I187" s="288"/>
      <c r="Q187" s="429"/>
      <c r="R187" s="429"/>
      <c r="S187" s="850"/>
      <c r="T187" s="850"/>
      <c r="U187" s="392"/>
      <c r="V187" s="392"/>
      <c r="AZ187" s="2512"/>
      <c r="BA187" s="2513">
        <v>187</v>
      </c>
    </row>
    <row r="188" spans="1:53" s="144" customFormat="1" ht="16.399999999999999" customHeight="1">
      <c r="B188" s="243" t="s">
        <v>4599</v>
      </c>
      <c r="J188" s="3511">
        <f>ROUNDDOWN(MIN(J172,J184),0)</f>
        <v>1478480</v>
      </c>
      <c r="K188" s="3512"/>
      <c r="L188" s="3513"/>
      <c r="Q188" s="147" t="s">
        <v>4141</v>
      </c>
      <c r="R188" s="147"/>
      <c r="S188" s="3514" t="str">
        <f>'Part VIII Scoring Criteria'!$L$11</f>
        <v>Atlanta Metro</v>
      </c>
      <c r="T188" s="3515"/>
      <c r="U188" s="1524" t="str">
        <f>IF(OR(S188="Atlanta Metro", "Other Metro"), "Metro", IF(S188="Rural","Rural",""))</f>
        <v>Metro</v>
      </c>
      <c r="V188" s="832"/>
      <c r="W188" s="3359"/>
      <c r="X188" s="3360"/>
      <c r="AZ188" s="2512"/>
      <c r="BA188" s="2513">
        <v>188</v>
      </c>
    </row>
    <row r="189" spans="1:53" s="144" customFormat="1" ht="3" customHeight="1">
      <c r="J189" s="298"/>
      <c r="K189" s="298"/>
      <c r="L189" s="298"/>
      <c r="M189" s="145"/>
      <c r="N189" s="248"/>
      <c r="O189" s="248"/>
      <c r="Q189" s="147"/>
      <c r="R189" s="147"/>
      <c r="S189" s="241"/>
      <c r="T189" s="241"/>
      <c r="V189" s="835"/>
      <c r="W189" s="830"/>
      <c r="X189" s="831"/>
      <c r="AZ189" s="2512"/>
      <c r="BA189" s="2513">
        <v>189</v>
      </c>
    </row>
    <row r="190" spans="1:53" s="144" customFormat="1" ht="16.399999999999999" customHeight="1">
      <c r="B190" s="243" t="s">
        <v>3941</v>
      </c>
      <c r="J190" s="3511">
        <v>1478480</v>
      </c>
      <c r="K190" s="3512"/>
      <c r="L190" s="3513"/>
      <c r="M190" s="3516" t="str">
        <f>IF(J188=0,"",IF(J190&gt;J188,"Request can't exceed Maximum - REVISE (Try Round Down)!",""))</f>
        <v/>
      </c>
      <c r="N190" s="3516"/>
      <c r="O190" s="3516"/>
      <c r="P190" s="3516"/>
      <c r="Q190" s="241" t="s">
        <v>4434</v>
      </c>
      <c r="R190" s="147"/>
      <c r="S190" s="3514" t="str">
        <f>'Part VIII Scoring Criteria'!$H$11</f>
        <v>Preservation</v>
      </c>
      <c r="T190" s="3515"/>
      <c r="V190" s="832"/>
      <c r="W190" s="3359"/>
      <c r="X190" s="3360"/>
      <c r="AZ190" s="2512"/>
      <c r="BA190" s="2513">
        <v>190</v>
      </c>
    </row>
    <row r="191" spans="1:53" s="144" customFormat="1" ht="3" customHeight="1">
      <c r="J191" s="298"/>
      <c r="K191" s="298"/>
      <c r="L191" s="298"/>
      <c r="M191" s="3516"/>
      <c r="N191" s="3516"/>
      <c r="O191" s="3516"/>
      <c r="P191" s="3516"/>
      <c r="Q191" s="147"/>
      <c r="R191" s="147"/>
      <c r="S191" s="241"/>
      <c r="T191" s="241"/>
      <c r="V191" s="835"/>
      <c r="W191" s="830"/>
      <c r="X191" s="831"/>
      <c r="AZ191" s="2512"/>
      <c r="BA191" s="2513">
        <v>191</v>
      </c>
    </row>
    <row r="192" spans="1:53" s="144" customFormat="1" ht="16.399999999999999" customHeight="1">
      <c r="A192" s="343"/>
      <c r="B192" s="343" t="s">
        <v>3942</v>
      </c>
      <c r="D192" s="145"/>
      <c r="E192" s="145"/>
      <c r="F192" s="246"/>
      <c r="J192" s="3517">
        <f>IF(J190="",0,+MIN(J188,J190))</f>
        <v>1478480</v>
      </c>
      <c r="K192" s="3518"/>
      <c r="L192" s="3519"/>
      <c r="M192" s="3516"/>
      <c r="N192" s="3516"/>
      <c r="O192" s="3516"/>
      <c r="P192" s="3516"/>
      <c r="Q192" s="236" t="s">
        <v>3799</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1118"/>
      <c r="V192" s="832"/>
      <c r="W192" s="3359"/>
      <c r="X192" s="3360"/>
      <c r="AZ192" s="2512"/>
      <c r="BA192" s="2513">
        <v>192</v>
      </c>
    </row>
    <row r="193" spans="1:53" ht="3" customHeight="1">
      <c r="BA193" s="2513">
        <v>193</v>
      </c>
    </row>
    <row r="194" spans="1:53" ht="6" customHeight="1">
      <c r="BA194" s="2513">
        <v>194</v>
      </c>
    </row>
    <row r="195" spans="1:53" ht="12" customHeight="1">
      <c r="A195" s="243" t="s">
        <v>1663</v>
      </c>
      <c r="B195" s="253" t="s">
        <v>529</v>
      </c>
      <c r="N195" s="243" t="s">
        <v>495</v>
      </c>
      <c r="O195" s="243" t="s">
        <v>74</v>
      </c>
      <c r="AZ195" s="2514"/>
      <c r="BA195" s="2513">
        <v>195</v>
      </c>
    </row>
    <row r="196" spans="1:53" ht="268.5" customHeight="1">
      <c r="A196" s="3509" t="s">
        <v>5290</v>
      </c>
      <c r="B196" s="3509"/>
      <c r="C196" s="3509"/>
      <c r="D196" s="3509"/>
      <c r="E196" s="3509"/>
      <c r="F196" s="3509"/>
      <c r="G196" s="3509"/>
      <c r="H196" s="3509"/>
      <c r="I196" s="3509"/>
      <c r="J196" s="3509"/>
      <c r="K196" s="3509"/>
      <c r="L196" s="3509"/>
      <c r="M196" s="3509"/>
      <c r="N196" s="3510"/>
      <c r="O196" s="3510"/>
      <c r="P196" s="3510"/>
      <c r="Q196" s="3510"/>
      <c r="R196" s="3510"/>
      <c r="S196" s="3510"/>
      <c r="T196" s="3510"/>
      <c r="V196" s="736"/>
      <c r="W196" s="3321" t="s">
        <v>2445</v>
      </c>
      <c r="X196" s="3321"/>
      <c r="AZ196" s="2514"/>
      <c r="BA196" s="2513">
        <v>196</v>
      </c>
    </row>
    <row r="197" spans="1:53" ht="11.25" customHeight="1">
      <c r="AZ197" s="2514"/>
      <c r="BA197" s="2513">
        <v>197</v>
      </c>
    </row>
    <row r="198" spans="1:53" ht="12" customHeight="1">
      <c r="BA198" s="2513">
        <v>198</v>
      </c>
    </row>
    <row r="199" spans="1:53" ht="12" customHeight="1">
      <c r="AZ199" s="2514"/>
      <c r="BA199" s="2513">
        <v>199</v>
      </c>
    </row>
    <row r="200" spans="1:53" ht="14.65" customHeight="1">
      <c r="BA200" s="2513">
        <v>200</v>
      </c>
    </row>
    <row r="201" spans="1:53" s="144" customFormat="1" ht="14.65" customHeight="1">
      <c r="AZ201" s="2514"/>
      <c r="BA201" s="2513">
        <v>201</v>
      </c>
    </row>
    <row r="202" spans="1:53" s="144" customFormat="1" ht="14.65" customHeight="1">
      <c r="AZ202" s="2514"/>
      <c r="BA202" s="2513">
        <v>202</v>
      </c>
    </row>
    <row r="203" spans="1:53" s="144" customFormat="1" ht="14.65" customHeight="1">
      <c r="AZ203" s="2514"/>
      <c r="BA203" s="2513">
        <v>203</v>
      </c>
    </row>
    <row r="204" spans="1:53" ht="14.65" customHeight="1">
      <c r="AZ204" s="2514"/>
      <c r="BA204" s="2513">
        <v>204</v>
      </c>
    </row>
    <row r="205" spans="1:53" s="144" customFormat="1" ht="14.65" customHeight="1">
      <c r="A205" s="222"/>
      <c r="AZ205" s="2514"/>
      <c r="BA205" s="2513">
        <v>205</v>
      </c>
    </row>
    <row r="206" spans="1:53" ht="14.65" customHeight="1">
      <c r="AZ206" s="2514"/>
      <c r="BA206" s="2513">
        <v>206</v>
      </c>
    </row>
    <row r="207" spans="1:53" s="144" customFormat="1" ht="14.65" customHeight="1">
      <c r="AZ207" s="2514"/>
      <c r="BA207" s="2513">
        <v>207</v>
      </c>
    </row>
    <row r="208" spans="1:53" s="144" customFormat="1" ht="14.65" customHeight="1">
      <c r="A208" s="222"/>
      <c r="AZ208" s="2514"/>
      <c r="BA208" s="2513">
        <v>208</v>
      </c>
    </row>
    <row r="209" spans="1:53" s="144" customFormat="1" ht="14.65" customHeight="1">
      <c r="A209" s="374"/>
      <c r="AZ209" s="2514"/>
      <c r="BA209" s="2513">
        <v>209</v>
      </c>
    </row>
    <row r="210" spans="1:53" s="144" customFormat="1" ht="14.65" customHeight="1">
      <c r="AZ210" s="2512"/>
      <c r="BA210" s="2513">
        <v>210</v>
      </c>
    </row>
    <row r="211" spans="1:53" s="144" customFormat="1" ht="14.65" customHeight="1">
      <c r="A211" s="260"/>
      <c r="AZ211" s="2512"/>
      <c r="BA211" s="2513">
        <v>211</v>
      </c>
    </row>
    <row r="212" spans="1:53" s="144" customFormat="1" ht="14.65" customHeight="1">
      <c r="A212" s="260"/>
      <c r="AZ212" s="2512"/>
      <c r="BA212" s="2513">
        <v>212</v>
      </c>
    </row>
    <row r="213" spans="1:53" s="144" customFormat="1" ht="14.65" customHeight="1">
      <c r="A213" s="260"/>
      <c r="AZ213" s="2512"/>
      <c r="BA213" s="2513">
        <v>213</v>
      </c>
    </row>
    <row r="214" spans="1:53" s="144" customFormat="1" ht="14.65" customHeight="1">
      <c r="AZ214" s="2512"/>
      <c r="BA214" s="2513">
        <v>214</v>
      </c>
    </row>
    <row r="215" spans="1:53" s="144" customFormat="1" ht="14.65" customHeight="1">
      <c r="AZ215" s="2512"/>
      <c r="BA215" s="2513">
        <v>215</v>
      </c>
    </row>
    <row r="216" spans="1:53" ht="14.65" customHeight="1">
      <c r="BA216" s="2513">
        <v>216</v>
      </c>
    </row>
    <row r="217" spans="1:53" ht="14.65" customHeight="1">
      <c r="BA217" s="2513">
        <v>217</v>
      </c>
    </row>
    <row r="218" spans="1:53" ht="14.65" customHeight="1">
      <c r="AZ218" s="2514"/>
      <c r="BA218" s="2513">
        <v>218</v>
      </c>
    </row>
    <row r="219" spans="1:53" ht="14.65" customHeight="1">
      <c r="BA219" s="2513">
        <v>219</v>
      </c>
    </row>
    <row r="220" spans="1:53" ht="14.65" customHeight="1">
      <c r="BA220" s="2513">
        <v>220</v>
      </c>
    </row>
    <row r="221" spans="1:53" ht="14.65" customHeight="1">
      <c r="BA221" s="2513">
        <v>221</v>
      </c>
    </row>
    <row r="222" spans="1:53" ht="14.65" customHeight="1">
      <c r="BA222" s="2513">
        <v>222</v>
      </c>
    </row>
    <row r="223" spans="1:53" ht="14.65" customHeight="1">
      <c r="BA223" s="2513">
        <v>223</v>
      </c>
    </row>
    <row r="224" spans="1:53" s="144" customFormat="1" ht="14.65" customHeight="1">
      <c r="AZ224" s="2512"/>
      <c r="BA224" s="2513">
        <v>224</v>
      </c>
    </row>
    <row r="225" spans="11:53" ht="14.65" customHeight="1">
      <c r="BA225" s="2513">
        <v>225</v>
      </c>
    </row>
    <row r="226" spans="11:53" ht="14.65" customHeight="1">
      <c r="BA226" s="2513">
        <v>226</v>
      </c>
    </row>
    <row r="227" spans="11:53" ht="14.65" customHeight="1">
      <c r="BA227" s="2513">
        <v>227</v>
      </c>
    </row>
    <row r="228" spans="11:53" ht="14.65" customHeight="1">
      <c r="BA228" s="2513">
        <v>228</v>
      </c>
    </row>
    <row r="229" spans="11:53" ht="14.65" customHeight="1">
      <c r="BA229" s="2513">
        <v>229</v>
      </c>
    </row>
    <row r="230" spans="11:53" ht="14.65" customHeight="1">
      <c r="BA230" s="2513">
        <v>230</v>
      </c>
    </row>
    <row r="231" spans="11:53" ht="14.65" customHeight="1">
      <c r="BA231" s="2513">
        <v>231</v>
      </c>
    </row>
    <row r="232" spans="11:53" ht="14.65" customHeight="1">
      <c r="BA232" s="2513">
        <v>232</v>
      </c>
    </row>
    <row r="233" spans="11:53" ht="14.65" customHeight="1">
      <c r="BA233" s="2513">
        <v>233</v>
      </c>
    </row>
    <row r="234" spans="11:53" ht="14.65" customHeight="1">
      <c r="BA234" s="2513">
        <v>234</v>
      </c>
    </row>
    <row r="235" spans="11:53" ht="14.65" customHeight="1">
      <c r="BA235" s="2513">
        <v>235</v>
      </c>
    </row>
    <row r="236" spans="11:53" ht="14.65" customHeight="1">
      <c r="BA236" s="2513">
        <v>236</v>
      </c>
    </row>
    <row r="237" spans="11:53" ht="14.65" customHeight="1">
      <c r="BA237" s="2513">
        <v>237</v>
      </c>
    </row>
    <row r="238" spans="11:53" ht="14.65" customHeight="1">
      <c r="K238" s="1582"/>
      <c r="L238" s="144"/>
      <c r="BA238" s="2513">
        <v>238</v>
      </c>
    </row>
    <row r="239" spans="11:53" ht="14.65" customHeight="1">
      <c r="K239" s="1582"/>
      <c r="L239" s="144"/>
      <c r="BA239" s="2513">
        <v>239</v>
      </c>
    </row>
    <row r="240" spans="11:53" ht="12.75" customHeight="1">
      <c r="K240" s="1582"/>
      <c r="L240" s="144"/>
      <c r="BA240" s="2513">
        <v>240</v>
      </c>
    </row>
    <row r="241" spans="11:53">
      <c r="K241" s="1582"/>
      <c r="L241" s="144"/>
      <c r="BA241" s="2513">
        <v>241</v>
      </c>
    </row>
    <row r="242" spans="11:53">
      <c r="K242" s="1582"/>
      <c r="L242" s="144"/>
      <c r="BA242" s="2513">
        <v>242</v>
      </c>
    </row>
    <row r="243" spans="11:53">
      <c r="K243" s="1582"/>
      <c r="L243" s="144"/>
      <c r="BA243" s="2513">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ugqoeNIT7kd4EdZgpzPNvHTIrUVoOls7n+fBkx5noGtNOP4RhUJgQjZEAPHIb6wpf01a7NuVLMJNFn15U+E6Lg==" saltValue="hMMUOdbfGBCTdlkBdLq/PQ==" spinCount="100000" sheet="1" objects="1" scenario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topLeftCell="A72" workbookViewId="0">
      <selection activeCell="H76" sqref="H76"/>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7" style="2511" customWidth="1"/>
    <col min="19" max="16384" width="9.26953125" style="431"/>
  </cols>
  <sheetData>
    <row r="1" spans="1:18">
      <c r="A1" s="3523" t="str">
        <f>CONCATENATE("PART THREE (B) -  OTHER COSTS","  -  ",'Part I-Project Identification'!$O$7," - ",'Part I-Project Identification'!$F$26,"  -  ",'Part I-Project Identification'!$F$27,"  -  ",'Part I-Project Identification'!$J$27,",  ","County")</f>
        <v>PART THREE (B) -  OTHER COSTS  -  2025-5 - Princeton Court  -  College Park  -  Fulton,  County</v>
      </c>
      <c r="B1" s="3524"/>
      <c r="C1" s="3524"/>
      <c r="D1" s="3524"/>
      <c r="E1" s="3524"/>
      <c r="F1" s="3524"/>
      <c r="G1" s="3524"/>
      <c r="H1" s="3524"/>
      <c r="I1" s="706"/>
      <c r="J1" s="706"/>
      <c r="K1" s="706"/>
      <c r="L1" s="706"/>
      <c r="M1" s="706"/>
      <c r="N1" s="706"/>
      <c r="R1" s="2507">
        <v>1</v>
      </c>
    </row>
    <row r="2" spans="1:18" ht="9" customHeight="1">
      <c r="R2" s="2507">
        <v>2</v>
      </c>
    </row>
    <row r="3" spans="1:18" ht="57" customHeight="1">
      <c r="A3" s="3525" t="s">
        <v>3131</v>
      </c>
      <c r="B3" s="3526"/>
      <c r="C3" s="3526"/>
      <c r="D3" s="3526"/>
      <c r="E3" s="3526"/>
      <c r="F3" s="3526"/>
      <c r="G3" s="3526"/>
      <c r="H3" s="3527"/>
      <c r="R3" s="2507">
        <v>3</v>
      </c>
    </row>
    <row r="4" spans="1:18" ht="6" customHeight="1">
      <c r="R4" s="2507">
        <v>4</v>
      </c>
    </row>
    <row r="5" spans="1:18" ht="38.25" customHeight="1">
      <c r="A5" s="3528" t="s">
        <v>3193</v>
      </c>
      <c r="B5" s="3528"/>
      <c r="C5" s="3528"/>
      <c r="D5" s="3528"/>
      <c r="F5" s="707" t="s">
        <v>3123</v>
      </c>
      <c r="G5" s="438"/>
      <c r="H5" s="707" t="s">
        <v>3124</v>
      </c>
      <c r="R5" s="2507">
        <v>5</v>
      </c>
    </row>
    <row r="6" spans="1:18" ht="6.75" customHeight="1">
      <c r="A6" s="438"/>
      <c r="B6" s="438"/>
      <c r="C6" s="438"/>
      <c r="D6" s="438"/>
      <c r="R6" s="2507">
        <v>6</v>
      </c>
    </row>
    <row r="7" spans="1:18" s="709" customFormat="1" ht="4.5" customHeight="1">
      <c r="A7" s="708"/>
      <c r="B7" s="708"/>
      <c r="C7" s="708"/>
      <c r="D7" s="708"/>
      <c r="E7" s="708"/>
      <c r="F7" s="708"/>
      <c r="G7" s="708"/>
      <c r="R7" s="2508">
        <v>7</v>
      </c>
    </row>
    <row r="8" spans="1:18" s="709" customFormat="1">
      <c r="A8" s="720" t="s">
        <v>96</v>
      </c>
      <c r="B8" s="710"/>
      <c r="C8" s="710"/>
      <c r="D8" s="710"/>
      <c r="E8" s="710"/>
      <c r="F8" s="710"/>
      <c r="G8" s="710"/>
      <c r="H8" s="710"/>
      <c r="R8" s="2508">
        <v>8</v>
      </c>
    </row>
    <row r="9" spans="1:18" s="709" customFormat="1" ht="41.25" customHeight="1">
      <c r="A9" s="3529" t="str">
        <f>'Part III-A-Uses of Funds'!$C$15</f>
        <v>Property Needs Assessment</v>
      </c>
      <c r="B9" s="3530"/>
      <c r="C9" s="3530"/>
      <c r="D9" s="3531"/>
      <c r="F9" s="3535" t="s">
        <v>5284</v>
      </c>
      <c r="G9" s="710"/>
      <c r="H9" s="3535" t="s">
        <v>5284</v>
      </c>
      <c r="R9" s="2508">
        <v>9</v>
      </c>
    </row>
    <row r="10" spans="1:18" s="709" customFormat="1" ht="41.25" customHeight="1">
      <c r="A10" s="3532"/>
      <c r="B10" s="3533"/>
      <c r="C10" s="3533"/>
      <c r="D10" s="3534"/>
      <c r="F10" s="3536"/>
      <c r="G10" s="710"/>
      <c r="H10" s="3536"/>
      <c r="R10" s="2507">
        <v>10</v>
      </c>
    </row>
    <row r="11" spans="1:18" s="709" customFormat="1" ht="4.5" customHeight="1">
      <c r="F11" s="3536"/>
      <c r="G11" s="710"/>
      <c r="H11" s="3536"/>
      <c r="R11" s="2507">
        <v>11</v>
      </c>
    </row>
    <row r="12" spans="1:18" s="709" customFormat="1" ht="15" customHeight="1">
      <c r="A12" s="719" t="s">
        <v>3126</v>
      </c>
      <c r="B12" s="718">
        <f>'Part III-A-Uses of Funds'!$G$15</f>
        <v>25950</v>
      </c>
      <c r="C12" s="719" t="s">
        <v>1660</v>
      </c>
      <c r="D12" s="718">
        <f>'Part III-A-Uses of Funds'!$J$15+'Part III-A-Uses of Funds'!$M$15+'Part III-A-Uses of Funds'!$P$15</f>
        <v>25950</v>
      </c>
      <c r="F12" s="3536"/>
      <c r="G12" s="710"/>
      <c r="H12" s="3536"/>
      <c r="R12" s="2507">
        <v>12</v>
      </c>
    </row>
    <row r="13" spans="1:18" s="709" customFormat="1" ht="6" customHeight="1">
      <c r="A13" s="710"/>
      <c r="B13" s="711"/>
      <c r="C13" s="710"/>
      <c r="D13" s="710"/>
      <c r="F13" s="3536"/>
      <c r="G13" s="712"/>
      <c r="H13" s="3536"/>
      <c r="R13" s="2507">
        <v>13</v>
      </c>
    </row>
    <row r="14" spans="1:18" s="709" customFormat="1" ht="41.25" customHeight="1">
      <c r="A14" s="3529" t="str">
        <f>'Part III-A-Uses of Funds'!$C$16</f>
        <v>&lt;&lt; Enter description here; provide detail &amp; justification in tab Part III-b &gt;&gt;</v>
      </c>
      <c r="B14" s="3530"/>
      <c r="C14" s="3530"/>
      <c r="D14" s="3531"/>
      <c r="F14" s="3536"/>
      <c r="G14" s="710"/>
      <c r="H14" s="3536"/>
      <c r="R14" s="2507">
        <v>14</v>
      </c>
    </row>
    <row r="15" spans="1:18" s="709" customFormat="1" ht="41.25" customHeight="1">
      <c r="A15" s="3532"/>
      <c r="B15" s="3533"/>
      <c r="C15" s="3533"/>
      <c r="D15" s="3534"/>
      <c r="F15" s="3536"/>
      <c r="G15" s="710"/>
      <c r="H15" s="3536"/>
      <c r="R15" s="2507">
        <v>15</v>
      </c>
    </row>
    <row r="16" spans="1:18" s="709" customFormat="1" ht="4.5" customHeight="1">
      <c r="F16" s="3536"/>
      <c r="G16" s="710"/>
      <c r="H16" s="3536"/>
      <c r="R16" s="2508">
        <v>16</v>
      </c>
    </row>
    <row r="17" spans="1:18" s="709" customFormat="1" ht="15" customHeight="1">
      <c r="A17" s="719" t="s">
        <v>3126</v>
      </c>
      <c r="B17" s="718">
        <f>'Part III-A-Uses of Funds'!$G$16</f>
        <v>0</v>
      </c>
      <c r="C17" s="719" t="s">
        <v>1660</v>
      </c>
      <c r="D17" s="718">
        <f>'Part III-A-Uses of Funds'!$J$16+'Part III-A-Uses of Funds'!$M$16+'Part III-A-Uses of Funds'!$P$16</f>
        <v>0</v>
      </c>
      <c r="F17" s="3536"/>
      <c r="G17" s="710"/>
      <c r="H17" s="3536"/>
      <c r="R17" s="2508">
        <v>17</v>
      </c>
    </row>
    <row r="18" spans="1:18" s="709" customFormat="1" ht="6" customHeight="1">
      <c r="A18" s="710"/>
      <c r="B18" s="711"/>
      <c r="C18" s="710"/>
      <c r="D18" s="710"/>
      <c r="F18" s="3536"/>
      <c r="G18" s="712"/>
      <c r="H18" s="3536"/>
      <c r="R18" s="2508">
        <v>18</v>
      </c>
    </row>
    <row r="19" spans="1:18" s="709" customFormat="1" ht="41.25" customHeight="1">
      <c r="A19" s="3529" t="str">
        <f>'Part III-A-Uses of Funds'!$C$17</f>
        <v>&lt;&lt; Enter description here; provide detail &amp; justification in tab Part III-b &gt;&gt;</v>
      </c>
      <c r="B19" s="3530"/>
      <c r="C19" s="3530"/>
      <c r="D19" s="3531"/>
      <c r="F19" s="3536"/>
      <c r="G19" s="710"/>
      <c r="H19" s="3536"/>
      <c r="R19" s="2507">
        <v>19</v>
      </c>
    </row>
    <row r="20" spans="1:18" s="709" customFormat="1" ht="41.25" customHeight="1">
      <c r="A20" s="3532"/>
      <c r="B20" s="3533"/>
      <c r="C20" s="3533"/>
      <c r="D20" s="3534"/>
      <c r="F20" s="3536"/>
      <c r="G20" s="710"/>
      <c r="H20" s="3536"/>
      <c r="R20" s="2507">
        <v>20</v>
      </c>
    </row>
    <row r="21" spans="1:18" s="709" customFormat="1" ht="4.5" customHeight="1">
      <c r="F21" s="3536"/>
      <c r="G21" s="710"/>
      <c r="H21" s="3536"/>
      <c r="R21" s="2507">
        <v>21</v>
      </c>
    </row>
    <row r="22" spans="1:18" s="709" customFormat="1" ht="15" customHeight="1">
      <c r="A22" s="719" t="s">
        <v>3126</v>
      </c>
      <c r="B22" s="718">
        <f>'Part III-A-Uses of Funds'!$G$17</f>
        <v>0</v>
      </c>
      <c r="C22" s="719" t="s">
        <v>1660</v>
      </c>
      <c r="D22" s="718">
        <f>'Part III-A-Uses of Funds'!$J$17+'Part III-A-Uses of Funds'!$M$17+'Part III-A-Uses of Funds'!$P$17</f>
        <v>0</v>
      </c>
      <c r="F22" s="3536"/>
      <c r="G22" s="710"/>
      <c r="H22" s="3536"/>
      <c r="R22" s="2507">
        <v>22</v>
      </c>
    </row>
    <row r="23" spans="1:18" s="709" customFormat="1" ht="6" customHeight="1">
      <c r="A23" s="710"/>
      <c r="B23" s="711"/>
      <c r="C23" s="710"/>
      <c r="D23" s="710"/>
      <c r="F23" s="3537"/>
      <c r="G23" s="712"/>
      <c r="H23" s="3537"/>
      <c r="R23" s="2507">
        <v>23</v>
      </c>
    </row>
    <row r="24" spans="1:18" s="709" customFormat="1">
      <c r="A24" s="720" t="s">
        <v>3125</v>
      </c>
      <c r="B24" s="710"/>
      <c r="C24" s="710"/>
      <c r="D24" s="710"/>
      <c r="E24" s="710"/>
      <c r="F24" s="710"/>
      <c r="G24" s="710"/>
      <c r="R24" s="2507">
        <v>24</v>
      </c>
    </row>
    <row r="25" spans="1:18" s="709" customFormat="1" ht="41.25" customHeight="1">
      <c r="A25" s="3529" t="str">
        <f>'Part III-A-Uses of Funds'!$C$46</f>
        <v>&lt;&lt; Enter description here; provide detail &amp; justification in tab Part III-b &gt;&gt;</v>
      </c>
      <c r="B25" s="3530"/>
      <c r="C25" s="3530"/>
      <c r="D25" s="3531"/>
      <c r="E25" s="710"/>
      <c r="F25" s="3538"/>
      <c r="G25" s="710"/>
      <c r="H25" s="3538"/>
      <c r="R25" s="2508">
        <v>25</v>
      </c>
    </row>
    <row r="26" spans="1:18" s="709" customFormat="1" ht="41.25" customHeight="1">
      <c r="A26" s="3532"/>
      <c r="B26" s="3533"/>
      <c r="C26" s="3533"/>
      <c r="D26" s="3534"/>
      <c r="E26" s="710"/>
      <c r="F26" s="3539"/>
      <c r="G26" s="710"/>
      <c r="H26" s="3539"/>
      <c r="R26" s="2508">
        <v>26</v>
      </c>
    </row>
    <row r="27" spans="1:18" s="709" customFormat="1" ht="4.5" customHeight="1">
      <c r="A27" s="710"/>
      <c r="B27" s="710"/>
      <c r="C27" s="710"/>
      <c r="D27" s="710"/>
      <c r="E27" s="710"/>
      <c r="F27" s="3539"/>
      <c r="G27" s="710"/>
      <c r="H27" s="3539"/>
      <c r="R27" s="2508">
        <v>27</v>
      </c>
    </row>
    <row r="28" spans="1:18" s="709" customFormat="1">
      <c r="A28" s="719" t="s">
        <v>3126</v>
      </c>
      <c r="B28" s="718">
        <f>'Part III-A-Uses of Funds'!$G$46</f>
        <v>0</v>
      </c>
      <c r="C28" s="719" t="s">
        <v>1660</v>
      </c>
      <c r="D28" s="718">
        <f>'Part III-A-Uses of Funds'!$J$46+'Part III-A-Uses of Funds'!$M$46+'Part III-A-Uses of Funds'!$P$46</f>
        <v>0</v>
      </c>
      <c r="E28" s="710"/>
      <c r="F28" s="3539"/>
      <c r="G28" s="710"/>
      <c r="H28" s="3539"/>
      <c r="R28" s="2507">
        <v>28</v>
      </c>
    </row>
    <row r="29" spans="1:18" s="709" customFormat="1" ht="6" customHeight="1">
      <c r="A29" s="710"/>
      <c r="B29" s="711"/>
      <c r="C29" s="710"/>
      <c r="D29" s="710"/>
      <c r="E29" s="710"/>
      <c r="F29" s="3540"/>
      <c r="G29" s="712"/>
      <c r="H29" s="3540"/>
      <c r="R29" s="2507">
        <v>29</v>
      </c>
    </row>
    <row r="30" spans="1:18" s="709" customFormat="1">
      <c r="A30" s="720" t="s">
        <v>674</v>
      </c>
      <c r="B30" s="710"/>
      <c r="C30" s="710"/>
      <c r="D30" s="710"/>
      <c r="E30" s="710"/>
      <c r="F30" s="710"/>
      <c r="G30" s="710"/>
      <c r="R30" s="2507">
        <v>30</v>
      </c>
    </row>
    <row r="31" spans="1:18" s="709" customFormat="1" ht="41.25" customHeight="1">
      <c r="A31" s="3541" t="str">
        <f>'Part III-A-Uses of Funds'!$C$71</f>
        <v>Bond Cost of Issuance</v>
      </c>
      <c r="B31" s="3542"/>
      <c r="C31" s="3542"/>
      <c r="D31" s="3543"/>
      <c r="E31" s="710"/>
      <c r="F31" s="3535" t="s">
        <v>5285</v>
      </c>
      <c r="G31" s="710"/>
      <c r="H31" s="3535" t="s">
        <v>5285</v>
      </c>
      <c r="R31" s="2507">
        <v>31</v>
      </c>
    </row>
    <row r="32" spans="1:18" s="709" customFormat="1" ht="41.25" customHeight="1">
      <c r="A32" s="3532"/>
      <c r="B32" s="3533"/>
      <c r="C32" s="3533"/>
      <c r="D32" s="3534"/>
      <c r="E32" s="710"/>
      <c r="F32" s="3536"/>
      <c r="G32" s="710"/>
      <c r="H32" s="3536"/>
      <c r="R32" s="2507">
        <v>32</v>
      </c>
    </row>
    <row r="33" spans="1:18" s="709" customFormat="1" ht="4.5" customHeight="1">
      <c r="A33" s="710"/>
      <c r="B33" s="710"/>
      <c r="C33" s="710"/>
      <c r="D33" s="710"/>
      <c r="E33" s="710"/>
      <c r="F33" s="3536"/>
      <c r="G33" s="710"/>
      <c r="H33" s="3536"/>
      <c r="R33" s="2507">
        <v>33</v>
      </c>
    </row>
    <row r="34" spans="1:18" s="709" customFormat="1" ht="14.25" customHeight="1">
      <c r="A34" s="719" t="s">
        <v>3126</v>
      </c>
      <c r="B34" s="718">
        <f>'Part III-A-Uses of Funds'!$G$71</f>
        <v>201190</v>
      </c>
      <c r="C34" s="719" t="s">
        <v>1660</v>
      </c>
      <c r="D34" s="718">
        <f>'Part III-A-Uses of Funds'!$J$71+'Part III-A-Uses of Funds'!$M$71+'Part III-A-Uses of Funds'!$P$71</f>
        <v>134127</v>
      </c>
      <c r="E34" s="710"/>
      <c r="F34" s="3536"/>
      <c r="G34" s="710"/>
      <c r="H34" s="3536"/>
      <c r="R34" s="2508">
        <v>34</v>
      </c>
    </row>
    <row r="35" spans="1:18" s="709" customFormat="1" ht="6" customHeight="1">
      <c r="D35" s="710"/>
      <c r="E35" s="710"/>
      <c r="F35" s="3536"/>
      <c r="G35" s="712"/>
      <c r="H35" s="3536"/>
      <c r="R35" s="2508">
        <v>35</v>
      </c>
    </row>
    <row r="36" spans="1:18" s="709" customFormat="1" ht="41.25" customHeight="1">
      <c r="A36" s="3541" t="str">
        <f>'Part III-A-Uses of Funds'!$C$72</f>
        <v>&lt;&lt; Enter description here; provide detail &amp; justification in tab Part III-b &gt;&gt;</v>
      </c>
      <c r="B36" s="3542"/>
      <c r="C36" s="3542"/>
      <c r="D36" s="3543"/>
      <c r="E36" s="710"/>
      <c r="F36" s="3536"/>
      <c r="G36" s="710"/>
      <c r="H36" s="3536"/>
      <c r="R36" s="2508">
        <v>36</v>
      </c>
    </row>
    <row r="37" spans="1:18" s="709" customFormat="1" ht="41.25" customHeight="1">
      <c r="A37" s="3532"/>
      <c r="B37" s="3533"/>
      <c r="C37" s="3533"/>
      <c r="D37" s="3534"/>
      <c r="E37" s="710"/>
      <c r="F37" s="3536"/>
      <c r="G37" s="710"/>
      <c r="H37" s="3536"/>
      <c r="R37" s="2507">
        <v>37</v>
      </c>
    </row>
    <row r="38" spans="1:18" s="709" customFormat="1" ht="4.5" customHeight="1">
      <c r="A38" s="710"/>
      <c r="B38" s="710"/>
      <c r="C38" s="710"/>
      <c r="D38" s="710"/>
      <c r="E38" s="710"/>
      <c r="F38" s="3536"/>
      <c r="G38" s="710"/>
      <c r="H38" s="3536"/>
      <c r="R38" s="2507">
        <v>38</v>
      </c>
    </row>
    <row r="39" spans="1:18" s="709" customFormat="1" ht="14.25" customHeight="1">
      <c r="A39" s="719" t="s">
        <v>3126</v>
      </c>
      <c r="B39" s="718">
        <f>'Part III-A-Uses of Funds'!$G$72</f>
        <v>0</v>
      </c>
      <c r="C39" s="719" t="s">
        <v>1660</v>
      </c>
      <c r="D39" s="718">
        <f>'Part III-A-Uses of Funds'!$J$72+'Part III-A-Uses of Funds'!$M$72+'Part III-A-Uses of Funds'!$P$72</f>
        <v>0</v>
      </c>
      <c r="E39" s="710"/>
      <c r="F39" s="3536"/>
      <c r="G39" s="710"/>
      <c r="H39" s="3536"/>
      <c r="R39" s="2507">
        <v>39</v>
      </c>
    </row>
    <row r="40" spans="1:18" s="709" customFormat="1" ht="6" customHeight="1">
      <c r="D40" s="710"/>
      <c r="E40" s="710"/>
      <c r="F40" s="3537"/>
      <c r="G40" s="712"/>
      <c r="H40" s="3537"/>
      <c r="R40" s="2507">
        <v>40</v>
      </c>
    </row>
    <row r="41" spans="1:18" s="709" customFormat="1">
      <c r="A41" s="720" t="s">
        <v>448</v>
      </c>
      <c r="B41" s="710"/>
      <c r="C41" s="710"/>
      <c r="D41" s="710"/>
      <c r="E41" s="714"/>
      <c r="F41" s="714"/>
      <c r="G41" s="710"/>
      <c r="R41" s="2507">
        <v>41</v>
      </c>
    </row>
    <row r="42" spans="1:18" s="709" customFormat="1" ht="41.25" customHeight="1">
      <c r="A42" s="3541" t="str">
        <f>'Part III-A-Uses of Funds'!$C$85</f>
        <v>Historic Designation Consultant</v>
      </c>
      <c r="B42" s="3542"/>
      <c r="C42" s="3542"/>
      <c r="D42" s="3543"/>
      <c r="F42" s="3538" t="s">
        <v>5291</v>
      </c>
      <c r="G42" s="710"/>
      <c r="H42" s="3538" t="s">
        <v>5292</v>
      </c>
      <c r="R42" s="2507">
        <v>42</v>
      </c>
    </row>
    <row r="43" spans="1:18" s="709" customFormat="1" ht="41.25" customHeight="1">
      <c r="A43" s="3532"/>
      <c r="B43" s="3533"/>
      <c r="C43" s="3533"/>
      <c r="D43" s="3534"/>
      <c r="E43" s="710"/>
      <c r="F43" s="3539"/>
      <c r="G43" s="710"/>
      <c r="H43" s="3539"/>
      <c r="R43" s="2508">
        <v>43</v>
      </c>
    </row>
    <row r="44" spans="1:18" s="709" customFormat="1" ht="4.5" customHeight="1">
      <c r="A44" s="710"/>
      <c r="B44" s="710"/>
      <c r="C44" s="710"/>
      <c r="D44" s="710"/>
      <c r="E44" s="710"/>
      <c r="F44" s="3539"/>
      <c r="G44" s="710"/>
      <c r="H44" s="3539"/>
      <c r="R44" s="2508">
        <v>44</v>
      </c>
    </row>
    <row r="45" spans="1:18" s="709" customFormat="1" ht="13.5" customHeight="1">
      <c r="A45" s="719" t="s">
        <v>3126</v>
      </c>
      <c r="B45" s="718">
        <f>'Part III-A-Uses of Funds'!$G$85</f>
        <v>45013</v>
      </c>
      <c r="C45" s="719" t="s">
        <v>1660</v>
      </c>
      <c r="D45" s="718">
        <f>'Part III-A-Uses of Funds'!$J$85+'Part III-A-Uses of Funds'!$M$85+'Part III-A-Uses of Funds'!$P$85</f>
        <v>45013</v>
      </c>
      <c r="E45" s="710"/>
      <c r="F45" s="3539"/>
      <c r="G45" s="710"/>
      <c r="H45" s="3539"/>
      <c r="R45" s="2508">
        <v>45</v>
      </c>
    </row>
    <row r="46" spans="1:18" s="709" customFormat="1" ht="6" customHeight="1">
      <c r="A46" s="710"/>
      <c r="B46" s="711"/>
      <c r="C46" s="710"/>
      <c r="D46" s="710"/>
      <c r="E46" s="710"/>
      <c r="F46" s="3540"/>
      <c r="G46" s="712"/>
      <c r="H46" s="3540"/>
      <c r="R46" s="2507">
        <v>46</v>
      </c>
    </row>
    <row r="47" spans="1:18" s="709" customFormat="1">
      <c r="A47" s="720" t="s">
        <v>676</v>
      </c>
      <c r="B47" s="710"/>
      <c r="C47" s="710"/>
      <c r="D47" s="710"/>
      <c r="E47" s="710"/>
      <c r="F47" s="710"/>
      <c r="G47" s="710"/>
      <c r="R47" s="2507">
        <v>47</v>
      </c>
    </row>
    <row r="48" spans="1:18" s="709" customFormat="1" ht="41.25" customHeight="1">
      <c r="A48" s="3541" t="str">
        <f>'Part III-A-Uses of Funds'!$C$102</f>
        <v>&lt;&lt; Enter description here; provide detail &amp; justification in tab Part III-b &gt;&gt;</v>
      </c>
      <c r="B48" s="3542"/>
      <c r="C48" s="3542"/>
      <c r="D48" s="3543"/>
      <c r="F48" s="3538"/>
      <c r="G48" s="710"/>
      <c r="R48" s="2507">
        <v>48</v>
      </c>
    </row>
    <row r="49" spans="1:18" s="709" customFormat="1" ht="41.25" customHeight="1">
      <c r="A49" s="3532"/>
      <c r="B49" s="3533"/>
      <c r="C49" s="3533"/>
      <c r="D49" s="3534"/>
      <c r="E49" s="710"/>
      <c r="F49" s="3539"/>
      <c r="G49" s="710"/>
      <c r="R49" s="2507">
        <v>49</v>
      </c>
    </row>
    <row r="50" spans="1:18" s="709" customFormat="1" ht="3" customHeight="1">
      <c r="A50" s="710"/>
      <c r="B50" s="710"/>
      <c r="C50" s="710"/>
      <c r="D50" s="710"/>
      <c r="E50" s="710"/>
      <c r="F50" s="3539"/>
      <c r="G50" s="710"/>
      <c r="R50" s="2507">
        <v>50</v>
      </c>
    </row>
    <row r="51" spans="1:18" s="709" customFormat="1" ht="13.5" customHeight="1">
      <c r="A51" s="719" t="s">
        <v>3126</v>
      </c>
      <c r="B51" s="718">
        <f>'Part III-A-Uses of Funds'!$G$102</f>
        <v>0</v>
      </c>
      <c r="C51" s="713"/>
      <c r="D51" s="713"/>
      <c r="E51" s="710"/>
      <c r="F51" s="3539"/>
      <c r="G51" s="710"/>
      <c r="R51" s="2507">
        <v>51</v>
      </c>
    </row>
    <row r="52" spans="1:18" s="709" customFormat="1" ht="3.75" customHeight="1">
      <c r="A52" s="710"/>
      <c r="B52" s="710"/>
      <c r="C52" s="710"/>
      <c r="D52" s="710"/>
      <c r="E52" s="710"/>
      <c r="F52" s="3540"/>
      <c r="G52" s="712"/>
      <c r="R52" s="2508">
        <v>52</v>
      </c>
    </row>
    <row r="53" spans="1:18" s="709" customFormat="1">
      <c r="A53" s="720" t="s">
        <v>3127</v>
      </c>
      <c r="B53" s="710"/>
      <c r="C53" s="710"/>
      <c r="D53" s="710"/>
      <c r="E53" s="710"/>
      <c r="F53" s="710"/>
      <c r="G53" s="710"/>
      <c r="R53" s="2508">
        <v>53</v>
      </c>
    </row>
    <row r="54" spans="1:18" s="709" customFormat="1" ht="41.25" customHeight="1">
      <c r="A54" s="3541" t="str">
        <f>'Part III-A-Uses of Funds'!$C$112</f>
        <v>&lt;&lt; Enter description here; provide detail &amp; justification in tab Part III-b &gt;&gt;</v>
      </c>
      <c r="B54" s="3542"/>
      <c r="C54" s="3542"/>
      <c r="D54" s="3543"/>
      <c r="F54" s="3535"/>
      <c r="G54" s="710"/>
      <c r="R54" s="2508">
        <v>54</v>
      </c>
    </row>
    <row r="55" spans="1:18" s="709" customFormat="1" ht="41.25" customHeight="1">
      <c r="A55" s="3532"/>
      <c r="B55" s="3533"/>
      <c r="C55" s="3533"/>
      <c r="D55" s="3534"/>
      <c r="E55" s="710"/>
      <c r="F55" s="3536"/>
      <c r="G55" s="710"/>
      <c r="R55" s="2507">
        <v>55</v>
      </c>
    </row>
    <row r="56" spans="1:18" s="709" customFormat="1" ht="3" customHeight="1">
      <c r="A56" s="710"/>
      <c r="B56" s="710"/>
      <c r="C56" s="710"/>
      <c r="D56" s="710"/>
      <c r="E56" s="710"/>
      <c r="F56" s="3536"/>
      <c r="G56" s="710"/>
      <c r="R56" s="2507">
        <v>56</v>
      </c>
    </row>
    <row r="57" spans="1:18" s="709" customFormat="1">
      <c r="A57" s="719" t="s">
        <v>3126</v>
      </c>
      <c r="B57" s="718">
        <f>'Part III-A-Uses of Funds'!$G$112</f>
        <v>0</v>
      </c>
      <c r="C57" s="713"/>
      <c r="D57" s="713"/>
      <c r="E57" s="710"/>
      <c r="F57" s="3536"/>
      <c r="G57" s="710"/>
      <c r="R57" s="2507">
        <v>57</v>
      </c>
    </row>
    <row r="58" spans="1:18" s="709" customFormat="1" ht="3.75" customHeight="1">
      <c r="A58" s="708"/>
      <c r="B58" s="708"/>
      <c r="C58" s="708"/>
      <c r="D58" s="708"/>
      <c r="E58" s="708"/>
      <c r="F58" s="3536"/>
      <c r="G58" s="712"/>
      <c r="R58" s="2507">
        <v>58</v>
      </c>
    </row>
    <row r="59" spans="1:18" s="709" customFormat="1" ht="41.25" customHeight="1">
      <c r="A59" s="3541" t="str">
        <f>'Part III-A-Uses of Funds'!$C$113</f>
        <v>&lt;&lt; Enter description here; provide detail &amp; justification in tab Part III-b &gt;&gt;</v>
      </c>
      <c r="B59" s="3542"/>
      <c r="C59" s="3542"/>
      <c r="D59" s="3543"/>
      <c r="F59" s="3536"/>
      <c r="G59" s="710"/>
      <c r="R59" s="2507">
        <v>59</v>
      </c>
    </row>
    <row r="60" spans="1:18" s="709" customFormat="1" ht="41.25" customHeight="1">
      <c r="A60" s="3532"/>
      <c r="B60" s="3533"/>
      <c r="C60" s="3533"/>
      <c r="D60" s="3534"/>
      <c r="E60" s="710"/>
      <c r="F60" s="3536"/>
      <c r="G60" s="710"/>
      <c r="R60" s="2507">
        <v>60</v>
      </c>
    </row>
    <row r="61" spans="1:18" s="709" customFormat="1" ht="3" customHeight="1">
      <c r="A61" s="710"/>
      <c r="B61" s="710"/>
      <c r="C61" s="710"/>
      <c r="D61" s="710"/>
      <c r="E61" s="710"/>
      <c r="F61" s="3536"/>
      <c r="G61" s="710"/>
      <c r="R61" s="2508">
        <v>61</v>
      </c>
    </row>
    <row r="62" spans="1:18" s="709" customFormat="1">
      <c r="A62" s="719" t="s">
        <v>3126</v>
      </c>
      <c r="B62" s="718">
        <f>'Part III-A-Uses of Funds'!$G$113</f>
        <v>0</v>
      </c>
      <c r="C62" s="713"/>
      <c r="D62" s="713"/>
      <c r="E62" s="710"/>
      <c r="F62" s="3536"/>
      <c r="G62" s="710"/>
      <c r="R62" s="2508">
        <v>62</v>
      </c>
    </row>
    <row r="63" spans="1:18" s="709" customFormat="1" ht="3.75" customHeight="1">
      <c r="A63" s="708"/>
      <c r="B63" s="708"/>
      <c r="C63" s="708"/>
      <c r="D63" s="708"/>
      <c r="E63" s="708"/>
      <c r="F63" s="3537"/>
      <c r="G63" s="712"/>
      <c r="R63" s="2508">
        <v>63</v>
      </c>
    </row>
    <row r="64" spans="1:18" s="709" customFormat="1">
      <c r="A64" s="720" t="s">
        <v>3128</v>
      </c>
      <c r="B64" s="710"/>
      <c r="C64" s="710"/>
      <c r="D64" s="710"/>
      <c r="E64" s="710"/>
      <c r="F64" s="710"/>
      <c r="G64" s="710"/>
      <c r="R64" s="2507">
        <v>64</v>
      </c>
    </row>
    <row r="65" spans="1:18" s="709" customFormat="1" ht="41.25" customHeight="1">
      <c r="A65" s="3541" t="str">
        <f>'Part III-A-Uses of Funds'!$C$119</f>
        <v>&lt;&lt; Enter description here; provide detail &amp; justification in tab Part III-b &gt;&gt;</v>
      </c>
      <c r="B65" s="3542"/>
      <c r="C65" s="3542"/>
      <c r="D65" s="3543"/>
      <c r="F65" s="3538"/>
      <c r="G65" s="710"/>
      <c r="R65" s="2507">
        <v>65</v>
      </c>
    </row>
    <row r="66" spans="1:18" s="709" customFormat="1" ht="41.25" customHeight="1">
      <c r="A66" s="3532"/>
      <c r="B66" s="3533"/>
      <c r="C66" s="3533"/>
      <c r="D66" s="3534"/>
      <c r="E66" s="710"/>
      <c r="F66" s="3539"/>
      <c r="G66" s="710"/>
      <c r="R66" s="2507">
        <v>66</v>
      </c>
    </row>
    <row r="67" spans="1:18" s="709" customFormat="1" ht="3" customHeight="1">
      <c r="A67" s="710"/>
      <c r="B67" s="710"/>
      <c r="C67" s="710"/>
      <c r="D67" s="710"/>
      <c r="E67" s="710"/>
      <c r="F67" s="3539"/>
      <c r="G67" s="710"/>
      <c r="R67" s="2507">
        <v>67</v>
      </c>
    </row>
    <row r="68" spans="1:18" s="709" customFormat="1">
      <c r="A68" s="719" t="s">
        <v>3126</v>
      </c>
      <c r="B68" s="718">
        <f>'Part III-A-Uses of Funds'!$G$119</f>
        <v>0</v>
      </c>
      <c r="C68" s="713"/>
      <c r="D68" s="713"/>
      <c r="E68" s="710"/>
      <c r="F68" s="3539"/>
      <c r="G68" s="710"/>
      <c r="R68" s="2507">
        <v>68</v>
      </c>
    </row>
    <row r="69" spans="1:18" s="709" customFormat="1" ht="3.75" customHeight="1">
      <c r="A69" s="710"/>
      <c r="B69" s="711"/>
      <c r="C69" s="710"/>
      <c r="D69" s="710"/>
      <c r="E69" s="710"/>
      <c r="F69" s="3540"/>
      <c r="G69" s="712"/>
      <c r="R69" s="2507">
        <v>69</v>
      </c>
    </row>
    <row r="70" spans="1:18" s="709" customFormat="1">
      <c r="A70" s="720" t="s">
        <v>1229</v>
      </c>
      <c r="B70" s="710"/>
      <c r="C70" s="710"/>
      <c r="D70" s="710"/>
      <c r="E70" s="710"/>
      <c r="F70" s="710"/>
      <c r="G70" s="710"/>
      <c r="R70" s="2508">
        <v>70</v>
      </c>
    </row>
    <row r="71" spans="1:18" s="709" customFormat="1" ht="41.25" customHeight="1">
      <c r="A71" s="3541" t="str">
        <f>'Part III-A-Uses of Funds'!$C$135</f>
        <v>Acquired Reserves</v>
      </c>
      <c r="B71" s="3542"/>
      <c r="C71" s="3542"/>
      <c r="D71" s="3543"/>
      <c r="F71" s="3538" t="s">
        <v>5286</v>
      </c>
      <c r="G71" s="710"/>
      <c r="H71" s="3538" t="s">
        <v>5286</v>
      </c>
      <c r="R71" s="2508">
        <v>71</v>
      </c>
    </row>
    <row r="72" spans="1:18" s="709" customFormat="1" ht="41.25" customHeight="1">
      <c r="A72" s="3532"/>
      <c r="B72" s="3533"/>
      <c r="C72" s="3533"/>
      <c r="D72" s="3534"/>
      <c r="E72" s="710"/>
      <c r="F72" s="3539"/>
      <c r="G72" s="710"/>
      <c r="H72" s="3539"/>
      <c r="R72" s="2508">
        <v>72</v>
      </c>
    </row>
    <row r="73" spans="1:18" s="709" customFormat="1" ht="4.5" customHeight="1">
      <c r="A73" s="710"/>
      <c r="B73" s="710"/>
      <c r="C73" s="710"/>
      <c r="D73" s="710"/>
      <c r="E73" s="710"/>
      <c r="F73" s="3539"/>
      <c r="G73" s="710"/>
      <c r="H73" s="3539"/>
      <c r="R73" s="2507">
        <v>73</v>
      </c>
    </row>
    <row r="74" spans="1:18" s="709" customFormat="1" ht="12.75" customHeight="1">
      <c r="A74" s="719" t="s">
        <v>3126</v>
      </c>
      <c r="B74" s="718">
        <f>'Part III-A-Uses of Funds'!$G$135</f>
        <v>124716</v>
      </c>
      <c r="C74" s="719" t="s">
        <v>1660</v>
      </c>
      <c r="D74" s="718">
        <f>'Part III-A-Uses of Funds'!$J$135+'Part III-A-Uses of Funds'!$M$135+'Part III-A-Uses of Funds'!$P$135</f>
        <v>0</v>
      </c>
      <c r="E74" s="710"/>
      <c r="F74" s="3539"/>
      <c r="G74" s="710"/>
      <c r="H74" s="3539"/>
      <c r="R74" s="2507">
        <v>74</v>
      </c>
    </row>
    <row r="75" spans="1:18" s="709" customFormat="1" ht="6" customHeight="1">
      <c r="A75" s="710"/>
      <c r="B75" s="711"/>
      <c r="C75" s="710"/>
      <c r="D75" s="710"/>
      <c r="E75" s="710"/>
      <c r="F75" s="3540"/>
      <c r="G75" s="712"/>
      <c r="H75" s="3540"/>
      <c r="R75" s="2507">
        <v>75</v>
      </c>
    </row>
    <row r="76" spans="1:18" s="709" customFormat="1">
      <c r="A76" s="720" t="s">
        <v>3129</v>
      </c>
      <c r="B76" s="711"/>
      <c r="C76" s="710"/>
      <c r="D76" s="710"/>
      <c r="E76" s="710"/>
      <c r="F76" s="710"/>
      <c r="G76" s="712"/>
      <c r="R76" s="2507">
        <v>76</v>
      </c>
    </row>
    <row r="77" spans="1:18" s="709" customFormat="1" ht="41.25" customHeight="1">
      <c r="A77" s="3541" t="str">
        <f>'Part III-A-Uses of Funds'!$C$144</f>
        <v>&lt;&lt; Enter description here; provide detail &amp; justification in tab Part III-b &gt;&gt;</v>
      </c>
      <c r="B77" s="3542"/>
      <c r="C77" s="3542"/>
      <c r="D77" s="3543"/>
      <c r="F77" s="3538"/>
      <c r="G77" s="710"/>
      <c r="H77" s="3538"/>
      <c r="R77" s="2507">
        <v>77</v>
      </c>
    </row>
    <row r="78" spans="1:18" s="709" customFormat="1" ht="41.25" customHeight="1">
      <c r="A78" s="3532"/>
      <c r="B78" s="3533"/>
      <c r="C78" s="3533"/>
      <c r="D78" s="3534"/>
      <c r="E78" s="710"/>
      <c r="F78" s="3539"/>
      <c r="G78" s="710"/>
      <c r="H78" s="3539"/>
      <c r="R78" s="2507">
        <v>78</v>
      </c>
    </row>
    <row r="79" spans="1:18" s="709" customFormat="1" ht="4.5" customHeight="1">
      <c r="A79" s="710"/>
      <c r="B79" s="710"/>
      <c r="C79" s="710"/>
      <c r="D79" s="710"/>
      <c r="E79" s="710"/>
      <c r="F79" s="3539"/>
      <c r="G79" s="710"/>
      <c r="H79" s="3539"/>
      <c r="R79" s="2508">
        <v>79</v>
      </c>
    </row>
    <row r="80" spans="1:18" s="709" customFormat="1" ht="12.75" customHeight="1">
      <c r="A80" s="719" t="s">
        <v>3126</v>
      </c>
      <c r="B80" s="718">
        <f>'Part III-A-Uses of Funds'!$G$144</f>
        <v>0</v>
      </c>
      <c r="C80" s="719" t="s">
        <v>1660</v>
      </c>
      <c r="D80" s="718">
        <f>'Part III-A-Uses of Funds'!$J$144+'Part III-A-Uses of Funds'!$M$144+'Part III-A-Uses of Funds'!$P$144</f>
        <v>0</v>
      </c>
      <c r="E80" s="715"/>
      <c r="F80" s="3539"/>
      <c r="G80" s="710"/>
      <c r="H80" s="3539"/>
      <c r="R80" s="2508">
        <v>80</v>
      </c>
    </row>
    <row r="81" spans="4:18" s="709" customFormat="1" ht="6" customHeight="1">
      <c r="D81" s="716"/>
      <c r="E81" s="717"/>
      <c r="F81" s="3540"/>
      <c r="G81" s="712"/>
      <c r="H81" s="3540"/>
      <c r="R81" s="2508">
        <v>81</v>
      </c>
    </row>
    <row r="82" spans="4:18" s="709" customFormat="1">
      <c r="R82" s="2509"/>
    </row>
    <row r="83" spans="4:18" s="709" customFormat="1">
      <c r="R83" s="2509"/>
    </row>
    <row r="84" spans="4:18" s="709" customFormat="1">
      <c r="R84" s="2510"/>
    </row>
    <row r="85" spans="4:18" s="709" customFormat="1">
      <c r="R85" s="2510"/>
    </row>
    <row r="86" spans="4:18" s="709" customFormat="1">
      <c r="R86" s="2510"/>
    </row>
    <row r="87" spans="4:18" s="709" customFormat="1">
      <c r="R87" s="2510"/>
    </row>
    <row r="88" spans="4:18" s="709" customFormat="1">
      <c r="R88" s="2510"/>
    </row>
    <row r="89" spans="4:18" s="709" customFormat="1">
      <c r="R89" s="2510"/>
    </row>
    <row r="90" spans="4:18" s="709" customFormat="1">
      <c r="R90" s="2510"/>
    </row>
    <row r="91" spans="4:18" s="709" customFormat="1">
      <c r="R91" s="2510"/>
    </row>
    <row r="92" spans="4:18" s="709" customFormat="1">
      <c r="R92" s="2510"/>
    </row>
  </sheetData>
  <sheetProtection algorithmName="SHA-512" hashValue="TWE7WkD8K34flY+h9jxgNqVxeoIKKEKX0vCLJFJbI9WyOANWtqpIfar3IQSmuGdS/2c9j9NdYvuMP3VKYKxAUw==" saltValue="eniJhsFjtTfN3edZBqM5c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topLeftCell="A31" workbookViewId="0">
      <selection activeCell="B50" sqref="B50"/>
    </sheetView>
  </sheetViews>
  <sheetFormatPr defaultColWidth="8.7265625" defaultRowHeight="12.5"/>
  <cols>
    <col min="1" max="1" width="2.26953125" customWidth="1"/>
    <col min="3" max="3" width="12.4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2413"/>
  </cols>
  <sheetData>
    <row r="1" spans="1:27" s="6" customFormat="1" ht="14.15" customHeight="1">
      <c r="A1" s="3545" t="str">
        <f>CONCATENATE("PART FOUR - UTILITY ALLOWANCES","  -  ",'Part I-Project Identification'!$O$7," ",'Part I-Project Identification'!$F$26,", ",'Part I-Project Identification'!F27,", ",'Part I-Project Identification'!J27," County")</f>
        <v>PART FOUR - UTILITY ALLOWANCES  -  2025-5 Princeton Court, College Park, Fulton County</v>
      </c>
      <c r="B1" s="3546"/>
      <c r="C1" s="3546"/>
      <c r="D1" s="3546"/>
      <c r="E1" s="3546"/>
      <c r="F1" s="3546"/>
      <c r="G1" s="3546"/>
      <c r="H1" s="3546"/>
      <c r="I1" s="3546"/>
      <c r="J1" s="3546"/>
      <c r="K1" s="3546"/>
      <c r="L1" s="3546"/>
      <c r="M1" s="3546"/>
      <c r="N1" s="4"/>
      <c r="O1" s="4"/>
      <c r="P1" s="4"/>
      <c r="Q1" s="4"/>
      <c r="AA1" s="2502">
        <v>1</v>
      </c>
    </row>
    <row r="2" spans="1:27" s="6" customFormat="1" ht="7.5" customHeight="1">
      <c r="AA2" s="2502">
        <v>2</v>
      </c>
    </row>
    <row r="3" spans="1:27" s="6" customFormat="1" ht="12.75" customHeight="1">
      <c r="B3" s="3547" t="str">
        <f>'Part I-Project Identification'!$A$6</f>
        <v>August 11, 2025</v>
      </c>
      <c r="C3" s="3547"/>
      <c r="D3" s="3547"/>
      <c r="E3" s="3547"/>
      <c r="F3" s="4" t="s">
        <v>4620</v>
      </c>
      <c r="I3" s="3548"/>
      <c r="J3" s="3549"/>
      <c r="AA3" s="2502">
        <v>3</v>
      </c>
    </row>
    <row r="4" spans="1:27" s="6" customFormat="1" ht="6" customHeight="1">
      <c r="AA4" s="2502">
        <v>4</v>
      </c>
    </row>
    <row r="5" spans="1:27" ht="13">
      <c r="A5" s="206" t="s">
        <v>4391</v>
      </c>
      <c r="O5" s="822"/>
      <c r="P5" s="822"/>
      <c r="Q5" s="822"/>
      <c r="R5" s="822"/>
      <c r="S5" s="822"/>
      <c r="T5" s="822"/>
      <c r="U5" s="822"/>
      <c r="V5" s="392"/>
      <c r="W5" s="392"/>
      <c r="X5" s="392"/>
      <c r="Y5" s="392"/>
      <c r="AA5" s="2502">
        <v>5</v>
      </c>
    </row>
    <row r="6" spans="1:27" ht="6" customHeight="1">
      <c r="A6" s="6"/>
      <c r="O6" s="822"/>
      <c r="P6" s="822"/>
      <c r="Q6" s="822"/>
      <c r="R6" s="822"/>
      <c r="S6" s="822"/>
      <c r="T6" s="822"/>
      <c r="U6" s="822"/>
      <c r="V6" s="392"/>
      <c r="W6" s="392"/>
      <c r="X6" s="392"/>
      <c r="Y6" s="392"/>
      <c r="AA6" s="2502">
        <v>6</v>
      </c>
    </row>
    <row r="7" spans="1:27" s="6" customFormat="1" ht="13.5" customHeight="1">
      <c r="A7" s="10" t="s">
        <v>572</v>
      </c>
      <c r="B7" s="10" t="s">
        <v>2054</v>
      </c>
      <c r="F7" s="1" t="s">
        <v>2311</v>
      </c>
      <c r="G7" s="1"/>
      <c r="H7" s="1"/>
      <c r="I7" s="3550" t="s">
        <v>5229</v>
      </c>
      <c r="J7" s="3551"/>
      <c r="K7" s="3551"/>
      <c r="L7" s="3551"/>
      <c r="M7" s="3552"/>
      <c r="O7" s="822"/>
      <c r="P7" s="822"/>
      <c r="Q7" s="822"/>
      <c r="R7" s="822"/>
      <c r="S7" s="822"/>
      <c r="T7" s="822"/>
      <c r="U7" s="822"/>
      <c r="V7" s="392"/>
      <c r="W7" s="392"/>
      <c r="X7" s="392"/>
      <c r="Y7" s="392"/>
      <c r="AA7" s="2502">
        <v>7</v>
      </c>
    </row>
    <row r="8" spans="1:27" s="6" customFormat="1" ht="13.4" customHeight="1">
      <c r="A8" s="10"/>
      <c r="F8" s="1" t="s">
        <v>592</v>
      </c>
      <c r="G8" s="1"/>
      <c r="H8" s="26"/>
      <c r="I8" s="3553"/>
      <c r="J8" s="3554"/>
      <c r="K8" s="5" t="s">
        <v>504</v>
      </c>
      <c r="L8" s="3555"/>
      <c r="M8" s="3556"/>
      <c r="O8" s="822"/>
      <c r="P8" s="822"/>
      <c r="Q8" s="822"/>
      <c r="R8" s="822"/>
      <c r="S8" s="822"/>
      <c r="T8" s="822"/>
      <c r="U8" s="822"/>
      <c r="V8" s="392"/>
      <c r="W8" s="392"/>
      <c r="X8" s="392"/>
      <c r="Y8" s="392"/>
      <c r="AA8" s="2502">
        <v>8</v>
      </c>
    </row>
    <row r="9" spans="1:27" s="6" customFormat="1" ht="4.5" customHeight="1">
      <c r="A9" s="10"/>
      <c r="O9" s="822"/>
      <c r="P9" s="822"/>
      <c r="Q9" s="822"/>
      <c r="R9" s="822"/>
      <c r="S9" s="822"/>
      <c r="T9" s="822"/>
      <c r="U9" s="822"/>
      <c r="V9" s="392"/>
      <c r="W9" s="392"/>
      <c r="X9" s="392"/>
      <c r="Y9" s="392"/>
      <c r="AA9" s="2502">
        <v>9</v>
      </c>
    </row>
    <row r="10" spans="1:27" s="10" customFormat="1" ht="13.5" customHeight="1">
      <c r="F10" s="3559" t="s">
        <v>566</v>
      </c>
      <c r="G10" s="3559"/>
      <c r="I10" s="3559" t="s">
        <v>193</v>
      </c>
      <c r="J10" s="3559"/>
      <c r="K10" s="3559"/>
      <c r="L10" s="3559"/>
      <c r="M10" s="3559"/>
      <c r="O10" s="822"/>
      <c r="P10" s="822"/>
      <c r="Q10" s="822"/>
      <c r="R10" s="822"/>
      <c r="S10" s="822"/>
      <c r="T10" s="822"/>
      <c r="U10" s="822"/>
      <c r="AA10" s="2502">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2502">
        <v>11</v>
      </c>
    </row>
    <row r="12" spans="1:27" s="6" customFormat="1" ht="12" customHeight="1">
      <c r="B12" s="1200" t="s">
        <v>1711</v>
      </c>
      <c r="C12" s="1201"/>
      <c r="D12" s="3557" t="s">
        <v>5228</v>
      </c>
      <c r="E12" s="3558"/>
      <c r="F12" s="207" t="s">
        <v>415</v>
      </c>
      <c r="G12" s="207"/>
      <c r="H12" s="787"/>
      <c r="I12" s="1195"/>
      <c r="J12" s="1195">
        <v>9</v>
      </c>
      <c r="K12" s="1195">
        <v>12</v>
      </c>
      <c r="L12" s="1195"/>
      <c r="M12" s="1195"/>
      <c r="O12" s="822"/>
      <c r="P12" s="822"/>
      <c r="Q12" s="822"/>
      <c r="R12" s="822"/>
      <c r="S12" s="822"/>
      <c r="T12" s="822"/>
      <c r="U12" s="822"/>
      <c r="AA12" s="2502">
        <v>12</v>
      </c>
    </row>
    <row r="13" spans="1:27" s="6" customFormat="1" ht="12" customHeight="1">
      <c r="B13" s="1202" t="s">
        <v>1490</v>
      </c>
      <c r="C13" s="1203"/>
      <c r="D13" s="3560" t="s">
        <v>1489</v>
      </c>
      <c r="E13" s="3561"/>
      <c r="F13" s="208" t="s">
        <v>415</v>
      </c>
      <c r="G13" s="208"/>
      <c r="H13" s="786"/>
      <c r="I13" s="1196"/>
      <c r="J13" s="1196">
        <v>10</v>
      </c>
      <c r="K13" s="1196">
        <v>13</v>
      </c>
      <c r="L13" s="1197"/>
      <c r="M13" s="1197"/>
      <c r="O13" s="3544" t="s">
        <v>5106</v>
      </c>
      <c r="P13" s="3544"/>
      <c r="Q13" s="3544"/>
      <c r="R13" s="3544"/>
      <c r="S13" s="3544"/>
      <c r="AA13" s="2502">
        <v>13</v>
      </c>
    </row>
    <row r="14" spans="1:27" s="6" customFormat="1" ht="12" customHeight="1">
      <c r="B14" s="1204" t="s">
        <v>1491</v>
      </c>
      <c r="C14" s="1205"/>
      <c r="D14" s="3560" t="s">
        <v>1489</v>
      </c>
      <c r="E14" s="3561"/>
      <c r="F14" s="208" t="s">
        <v>415</v>
      </c>
      <c r="G14" s="208"/>
      <c r="H14" s="203"/>
      <c r="I14" s="1196"/>
      <c r="J14" s="1196">
        <v>27</v>
      </c>
      <c r="K14" s="1196">
        <v>34</v>
      </c>
      <c r="L14" s="1197"/>
      <c r="M14" s="1197"/>
      <c r="O14" s="3544"/>
      <c r="P14" s="3544"/>
      <c r="Q14" s="3544"/>
      <c r="R14" s="3544"/>
      <c r="S14" s="3544"/>
      <c r="AA14" s="2502">
        <v>14</v>
      </c>
    </row>
    <row r="15" spans="1:27" s="6" customFormat="1" ht="12" customHeight="1">
      <c r="B15" s="1206" t="s">
        <v>439</v>
      </c>
      <c r="C15" s="1207"/>
      <c r="D15" s="1206" t="s">
        <v>1489</v>
      </c>
      <c r="E15" s="204"/>
      <c r="F15" s="208" t="s">
        <v>415</v>
      </c>
      <c r="G15" s="208"/>
      <c r="H15" s="785"/>
      <c r="I15" s="1196"/>
      <c r="J15" s="1196"/>
      <c r="K15" s="1196"/>
      <c r="L15" s="1197"/>
      <c r="M15" s="1197"/>
      <c r="O15" s="3544"/>
      <c r="P15" s="3544"/>
      <c r="Q15" s="3544"/>
      <c r="R15" s="3544"/>
      <c r="S15" s="3544"/>
      <c r="AA15" s="2502">
        <v>15</v>
      </c>
    </row>
    <row r="16" spans="1:27" s="6" customFormat="1" ht="12" customHeight="1">
      <c r="B16" s="1208" t="s">
        <v>3187</v>
      </c>
      <c r="C16" s="1203"/>
      <c r="D16" s="1202" t="s">
        <v>1489</v>
      </c>
      <c r="E16" s="784"/>
      <c r="F16" s="208"/>
      <c r="G16" s="208"/>
      <c r="H16" s="786"/>
      <c r="I16" s="1196"/>
      <c r="J16" s="1196"/>
      <c r="K16" s="1196"/>
      <c r="L16" s="1197"/>
      <c r="M16" s="1197"/>
      <c r="O16" s="3544"/>
      <c r="P16" s="3544"/>
      <c r="Q16" s="3544"/>
      <c r="R16" s="3544"/>
      <c r="S16" s="3544"/>
      <c r="AA16" s="2502">
        <v>16</v>
      </c>
    </row>
    <row r="17" spans="1:27" s="6" customFormat="1" ht="12" customHeight="1">
      <c r="B17" s="1208" t="s">
        <v>3188</v>
      </c>
      <c r="C17" s="1203"/>
      <c r="D17" s="1202" t="s">
        <v>1489</v>
      </c>
      <c r="E17" s="784"/>
      <c r="F17" s="208"/>
      <c r="G17" s="208"/>
      <c r="H17" s="786"/>
      <c r="I17" s="1196"/>
      <c r="J17" s="1196"/>
      <c r="K17" s="1196"/>
      <c r="L17" s="1197"/>
      <c r="M17" s="1197"/>
      <c r="O17" s="3544"/>
      <c r="P17" s="3544"/>
      <c r="Q17" s="3544"/>
      <c r="R17" s="3544"/>
      <c r="S17" s="3544"/>
      <c r="AA17" s="2502">
        <v>17</v>
      </c>
    </row>
    <row r="18" spans="1:27" s="6" customFormat="1" ht="12" customHeight="1">
      <c r="B18" s="1209" t="s">
        <v>3189</v>
      </c>
      <c r="C18" s="1205"/>
      <c r="D18" s="1204" t="s">
        <v>1489</v>
      </c>
      <c r="E18" s="2484"/>
      <c r="F18" s="208" t="s">
        <v>415</v>
      </c>
      <c r="G18" s="208"/>
      <c r="H18" s="203"/>
      <c r="I18" s="1196"/>
      <c r="J18" s="1196">
        <v>32</v>
      </c>
      <c r="K18" s="1196">
        <v>41</v>
      </c>
      <c r="L18" s="1197"/>
      <c r="M18" s="1197"/>
      <c r="O18" s="3544"/>
      <c r="P18" s="3544"/>
      <c r="Q18" s="3544"/>
      <c r="R18" s="3544"/>
      <c r="S18" s="3544"/>
      <c r="AA18" s="2502">
        <v>18</v>
      </c>
    </row>
    <row r="19" spans="1:27" s="6" customFormat="1" ht="12" customHeight="1">
      <c r="B19" s="1206" t="s">
        <v>1290</v>
      </c>
      <c r="C19" s="1207"/>
      <c r="D19" s="1212" t="s">
        <v>2993</v>
      </c>
      <c r="E19" s="1194" t="s">
        <v>2645</v>
      </c>
      <c r="F19" s="208"/>
      <c r="G19" s="208" t="s">
        <v>415</v>
      </c>
      <c r="H19" s="785"/>
      <c r="I19" s="1196"/>
      <c r="J19" s="1196"/>
      <c r="K19" s="1196"/>
      <c r="L19" s="1197"/>
      <c r="M19" s="1197"/>
      <c r="O19" s="3544"/>
      <c r="P19" s="3544"/>
      <c r="Q19" s="3544"/>
      <c r="R19" s="3544"/>
      <c r="S19" s="3544"/>
      <c r="AA19" s="2502">
        <v>19</v>
      </c>
    </row>
    <row r="20" spans="1:27" s="6" customFormat="1" ht="12" customHeight="1">
      <c r="B20" s="1210" t="s">
        <v>1710</v>
      </c>
      <c r="C20" s="1211"/>
      <c r="D20" s="205"/>
      <c r="E20" s="187"/>
      <c r="F20" s="208"/>
      <c r="G20" s="208" t="s">
        <v>415</v>
      </c>
      <c r="H20" s="203"/>
      <c r="I20" s="1196"/>
      <c r="J20" s="1196"/>
      <c r="K20" s="1196"/>
      <c r="L20" s="1197"/>
      <c r="M20" s="1197"/>
      <c r="O20" s="3544"/>
      <c r="P20" s="3544"/>
      <c r="Q20" s="3544"/>
      <c r="R20" s="3544"/>
      <c r="S20" s="3544"/>
      <c r="AA20" s="2502">
        <v>20</v>
      </c>
    </row>
    <row r="21" spans="1:27">
      <c r="B21" s="2485" t="s">
        <v>5104</v>
      </c>
      <c r="C21" s="201"/>
      <c r="D21" s="201"/>
      <c r="E21" s="201"/>
      <c r="O21" s="3544"/>
      <c r="P21" s="3544"/>
      <c r="Q21" s="3544"/>
      <c r="R21" s="3544"/>
      <c r="S21" s="3544"/>
      <c r="AA21" s="2502">
        <v>21</v>
      </c>
    </row>
    <row r="22" spans="1:27" s="6" customFormat="1" ht="12" customHeight="1">
      <c r="B22" s="2482" t="s">
        <v>5105</v>
      </c>
      <c r="C22" s="1203"/>
      <c r="D22" s="1202" t="s">
        <v>145</v>
      </c>
      <c r="E22" s="784"/>
      <c r="F22" s="208"/>
      <c r="G22" s="208"/>
      <c r="H22" s="785"/>
      <c r="I22" s="1196"/>
      <c r="J22" s="1196"/>
      <c r="K22" s="1196"/>
      <c r="L22" s="1197"/>
      <c r="M22" s="1197"/>
      <c r="O22" s="3544"/>
      <c r="P22" s="3544"/>
      <c r="Q22" s="3544"/>
      <c r="R22" s="3544"/>
      <c r="S22" s="3544"/>
      <c r="AA22" s="2502">
        <v>22</v>
      </c>
    </row>
    <row r="23" spans="1:27" s="6" customFormat="1" ht="12" customHeight="1">
      <c r="B23" s="2487" t="s">
        <v>5103</v>
      </c>
      <c r="C23" s="1205"/>
      <c r="D23" s="1204" t="s">
        <v>1489</v>
      </c>
      <c r="E23" s="784"/>
      <c r="F23" s="208"/>
      <c r="G23" s="208"/>
      <c r="H23" s="203"/>
      <c r="I23" s="1196"/>
      <c r="J23" s="1196"/>
      <c r="K23" s="1196"/>
      <c r="L23" s="1197"/>
      <c r="M23" s="1197"/>
      <c r="O23" s="3544"/>
      <c r="P23" s="3544"/>
      <c r="Q23" s="3544"/>
      <c r="R23" s="3544"/>
      <c r="S23" s="3544"/>
      <c r="AA23" s="2502">
        <v>23</v>
      </c>
    </row>
    <row r="24" spans="1:27" s="6" customFormat="1" ht="12" customHeight="1">
      <c r="B24" s="1210" t="s">
        <v>689</v>
      </c>
      <c r="C24" s="3563"/>
      <c r="D24" s="3564"/>
      <c r="E24" s="3565"/>
      <c r="F24" s="209"/>
      <c r="G24" s="209"/>
      <c r="H24" s="788"/>
      <c r="I24" s="1198"/>
      <c r="J24" s="1198"/>
      <c r="K24" s="1198"/>
      <c r="L24" s="1199"/>
      <c r="M24" s="1199"/>
      <c r="O24" s="3544"/>
      <c r="P24" s="3544"/>
      <c r="Q24" s="3544"/>
      <c r="R24" s="3544"/>
      <c r="S24" s="3544"/>
      <c r="AA24" s="2502">
        <v>24</v>
      </c>
    </row>
    <row r="25" spans="1:27" s="6" customFormat="1" ht="13">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78</v>
      </c>
      <c r="K25" s="119">
        <f>IF(SUM(K12:K24)=0,0,IF(OR($D12="&lt;&lt;Select Fuel &gt;&gt;",$D13="&lt;&lt;Select Fuel &gt;&gt;",$D14="&lt;&lt;Select Fuel &gt;&gt;"),"Select Fuel",IF($E19="&lt;Select&gt;","Submeter?",SUM(K12:K24))))</f>
        <v>100</v>
      </c>
      <c r="L25" s="119">
        <f>IF(SUM(L12:L24)=0,0,IF(OR($D12="&lt;&lt;Select Fuel &gt;&gt;",$D13="&lt;&lt;Select Fuel &gt;&gt;",$D14="&lt;&lt;Select Fuel &gt;&gt;"),"Select Fuel",IF($E19="&lt;Select&gt;","Submeter?",SUM(L12:L24))))</f>
        <v>0</v>
      </c>
      <c r="M25" s="119">
        <f>IF(SUM(M12:M24)=0,0,IF(OR($D12="&lt;&lt;Select Fuel &gt;&gt;",$D13="&lt;&lt;Select Fuel &gt;&gt;",$D14="&lt;&lt;Select Fuel &gt;&gt;"),"Select Fuel",IF($E19="&lt;Select&gt;","Submeter?",SUM(M12:M24))))</f>
        <v>0</v>
      </c>
      <c r="AA25" s="2502">
        <v>25</v>
      </c>
    </row>
    <row r="26" spans="1:27" s="6" customFormat="1" ht="7.5" customHeight="1">
      <c r="M26"/>
      <c r="N26"/>
      <c r="O26" s="822"/>
      <c r="P26" s="822"/>
      <c r="Q26" s="822"/>
      <c r="R26" s="822"/>
      <c r="S26" s="822"/>
      <c r="T26" s="822"/>
      <c r="U26" s="822"/>
      <c r="V26" s="392"/>
      <c r="W26" s="392"/>
      <c r="X26" s="392"/>
      <c r="Y26" s="392"/>
      <c r="AA26" s="2502">
        <v>26</v>
      </c>
    </row>
    <row r="27" spans="1:27" s="6" customFormat="1" ht="12.75" customHeight="1">
      <c r="A27" s="10" t="s">
        <v>688</v>
      </c>
      <c r="B27" s="10" t="s">
        <v>2055</v>
      </c>
      <c r="F27" s="1" t="s">
        <v>2311</v>
      </c>
      <c r="G27" s="1"/>
      <c r="H27" s="1"/>
      <c r="I27" s="3562"/>
      <c r="J27" s="3551"/>
      <c r="K27" s="3551"/>
      <c r="L27" s="3551"/>
      <c r="M27" s="3552"/>
      <c r="O27" s="822"/>
      <c r="P27" s="822"/>
      <c r="Q27" s="822"/>
      <c r="R27" s="822"/>
      <c r="S27" s="822"/>
      <c r="T27" s="822"/>
      <c r="U27" s="822"/>
      <c r="V27" s="392"/>
      <c r="W27" s="392"/>
      <c r="X27" s="392"/>
      <c r="Y27" s="392"/>
      <c r="AA27" s="2502">
        <v>27</v>
      </c>
    </row>
    <row r="28" spans="1:27" s="6" customFormat="1" ht="13.4" customHeight="1">
      <c r="A28" s="10"/>
      <c r="B28" s="10"/>
      <c r="F28" s="1" t="s">
        <v>592</v>
      </c>
      <c r="G28" s="1"/>
      <c r="H28" s="26"/>
      <c r="I28" s="3553"/>
      <c r="J28" s="3554"/>
      <c r="K28" s="5" t="s">
        <v>504</v>
      </c>
      <c r="L28" s="3555"/>
      <c r="M28" s="3556"/>
      <c r="O28" s="822"/>
      <c r="P28" s="822"/>
      <c r="Q28" s="822"/>
      <c r="R28" s="822"/>
      <c r="S28" s="822"/>
      <c r="T28" s="822"/>
      <c r="U28" s="822"/>
      <c r="V28" s="392"/>
      <c r="W28" s="392"/>
      <c r="X28" s="392"/>
      <c r="Y28" s="392"/>
      <c r="AA28" s="2502">
        <v>28</v>
      </c>
    </row>
    <row r="29" spans="1:27" s="6" customFormat="1" ht="4.5" customHeight="1">
      <c r="A29" s="10"/>
      <c r="O29" s="822"/>
      <c r="P29" s="822"/>
      <c r="Q29" s="822"/>
      <c r="R29" s="822"/>
      <c r="S29" s="822"/>
      <c r="T29" s="822"/>
      <c r="U29" s="822"/>
      <c r="V29" s="392"/>
      <c r="W29" s="392"/>
      <c r="X29" s="392"/>
      <c r="Y29" s="392"/>
      <c r="AA29" s="2502">
        <v>29</v>
      </c>
    </row>
    <row r="30" spans="1:27" s="10" customFormat="1" ht="13">
      <c r="F30" s="3559" t="s">
        <v>566</v>
      </c>
      <c r="G30" s="3559"/>
      <c r="I30" s="3559" t="s">
        <v>193</v>
      </c>
      <c r="J30" s="3559"/>
      <c r="K30" s="3559"/>
      <c r="L30" s="3559"/>
      <c r="M30" s="3559"/>
      <c r="O30" s="822"/>
      <c r="P30" s="822"/>
      <c r="Q30" s="822"/>
      <c r="R30" s="822"/>
      <c r="S30" s="822"/>
      <c r="T30" s="822"/>
      <c r="U30" s="822"/>
      <c r="V30" s="392"/>
      <c r="W30" s="392"/>
      <c r="X30" s="392"/>
      <c r="Y30" s="392"/>
      <c r="AA30" s="2502">
        <v>30</v>
      </c>
    </row>
    <row r="31" spans="1:27" s="10" customFormat="1" ht="13">
      <c r="B31" s="10" t="s">
        <v>741</v>
      </c>
      <c r="D31" s="10" t="s">
        <v>1492</v>
      </c>
      <c r="F31" s="24" t="s">
        <v>595</v>
      </c>
      <c r="G31" s="24" t="s">
        <v>1709</v>
      </c>
      <c r="I31" s="202" t="s">
        <v>525</v>
      </c>
      <c r="J31" s="202">
        <v>1</v>
      </c>
      <c r="K31" s="202">
        <v>2</v>
      </c>
      <c r="L31" s="202">
        <v>3</v>
      </c>
      <c r="M31" s="202">
        <v>4</v>
      </c>
      <c r="O31" s="822"/>
      <c r="P31" s="822"/>
      <c r="Q31" s="822"/>
      <c r="R31" s="822"/>
      <c r="S31" s="822"/>
      <c r="T31" s="822"/>
      <c r="U31" s="822"/>
      <c r="AA31" s="2502">
        <v>31</v>
      </c>
    </row>
    <row r="32" spans="1:27" s="6" customFormat="1" ht="12" customHeight="1">
      <c r="B32" s="1200" t="s">
        <v>1711</v>
      </c>
      <c r="C32" s="1201"/>
      <c r="D32" s="3557" t="s">
        <v>1684</v>
      </c>
      <c r="E32" s="3558"/>
      <c r="F32" s="207"/>
      <c r="G32" s="207"/>
      <c r="H32" s="787"/>
      <c r="I32" s="1195"/>
      <c r="J32" s="1195"/>
      <c r="K32" s="1195"/>
      <c r="L32" s="1195"/>
      <c r="M32" s="1195"/>
      <c r="O32" s="822"/>
      <c r="P32" s="822"/>
      <c r="Q32" s="822"/>
      <c r="R32" s="822"/>
      <c r="S32" s="822"/>
      <c r="T32" s="822"/>
      <c r="U32" s="822"/>
      <c r="V32" s="10"/>
      <c r="W32" s="10"/>
      <c r="X32" s="10"/>
      <c r="Y32" s="10"/>
      <c r="AA32" s="2502">
        <v>32</v>
      </c>
    </row>
    <row r="33" spans="1:27" s="6" customFormat="1" ht="12" customHeight="1">
      <c r="B33" s="1202" t="s">
        <v>1490</v>
      </c>
      <c r="C33" s="1203"/>
      <c r="D33" s="3560" t="s">
        <v>1684</v>
      </c>
      <c r="E33" s="3561"/>
      <c r="F33" s="208"/>
      <c r="G33" s="208"/>
      <c r="H33" s="786"/>
      <c r="I33" s="1196"/>
      <c r="J33" s="1196"/>
      <c r="K33" s="1196"/>
      <c r="L33" s="1197"/>
      <c r="M33" s="1197"/>
      <c r="O33" s="822"/>
      <c r="P33" s="822"/>
      <c r="Q33" s="822"/>
      <c r="R33" s="822"/>
      <c r="S33" s="822"/>
      <c r="T33" s="822"/>
      <c r="U33" s="822"/>
      <c r="AA33" s="2502">
        <v>33</v>
      </c>
    </row>
    <row r="34" spans="1:27" s="6" customFormat="1" ht="12" customHeight="1">
      <c r="B34" s="1204" t="s">
        <v>1491</v>
      </c>
      <c r="C34" s="1205"/>
      <c r="D34" s="3560" t="s">
        <v>1684</v>
      </c>
      <c r="E34" s="3561"/>
      <c r="F34" s="208"/>
      <c r="G34" s="208"/>
      <c r="H34" s="203"/>
      <c r="I34" s="1196"/>
      <c r="J34" s="1196"/>
      <c r="K34" s="1196"/>
      <c r="L34" s="1197"/>
      <c r="M34" s="1197"/>
      <c r="O34" s="3544" t="s">
        <v>5106</v>
      </c>
      <c r="P34" s="3544"/>
      <c r="Q34" s="3544"/>
      <c r="R34" s="3544"/>
      <c r="S34" s="3544"/>
      <c r="AA34" s="2502">
        <v>34</v>
      </c>
    </row>
    <row r="35" spans="1:27" s="6" customFormat="1" ht="12" customHeight="1">
      <c r="B35" s="1206" t="s">
        <v>439</v>
      </c>
      <c r="C35" s="1207"/>
      <c r="D35" s="1206" t="s">
        <v>1489</v>
      </c>
      <c r="E35" s="204"/>
      <c r="F35" s="208"/>
      <c r="G35" s="208"/>
      <c r="H35" s="785"/>
      <c r="I35" s="1196"/>
      <c r="J35" s="1196"/>
      <c r="K35" s="1196"/>
      <c r="L35" s="1197"/>
      <c r="M35" s="1197"/>
      <c r="O35" s="3544"/>
      <c r="P35" s="3544"/>
      <c r="Q35" s="3544"/>
      <c r="R35" s="3544"/>
      <c r="S35" s="3544"/>
      <c r="AA35" s="2502">
        <v>35</v>
      </c>
    </row>
    <row r="36" spans="1:27" s="6" customFormat="1" ht="12" customHeight="1">
      <c r="B36" s="1208" t="s">
        <v>3187</v>
      </c>
      <c r="C36" s="1203"/>
      <c r="D36" s="1202" t="s">
        <v>1489</v>
      </c>
      <c r="E36" s="784"/>
      <c r="F36" s="208"/>
      <c r="G36" s="208"/>
      <c r="H36" s="786"/>
      <c r="I36" s="1196"/>
      <c r="J36" s="1196"/>
      <c r="K36" s="1196"/>
      <c r="L36" s="1197"/>
      <c r="M36" s="1197"/>
      <c r="O36" s="3544"/>
      <c r="P36" s="3544"/>
      <c r="Q36" s="3544"/>
      <c r="R36" s="3544"/>
      <c r="S36" s="3544"/>
      <c r="AA36" s="2502">
        <v>36</v>
      </c>
    </row>
    <row r="37" spans="1:27" s="6" customFormat="1" ht="12" customHeight="1">
      <c r="B37" s="1208" t="s">
        <v>3188</v>
      </c>
      <c r="C37" s="1203"/>
      <c r="D37" s="1202" t="s">
        <v>1489</v>
      </c>
      <c r="E37" s="784"/>
      <c r="F37" s="208"/>
      <c r="G37" s="208"/>
      <c r="H37" s="786"/>
      <c r="I37" s="1196"/>
      <c r="J37" s="1196"/>
      <c r="K37" s="1196"/>
      <c r="L37" s="1197"/>
      <c r="M37" s="1197"/>
      <c r="O37" s="3544"/>
      <c r="P37" s="3544"/>
      <c r="Q37" s="3544"/>
      <c r="R37" s="3544"/>
      <c r="S37" s="3544"/>
      <c r="AA37" s="2502">
        <v>37</v>
      </c>
    </row>
    <row r="38" spans="1:27" s="6" customFormat="1" ht="12" customHeight="1">
      <c r="B38" s="1209" t="s">
        <v>3189</v>
      </c>
      <c r="C38" s="1205"/>
      <c r="D38" s="1204" t="s">
        <v>1489</v>
      </c>
      <c r="E38" s="784"/>
      <c r="F38" s="208"/>
      <c r="G38" s="208"/>
      <c r="H38" s="203"/>
      <c r="I38" s="1196"/>
      <c r="J38" s="1196"/>
      <c r="K38" s="1196"/>
      <c r="L38" s="1197"/>
      <c r="M38" s="1197"/>
      <c r="O38" s="3544"/>
      <c r="P38" s="3544"/>
      <c r="Q38" s="3544"/>
      <c r="R38" s="3544"/>
      <c r="S38" s="3544"/>
      <c r="AA38" s="2502">
        <v>38</v>
      </c>
    </row>
    <row r="39" spans="1:27" s="6" customFormat="1" ht="12" customHeight="1">
      <c r="B39" s="1206" t="s">
        <v>1290</v>
      </c>
      <c r="C39" s="1207"/>
      <c r="D39" s="1212" t="s">
        <v>2993</v>
      </c>
      <c r="E39" s="1194" t="s">
        <v>194</v>
      </c>
      <c r="F39" s="208"/>
      <c r="G39" s="208"/>
      <c r="H39" s="785"/>
      <c r="I39" s="1196"/>
      <c r="J39" s="1196"/>
      <c r="K39" s="1196"/>
      <c r="L39" s="1197"/>
      <c r="M39" s="1197"/>
      <c r="O39" s="3544"/>
      <c r="P39" s="3544"/>
      <c r="Q39" s="3544"/>
      <c r="R39" s="3544"/>
      <c r="S39" s="3544"/>
      <c r="AA39" s="2502">
        <v>39</v>
      </c>
    </row>
    <row r="40" spans="1:27" s="6" customFormat="1" ht="12" customHeight="1">
      <c r="B40" s="1210" t="s">
        <v>1710</v>
      </c>
      <c r="C40" s="1211"/>
      <c r="D40" s="205"/>
      <c r="E40" s="187"/>
      <c r="F40" s="208"/>
      <c r="G40" s="208"/>
      <c r="H40" s="203"/>
      <c r="I40" s="1196"/>
      <c r="J40" s="1196"/>
      <c r="K40" s="1196"/>
      <c r="L40" s="1197"/>
      <c r="M40" s="1197"/>
      <c r="O40" s="3544"/>
      <c r="P40" s="3544"/>
      <c r="Q40" s="3544"/>
      <c r="R40" s="3544"/>
      <c r="S40" s="3544"/>
      <c r="AA40" s="2502">
        <v>40</v>
      </c>
    </row>
    <row r="41" spans="1:27">
      <c r="B41" s="2485" t="s">
        <v>5104</v>
      </c>
      <c r="C41" s="201"/>
      <c r="D41" s="201"/>
      <c r="E41" s="201"/>
      <c r="O41" s="3544"/>
      <c r="P41" s="3544"/>
      <c r="Q41" s="3544"/>
      <c r="R41" s="3544"/>
      <c r="S41" s="3544"/>
      <c r="AA41" s="2502">
        <v>41</v>
      </c>
    </row>
    <row r="42" spans="1:27" s="6" customFormat="1" ht="12" customHeight="1">
      <c r="B42" s="2482" t="s">
        <v>5102</v>
      </c>
      <c r="C42" s="1203"/>
      <c r="D42" s="1202" t="s">
        <v>145</v>
      </c>
      <c r="E42" s="204"/>
      <c r="F42" s="208"/>
      <c r="G42" s="208"/>
      <c r="H42" s="785"/>
      <c r="I42" s="1196"/>
      <c r="J42" s="1196"/>
      <c r="K42" s="1196"/>
      <c r="L42" s="1197"/>
      <c r="M42" s="1197"/>
      <c r="O42" s="3544"/>
      <c r="P42" s="3544"/>
      <c r="Q42" s="3544"/>
      <c r="R42" s="3544"/>
      <c r="S42" s="3544"/>
      <c r="AA42" s="2502">
        <v>42</v>
      </c>
    </row>
    <row r="43" spans="1:27" s="6" customFormat="1" ht="12" customHeight="1">
      <c r="B43" s="2483" t="s">
        <v>5103</v>
      </c>
      <c r="C43" s="1205"/>
      <c r="D43" s="1204" t="s">
        <v>1489</v>
      </c>
      <c r="E43" s="784"/>
      <c r="F43" s="208"/>
      <c r="G43" s="208"/>
      <c r="H43" s="203"/>
      <c r="I43" s="1196"/>
      <c r="J43" s="1196"/>
      <c r="K43" s="1196"/>
      <c r="L43" s="1197"/>
      <c r="M43" s="1197"/>
      <c r="O43" s="3544"/>
      <c r="P43" s="3544"/>
      <c r="Q43" s="3544"/>
      <c r="R43" s="3544"/>
      <c r="S43" s="3544"/>
      <c r="AA43" s="2502">
        <v>43</v>
      </c>
    </row>
    <row r="44" spans="1:27" s="6" customFormat="1" ht="12" customHeight="1">
      <c r="B44" s="2488" t="s">
        <v>689</v>
      </c>
      <c r="C44" s="3563"/>
      <c r="D44" s="3564"/>
      <c r="E44" s="3565"/>
      <c r="F44" s="209"/>
      <c r="G44" s="209"/>
      <c r="H44" s="788"/>
      <c r="I44" s="1198"/>
      <c r="J44" s="1198"/>
      <c r="K44" s="1198"/>
      <c r="L44" s="1199"/>
      <c r="M44" s="1199"/>
      <c r="O44" s="3544"/>
      <c r="P44" s="3544"/>
      <c r="Q44" s="3544"/>
      <c r="R44" s="3544"/>
      <c r="S44" s="3544"/>
      <c r="AA44" s="2502">
        <v>44</v>
      </c>
    </row>
    <row r="45" spans="1:27" s="6" customFormat="1" ht="13">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2486"/>
      <c r="P45" s="2486"/>
      <c r="Q45" s="2486"/>
      <c r="AA45" s="2502">
        <v>45</v>
      </c>
    </row>
    <row r="46" spans="1:27" ht="6" customHeight="1">
      <c r="A46" s="6"/>
      <c r="AA46" s="2502">
        <v>46</v>
      </c>
    </row>
    <row r="47" spans="1:27" s="6" customFormat="1" ht="13">
      <c r="B47" s="44" t="s">
        <v>2994</v>
      </c>
      <c r="D47"/>
      <c r="E47"/>
      <c r="F47" s="60"/>
      <c r="G47" s="60"/>
      <c r="I47" s="24"/>
      <c r="J47" s="24"/>
      <c r="K47" s="24"/>
      <c r="L47" s="24"/>
      <c r="M47" s="24"/>
      <c r="AA47" s="2502">
        <v>47</v>
      </c>
    </row>
    <row r="48" spans="1:27" s="6" customFormat="1" ht="12" customHeight="1">
      <c r="A48" s="10"/>
      <c r="B48" s="10" t="s">
        <v>529</v>
      </c>
      <c r="M48"/>
      <c r="N48"/>
      <c r="O48"/>
      <c r="P48"/>
      <c r="Q48"/>
      <c r="R48"/>
      <c r="S48"/>
      <c r="AA48" s="2502">
        <v>48</v>
      </c>
    </row>
    <row r="49" spans="1:27" s="6" customFormat="1" ht="24.75" customHeight="1">
      <c r="B49" s="3566" t="s">
        <v>5287</v>
      </c>
      <c r="C49" s="3567"/>
      <c r="D49" s="3567"/>
      <c r="E49" s="3567"/>
      <c r="F49" s="3567"/>
      <c r="G49" s="3567"/>
      <c r="H49" s="3567"/>
      <c r="I49" s="3567"/>
      <c r="J49" s="3567"/>
      <c r="K49" s="3567"/>
      <c r="L49" s="3567"/>
      <c r="M49" s="3568"/>
      <c r="N49"/>
      <c r="O49" s="3028" t="s">
        <v>2445</v>
      </c>
      <c r="P49" s="3028"/>
      <c r="Q49" s="3028"/>
      <c r="R49" s="3028"/>
      <c r="S49" s="3028"/>
      <c r="AA49" s="2502">
        <v>49</v>
      </c>
    </row>
    <row r="50" spans="1:27" s="6" customFormat="1" ht="3" customHeight="1">
      <c r="M50"/>
      <c r="N50"/>
      <c r="O50" s="3028"/>
      <c r="P50" s="3028"/>
      <c r="Q50" s="3028"/>
      <c r="R50" s="3028"/>
      <c r="S50" s="3028"/>
      <c r="AA50" s="2502">
        <v>50</v>
      </c>
    </row>
    <row r="51" spans="1:27" s="6" customFormat="1" ht="12" customHeight="1">
      <c r="A51" s="10"/>
      <c r="B51" s="10" t="s">
        <v>1706</v>
      </c>
      <c r="M51"/>
      <c r="N51"/>
      <c r="O51" s="3028"/>
      <c r="P51" s="3028"/>
      <c r="Q51" s="3028"/>
      <c r="R51" s="3028"/>
      <c r="S51" s="3028"/>
      <c r="AA51" s="2502">
        <v>51</v>
      </c>
    </row>
    <row r="52" spans="1:27" s="6" customFormat="1" ht="24.75" customHeight="1">
      <c r="B52" s="3569"/>
      <c r="C52" s="3570"/>
      <c r="D52" s="3570"/>
      <c r="E52" s="3570"/>
      <c r="F52" s="3570"/>
      <c r="G52" s="3570"/>
      <c r="H52" s="3570"/>
      <c r="I52" s="3570"/>
      <c r="J52" s="3570"/>
      <c r="K52" s="3570"/>
      <c r="L52" s="3570"/>
      <c r="M52" s="3571"/>
      <c r="N52"/>
      <c r="O52" s="3028"/>
      <c r="P52" s="3028"/>
      <c r="Q52" s="3028"/>
      <c r="R52" s="3028"/>
      <c r="S52" s="3028"/>
      <c r="AA52" s="2502">
        <v>52</v>
      </c>
    </row>
    <row r="53" spans="1:27">
      <c r="AA53" s="2502">
        <v>53</v>
      </c>
    </row>
    <row r="54" spans="1:27">
      <c r="AA54" s="2502">
        <v>54</v>
      </c>
    </row>
    <row r="55" spans="1:27">
      <c r="AA55" s="2502">
        <v>55</v>
      </c>
    </row>
    <row r="56" spans="1:27">
      <c r="AA56" s="2502">
        <v>56</v>
      </c>
    </row>
  </sheetData>
  <sheetProtection algorithmName="SHA-512" hashValue="NUcqcMlKFhDZ2A8OVq58Mf6+FvLGa3Es/sCAdIhT/a57k0kaPtZONpTEMxNhpn8n0VpYeRlS/l3nsW8vlY76vg==" saltValue="Z5khqtQwWSye1VBxiT+x1w==" spinCount="100000" sheet="1" objects="1" scenario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Props1.xml><?xml version="1.0" encoding="utf-8"?>
<ds:datastoreItem xmlns:ds="http://schemas.openxmlformats.org/officeDocument/2006/customXml" ds:itemID="{1D1F465A-63E0-428C-BD04-751AA516190E}"/>
</file>

<file path=customXml/itemProps2.xml><?xml version="1.0" encoding="utf-8"?>
<ds:datastoreItem xmlns:ds="http://schemas.openxmlformats.org/officeDocument/2006/customXml" ds:itemID="{E058778D-D85B-4896-8786-AB3F4C15BBC8}"/>
</file>

<file path=customXml/itemProps3.xml><?xml version="1.0" encoding="utf-8"?>
<ds:datastoreItem xmlns:ds="http://schemas.openxmlformats.org/officeDocument/2006/customXml" ds:itemID="{8A5A414D-EDB3-4D94-97FE-260E575317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Amy Fox</cp:lastModifiedBy>
  <cp:lastPrinted>2025-03-21T22:53:43Z</cp:lastPrinted>
  <dcterms:created xsi:type="dcterms:W3CDTF">2005-09-15T20:51:37Z</dcterms:created>
  <dcterms:modified xsi:type="dcterms:W3CDTF">2025-10-03T14:23:11Z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ies>
</file>