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CoreApp\"/>
    </mc:Choice>
  </mc:AlternateContent>
  <xr:revisionPtr revIDLastSave="0" documentId="13_ncr:1_{9324C74E-BC8F-475C-A300-84B97D73EECE}" xr6:coauthVersionLast="47" xr6:coauthVersionMax="47" xr10:uidLastSave="{00000000-0000-0000-0000-000000000000}"/>
  <workbookProtection workbookAlgorithmName="SHA-512" workbookHashValue="wEH08YVCEfZ/HDikB09xpaO3FPNfBzMgFljPdgCKn9OoLblFuVRFfMK46VYe4AFDSDJJaH89bfUAcPaX3OG46g==" workbookSaltValue="/MEpXqaPHpYxYy+zjD3srA==" workbookSpinCount="100000" lockStructure="1"/>
  <bookViews>
    <workbookView xWindow="-110" yWindow="-110" windowWidth="19420" windowHeight="104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3" i="112" l="1"/>
  <c r="J383" i="112"/>
  <c r="K381" i="112"/>
  <c r="J381" i="112"/>
  <c r="D1169" i="121"/>
  <c r="C1169" i="121"/>
  <c r="R722" i="121"/>
  <c r="S722" i="121"/>
  <c r="R723" i="121"/>
  <c r="S723" i="121"/>
  <c r="R724" i="121"/>
  <c r="S724" i="121"/>
  <c r="R725" i="121"/>
  <c r="S725" i="121"/>
  <c r="R726" i="121"/>
  <c r="S726" i="121"/>
  <c r="R727" i="121"/>
  <c r="S727" i="121"/>
  <c r="R728" i="121"/>
  <c r="S728" i="121"/>
  <c r="R729" i="121"/>
  <c r="S729" i="121"/>
  <c r="R730" i="121"/>
  <c r="S730" i="121"/>
  <c r="R731" i="121"/>
  <c r="S731" i="121"/>
  <c r="R732" i="121"/>
  <c r="S732" i="121"/>
  <c r="R733" i="121"/>
  <c r="S733" i="121"/>
  <c r="R734" i="121"/>
  <c r="S734" i="121"/>
  <c r="R735" i="121"/>
  <c r="S735" i="121"/>
  <c r="R736" i="121"/>
  <c r="S736" i="121"/>
  <c r="R737" i="121"/>
  <c r="S737" i="121"/>
  <c r="R738" i="121"/>
  <c r="S738" i="121"/>
  <c r="R739" i="121"/>
  <c r="S739" i="121"/>
  <c r="R740" i="121"/>
  <c r="S740" i="121"/>
  <c r="S721" i="121"/>
  <c r="R721" i="121"/>
  <c r="P384" i="112"/>
  <c r="O384" i="112"/>
  <c r="O368" i="112" s="1"/>
  <c r="P375" i="112"/>
  <c r="P368" i="112" s="1"/>
  <c r="O375" i="112"/>
  <c r="P274" i="112"/>
  <c r="O274" i="112"/>
  <c r="P89" i="112"/>
  <c r="M76" i="112"/>
  <c r="J76" i="112"/>
  <c r="P1250" i="121"/>
  <c r="P1251" i="121"/>
  <c r="P1252" i="121"/>
  <c r="P1253" i="121"/>
  <c r="O225" i="110" l="1"/>
  <c r="F836" i="121" l="1"/>
  <c r="E836" i="121"/>
  <c r="D836" i="121"/>
  <c r="C836" i="121"/>
  <c r="B836" i="121"/>
  <c r="F835" i="121"/>
  <c r="E835" i="121"/>
  <c r="D835" i="121"/>
  <c r="C835" i="121"/>
  <c r="B835" i="121"/>
  <c r="F834" i="121"/>
  <c r="E834" i="121"/>
  <c r="D834" i="121"/>
  <c r="C834" i="121"/>
  <c r="B834" i="121"/>
  <c r="F833" i="121"/>
  <c r="E833" i="121"/>
  <c r="D833" i="121"/>
  <c r="C833" i="121"/>
  <c r="B833" i="121"/>
  <c r="F832" i="121"/>
  <c r="E832" i="121"/>
  <c r="D832" i="121"/>
  <c r="C832" i="121"/>
  <c r="B832" i="121"/>
  <c r="F831" i="121"/>
  <c r="E831" i="121"/>
  <c r="D831" i="121"/>
  <c r="C831" i="121"/>
  <c r="B831" i="121"/>
  <c r="F830" i="121"/>
  <c r="E830" i="121"/>
  <c r="D830" i="121"/>
  <c r="C830" i="121"/>
  <c r="B830" i="121"/>
  <c r="F829" i="121"/>
  <c r="E829" i="121"/>
  <c r="D829" i="121"/>
  <c r="C829" i="121"/>
  <c r="B829" i="121"/>
  <c r="F828" i="121"/>
  <c r="E828" i="121"/>
  <c r="D828" i="121"/>
  <c r="C828" i="121"/>
  <c r="B828" i="121"/>
  <c r="F827" i="121"/>
  <c r="E827" i="121"/>
  <c r="D827" i="121"/>
  <c r="C827" i="121"/>
  <c r="B827" i="121"/>
  <c r="F826" i="121"/>
  <c r="E826" i="121"/>
  <c r="D826" i="121"/>
  <c r="C826" i="121"/>
  <c r="B826" i="121"/>
  <c r="F825" i="121"/>
  <c r="E825" i="121"/>
  <c r="D825" i="121"/>
  <c r="C825" i="121"/>
  <c r="B825" i="121"/>
  <c r="F824" i="121"/>
  <c r="E824" i="121"/>
  <c r="D824" i="121"/>
  <c r="C824" i="121"/>
  <c r="B824" i="121"/>
  <c r="F823" i="121"/>
  <c r="E823" i="121"/>
  <c r="D823" i="121"/>
  <c r="C823" i="121"/>
  <c r="B823" i="121"/>
  <c r="F822" i="121"/>
  <c r="E822" i="121"/>
  <c r="D822" i="121"/>
  <c r="C822" i="121"/>
  <c r="B822" i="121"/>
  <c r="F821" i="121"/>
  <c r="E821" i="121"/>
  <c r="D821" i="121"/>
  <c r="C821" i="121"/>
  <c r="B821" i="121"/>
  <c r="F820" i="121"/>
  <c r="E820" i="121"/>
  <c r="D820" i="121"/>
  <c r="C820" i="121"/>
  <c r="B820" i="121"/>
  <c r="F819" i="121"/>
  <c r="E819" i="121"/>
  <c r="D819" i="121"/>
  <c r="C819" i="121"/>
  <c r="B819" i="121"/>
  <c r="F818" i="121"/>
  <c r="E818" i="121"/>
  <c r="D818" i="121"/>
  <c r="C818" i="121"/>
  <c r="B818" i="121"/>
  <c r="F817" i="121"/>
  <c r="E817" i="121"/>
  <c r="D817" i="121"/>
  <c r="C817" i="121"/>
  <c r="B817" i="121"/>
  <c r="F816" i="121"/>
  <c r="E816" i="121"/>
  <c r="D816" i="121"/>
  <c r="C816" i="121"/>
  <c r="B816" i="121"/>
  <c r="F815" i="121"/>
  <c r="E815" i="121"/>
  <c r="D815" i="121"/>
  <c r="C815" i="121"/>
  <c r="B815" i="121"/>
  <c r="F814" i="121"/>
  <c r="E814" i="121"/>
  <c r="D814" i="121"/>
  <c r="C814" i="121"/>
  <c r="B814" i="121"/>
  <c r="F813" i="121"/>
  <c r="E813" i="121"/>
  <c r="D813" i="121"/>
  <c r="C813" i="121"/>
  <c r="B813" i="121"/>
  <c r="F812" i="121"/>
  <c r="E812" i="121"/>
  <c r="D812" i="121"/>
  <c r="C812" i="121"/>
  <c r="B812" i="121"/>
  <c r="F811" i="121"/>
  <c r="E811" i="121"/>
  <c r="D811" i="121"/>
  <c r="C811" i="121"/>
  <c r="B811" i="121"/>
  <c r="F810" i="121"/>
  <c r="E810" i="121"/>
  <c r="D810" i="121"/>
  <c r="C810" i="121"/>
  <c r="B810" i="121"/>
  <c r="F809" i="121"/>
  <c r="E809" i="121"/>
  <c r="D809" i="121"/>
  <c r="C809" i="121"/>
  <c r="B809" i="121"/>
  <c r="K776" i="121"/>
  <c r="J776" i="121"/>
  <c r="I776" i="121"/>
  <c r="H776" i="121"/>
  <c r="G776" i="121"/>
  <c r="F776" i="121"/>
  <c r="E776" i="121"/>
  <c r="D776" i="121"/>
  <c r="C776" i="121"/>
  <c r="B776"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K772" i="121"/>
  <c r="J772" i="121"/>
  <c r="I772" i="121"/>
  <c r="H772" i="121"/>
  <c r="G772" i="121"/>
  <c r="F772" i="121"/>
  <c r="E772" i="121"/>
  <c r="D772" i="121"/>
  <c r="C772" i="121"/>
  <c r="B772" i="121"/>
  <c r="K802" i="121"/>
  <c r="J802" i="121"/>
  <c r="I802" i="121"/>
  <c r="H802" i="121"/>
  <c r="G802" i="121"/>
  <c r="F802" i="121"/>
  <c r="E802" i="121"/>
  <c r="D802" i="121"/>
  <c r="C802" i="121"/>
  <c r="B802" i="121"/>
  <c r="K801" i="121"/>
  <c r="J801" i="121"/>
  <c r="I801" i="121"/>
  <c r="H801" i="121"/>
  <c r="G801" i="121"/>
  <c r="F801" i="121"/>
  <c r="E801" i="121"/>
  <c r="D801" i="121"/>
  <c r="C801" i="121"/>
  <c r="B801" i="121"/>
  <c r="K800" i="121"/>
  <c r="J800" i="121"/>
  <c r="I800" i="121"/>
  <c r="H800" i="121"/>
  <c r="G800" i="121"/>
  <c r="F800" i="121"/>
  <c r="E800" i="121"/>
  <c r="D800" i="121"/>
  <c r="C800" i="121"/>
  <c r="B800" i="121"/>
  <c r="K799" i="121"/>
  <c r="J799" i="121"/>
  <c r="I799" i="121"/>
  <c r="H799" i="121"/>
  <c r="G799" i="121"/>
  <c r="F799" i="121"/>
  <c r="E799" i="121"/>
  <c r="D799" i="121"/>
  <c r="C799" i="121"/>
  <c r="B799" i="121"/>
  <c r="K798" i="121"/>
  <c r="J798" i="121"/>
  <c r="I798" i="121"/>
  <c r="H798" i="121"/>
  <c r="G798" i="121"/>
  <c r="F798" i="121"/>
  <c r="E798" i="121"/>
  <c r="D798" i="121"/>
  <c r="C798" i="121"/>
  <c r="B798" i="121"/>
  <c r="K797" i="121"/>
  <c r="J797" i="121"/>
  <c r="I797" i="121"/>
  <c r="H797" i="121"/>
  <c r="G797" i="121"/>
  <c r="F797" i="121"/>
  <c r="E797" i="121"/>
  <c r="D797" i="121"/>
  <c r="C797" i="121"/>
  <c r="B797" i="121"/>
  <c r="B796" i="121"/>
  <c r="C796" i="121"/>
  <c r="D796" i="121"/>
  <c r="E796" i="121"/>
  <c r="F796" i="121"/>
  <c r="G796" i="121"/>
  <c r="H796" i="121"/>
  <c r="I796" i="121"/>
  <c r="J796" i="121"/>
  <c r="K796" i="121"/>
  <c r="K795" i="121"/>
  <c r="J795" i="121"/>
  <c r="I795" i="121"/>
  <c r="H795" i="121"/>
  <c r="G795" i="121"/>
  <c r="F795" i="121"/>
  <c r="E795" i="121"/>
  <c r="D795" i="121"/>
  <c r="C795" i="121"/>
  <c r="B795" i="121"/>
  <c r="K794" i="121"/>
  <c r="J794" i="121"/>
  <c r="I794" i="121"/>
  <c r="H794" i="121"/>
  <c r="G794" i="121"/>
  <c r="F794" i="121"/>
  <c r="E794" i="121"/>
  <c r="D794" i="121"/>
  <c r="C794" i="121"/>
  <c r="B794" i="121"/>
  <c r="K793" i="121"/>
  <c r="J793" i="121"/>
  <c r="I793" i="121"/>
  <c r="H793" i="121"/>
  <c r="G793" i="121"/>
  <c r="F793" i="121"/>
  <c r="E793" i="121"/>
  <c r="D793" i="121"/>
  <c r="C793" i="121"/>
  <c r="B793" i="121"/>
  <c r="K792" i="121"/>
  <c r="J792" i="121"/>
  <c r="I792" i="121"/>
  <c r="H792" i="121"/>
  <c r="G792" i="121"/>
  <c r="F792" i="121"/>
  <c r="E792" i="121"/>
  <c r="D792" i="121"/>
  <c r="C792" i="121"/>
  <c r="B792" i="121"/>
  <c r="K791" i="121"/>
  <c r="J791" i="121"/>
  <c r="I791" i="121"/>
  <c r="H791" i="121"/>
  <c r="G791" i="121"/>
  <c r="F791" i="121"/>
  <c r="E791" i="121"/>
  <c r="D791" i="121"/>
  <c r="C791" i="121"/>
  <c r="B791" i="121"/>
  <c r="K790" i="121"/>
  <c r="J790" i="121"/>
  <c r="I790" i="121"/>
  <c r="H790" i="121"/>
  <c r="G790" i="121"/>
  <c r="F790" i="121"/>
  <c r="E790" i="121"/>
  <c r="D790" i="121"/>
  <c r="C790" i="121"/>
  <c r="B790" i="121"/>
  <c r="K789" i="121"/>
  <c r="J789" i="121"/>
  <c r="I789" i="121"/>
  <c r="H789" i="121"/>
  <c r="G789" i="121"/>
  <c r="F789" i="121"/>
  <c r="E789" i="121"/>
  <c r="D789" i="121"/>
  <c r="C789" i="121"/>
  <c r="B789" i="121"/>
  <c r="K788" i="121"/>
  <c r="J788" i="121"/>
  <c r="I788" i="121"/>
  <c r="H788" i="121"/>
  <c r="G788" i="121"/>
  <c r="F788" i="121"/>
  <c r="E788" i="121"/>
  <c r="D788" i="121"/>
  <c r="C788" i="121"/>
  <c r="B788" i="121"/>
  <c r="K787" i="121"/>
  <c r="J787" i="121"/>
  <c r="I787" i="121"/>
  <c r="H787" i="121"/>
  <c r="G787" i="121"/>
  <c r="F787" i="121"/>
  <c r="E787" i="121"/>
  <c r="D787" i="121"/>
  <c r="C787" i="121"/>
  <c r="B787" i="121"/>
  <c r="K786" i="121"/>
  <c r="J786" i="121"/>
  <c r="I786" i="121"/>
  <c r="H786" i="121"/>
  <c r="G786" i="121"/>
  <c r="F786" i="121"/>
  <c r="E786" i="121"/>
  <c r="D786" i="121"/>
  <c r="C786" i="121"/>
  <c r="B786" i="121"/>
  <c r="K785" i="121"/>
  <c r="J785" i="121"/>
  <c r="I785" i="121"/>
  <c r="H785" i="121"/>
  <c r="G785" i="121"/>
  <c r="F785" i="121"/>
  <c r="E785" i="121"/>
  <c r="D785" i="121"/>
  <c r="C785" i="121"/>
  <c r="B785" i="121"/>
  <c r="K784" i="121"/>
  <c r="J784" i="121"/>
  <c r="I784" i="121"/>
  <c r="H784" i="121"/>
  <c r="G784" i="121"/>
  <c r="F784" i="121"/>
  <c r="E784" i="121"/>
  <c r="D784" i="121"/>
  <c r="C784" i="121"/>
  <c r="B784" i="121"/>
  <c r="K783" i="121"/>
  <c r="J783" i="121"/>
  <c r="I783" i="121"/>
  <c r="H783" i="121"/>
  <c r="G783" i="121"/>
  <c r="F783" i="121"/>
  <c r="E783" i="121"/>
  <c r="D783" i="121"/>
  <c r="C783" i="121"/>
  <c r="B783" i="121"/>
  <c r="K782" i="121"/>
  <c r="J782" i="121"/>
  <c r="I782" i="121"/>
  <c r="H782" i="121"/>
  <c r="G782" i="121"/>
  <c r="F782" i="121"/>
  <c r="E782" i="121"/>
  <c r="D782" i="121"/>
  <c r="C782" i="121"/>
  <c r="B782" i="121"/>
  <c r="K781" i="121"/>
  <c r="J781" i="121"/>
  <c r="I781" i="121"/>
  <c r="H781" i="121"/>
  <c r="G781" i="121"/>
  <c r="F781" i="121"/>
  <c r="E781" i="121"/>
  <c r="D781" i="121"/>
  <c r="C781" i="121"/>
  <c r="B781" i="121"/>
  <c r="K780" i="121"/>
  <c r="J780" i="121"/>
  <c r="I780" i="121"/>
  <c r="H780" i="121"/>
  <c r="G780" i="121"/>
  <c r="F780" i="121"/>
  <c r="E780" i="121"/>
  <c r="D780" i="121"/>
  <c r="C780" i="121"/>
  <c r="B780" i="121"/>
  <c r="K779" i="121"/>
  <c r="J779" i="121"/>
  <c r="I779" i="121"/>
  <c r="H779" i="121"/>
  <c r="G779" i="121"/>
  <c r="F779" i="121"/>
  <c r="E779" i="121"/>
  <c r="D779" i="121"/>
  <c r="C779" i="121"/>
  <c r="B779" i="121"/>
  <c r="K771" i="121"/>
  <c r="J771" i="121"/>
  <c r="I771" i="121"/>
  <c r="H771" i="121"/>
  <c r="G771" i="121"/>
  <c r="F771" i="121"/>
  <c r="E771" i="121"/>
  <c r="D771" i="121"/>
  <c r="C771" i="121"/>
  <c r="B771" i="121"/>
  <c r="K770" i="121"/>
  <c r="J770" i="121"/>
  <c r="I770" i="121"/>
  <c r="H770" i="121"/>
  <c r="G770" i="121"/>
  <c r="F770" i="121"/>
  <c r="E770" i="121"/>
  <c r="D770" i="121"/>
  <c r="C770" i="121"/>
  <c r="B770" i="121"/>
  <c r="K769" i="121"/>
  <c r="J769" i="121"/>
  <c r="I769" i="121"/>
  <c r="H769" i="121"/>
  <c r="G769" i="121"/>
  <c r="F769" i="121"/>
  <c r="E769" i="121"/>
  <c r="D769" i="121"/>
  <c r="C769" i="121"/>
  <c r="B769" i="121"/>
  <c r="K768" i="121"/>
  <c r="J768" i="121"/>
  <c r="I768" i="121"/>
  <c r="H768" i="121"/>
  <c r="G768" i="121"/>
  <c r="F768" i="121"/>
  <c r="E768" i="121"/>
  <c r="D768" i="121"/>
  <c r="C768" i="121"/>
  <c r="B768" i="121"/>
  <c r="K767" i="121"/>
  <c r="J767" i="121"/>
  <c r="I767" i="121"/>
  <c r="H767" i="121"/>
  <c r="G767" i="121"/>
  <c r="F767" i="121"/>
  <c r="E767" i="121"/>
  <c r="D767" i="121"/>
  <c r="C767" i="121"/>
  <c r="B767" i="121"/>
  <c r="K766" i="121"/>
  <c r="J766" i="121"/>
  <c r="I766" i="121"/>
  <c r="H766" i="121"/>
  <c r="G766" i="121"/>
  <c r="F766" i="121"/>
  <c r="E766" i="121"/>
  <c r="D766" i="121"/>
  <c r="C766" i="121"/>
  <c r="B766" i="121"/>
  <c r="K765" i="121"/>
  <c r="J765" i="121"/>
  <c r="I765" i="121"/>
  <c r="H765" i="121"/>
  <c r="G765" i="121"/>
  <c r="F765" i="121"/>
  <c r="E765" i="121"/>
  <c r="D765" i="121"/>
  <c r="C765" i="121"/>
  <c r="B765" i="121"/>
  <c r="K764" i="121"/>
  <c r="J764" i="121"/>
  <c r="I764" i="121"/>
  <c r="H764" i="121"/>
  <c r="G764" i="121"/>
  <c r="F764" i="121"/>
  <c r="E764" i="121"/>
  <c r="D764" i="121"/>
  <c r="C764" i="121"/>
  <c r="B764" i="121"/>
  <c r="K763" i="121"/>
  <c r="J763" i="121"/>
  <c r="I763" i="121"/>
  <c r="H763" i="121"/>
  <c r="G763" i="121"/>
  <c r="F763" i="121"/>
  <c r="E763" i="121"/>
  <c r="D763" i="121"/>
  <c r="C763" i="121"/>
  <c r="B763" i="121"/>
  <c r="K762" i="121"/>
  <c r="J762" i="121"/>
  <c r="I762" i="121"/>
  <c r="H762" i="121"/>
  <c r="G762" i="121"/>
  <c r="F762" i="121"/>
  <c r="E762" i="121"/>
  <c r="D762" i="121"/>
  <c r="C762" i="121"/>
  <c r="B762" i="121"/>
  <c r="K761" i="121"/>
  <c r="J761" i="121"/>
  <c r="I761" i="121"/>
  <c r="H761" i="121"/>
  <c r="G761" i="121"/>
  <c r="F761" i="121"/>
  <c r="E761" i="121"/>
  <c r="D761" i="121"/>
  <c r="C761" i="121"/>
  <c r="B761" i="121"/>
  <c r="K760" i="121"/>
  <c r="J760" i="121"/>
  <c r="I760" i="121"/>
  <c r="H760" i="121"/>
  <c r="G760" i="121"/>
  <c r="F760" i="121"/>
  <c r="E760" i="121"/>
  <c r="D760" i="121"/>
  <c r="C760" i="121"/>
  <c r="B760" i="121"/>
  <c r="K759" i="121"/>
  <c r="J759" i="121"/>
  <c r="I759" i="121"/>
  <c r="H759" i="121"/>
  <c r="G759" i="121"/>
  <c r="F759" i="121"/>
  <c r="E759" i="121"/>
  <c r="D759" i="121"/>
  <c r="C759" i="121"/>
  <c r="B759" i="121"/>
  <c r="K758" i="121"/>
  <c r="J758" i="121"/>
  <c r="I758" i="121"/>
  <c r="H758" i="121"/>
  <c r="G758" i="121"/>
  <c r="F758" i="121"/>
  <c r="E758" i="121"/>
  <c r="D758" i="121"/>
  <c r="C758" i="121"/>
  <c r="B758" i="121"/>
  <c r="K757" i="121"/>
  <c r="J757" i="121"/>
  <c r="I757" i="121"/>
  <c r="H757" i="121"/>
  <c r="G757" i="121"/>
  <c r="F757" i="121"/>
  <c r="E757" i="121"/>
  <c r="D757" i="121"/>
  <c r="C757" i="121"/>
  <c r="B757" i="121"/>
  <c r="K756" i="121"/>
  <c r="J756" i="121"/>
  <c r="I756" i="121"/>
  <c r="H756" i="121"/>
  <c r="G756" i="121"/>
  <c r="F756" i="121"/>
  <c r="E756" i="121"/>
  <c r="D756" i="121"/>
  <c r="C756" i="121"/>
  <c r="B756" i="121"/>
  <c r="K755" i="121"/>
  <c r="J755" i="121"/>
  <c r="I755" i="121"/>
  <c r="H755" i="121"/>
  <c r="G755" i="121"/>
  <c r="F755" i="121"/>
  <c r="E755" i="121"/>
  <c r="D755" i="121"/>
  <c r="C755" i="121"/>
  <c r="B755" i="121"/>
  <c r="K754" i="121"/>
  <c r="J754" i="121"/>
  <c r="I754" i="121"/>
  <c r="H754" i="121"/>
  <c r="G754" i="121"/>
  <c r="F754" i="121"/>
  <c r="E754" i="121"/>
  <c r="D754" i="121"/>
  <c r="C754" i="121"/>
  <c r="B754" i="121"/>
  <c r="K753" i="121"/>
  <c r="J753" i="121"/>
  <c r="I753" i="121"/>
  <c r="H753" i="121"/>
  <c r="G753" i="121"/>
  <c r="F753" i="121"/>
  <c r="E753" i="121"/>
  <c r="D753" i="121"/>
  <c r="C753" i="121"/>
  <c r="B753" i="121"/>
  <c r="K752" i="121"/>
  <c r="J752" i="121"/>
  <c r="I752" i="121"/>
  <c r="H752" i="121"/>
  <c r="G752" i="121"/>
  <c r="F752" i="121"/>
  <c r="E752" i="121"/>
  <c r="D752" i="121"/>
  <c r="C752" i="121"/>
  <c r="B752" i="121"/>
  <c r="K751" i="121"/>
  <c r="J751" i="121"/>
  <c r="I751" i="121"/>
  <c r="H751" i="121"/>
  <c r="G751" i="121"/>
  <c r="F751" i="121"/>
  <c r="E751" i="121"/>
  <c r="D751" i="121"/>
  <c r="C751" i="121"/>
  <c r="B751" i="121"/>
  <c r="K750" i="121"/>
  <c r="J750" i="121"/>
  <c r="I750" i="121"/>
  <c r="H750" i="121"/>
  <c r="G750" i="121"/>
  <c r="F750" i="121"/>
  <c r="E750" i="121"/>
  <c r="D750" i="121"/>
  <c r="C750" i="121"/>
  <c r="B750" i="121"/>
  <c r="K749" i="121"/>
  <c r="J749" i="121"/>
  <c r="I749" i="121"/>
  <c r="H749" i="121"/>
  <c r="G749" i="121"/>
  <c r="F749" i="121"/>
  <c r="E749" i="121"/>
  <c r="D749" i="121"/>
  <c r="C749" i="121"/>
  <c r="B749" i="121"/>
  <c r="K748" i="121"/>
  <c r="J748" i="121"/>
  <c r="I748" i="121"/>
  <c r="H748" i="121"/>
  <c r="G748" i="121"/>
  <c r="F748" i="121"/>
  <c r="E748" i="121"/>
  <c r="D748" i="121"/>
  <c r="C748" i="121"/>
  <c r="B748" i="121"/>
  <c r="K747" i="121"/>
  <c r="J747" i="121"/>
  <c r="I747" i="121"/>
  <c r="H747" i="121"/>
  <c r="G747" i="121"/>
  <c r="F747" i="121"/>
  <c r="E747" i="121"/>
  <c r="D747" i="121"/>
  <c r="C747" i="121"/>
  <c r="B747" i="121"/>
  <c r="B803" i="121"/>
  <c r="C803" i="121"/>
  <c r="D803" i="121"/>
  <c r="E803" i="121"/>
  <c r="F803" i="121"/>
  <c r="G803" i="121"/>
  <c r="H803" i="121"/>
  <c r="I803" i="121"/>
  <c r="J803" i="121"/>
  <c r="K803" i="121"/>
  <c r="B804" i="121"/>
  <c r="C804" i="121"/>
  <c r="D804" i="121"/>
  <c r="E804" i="121"/>
  <c r="F804" i="121"/>
  <c r="G804" i="121"/>
  <c r="H804" i="121"/>
  <c r="I804" i="121"/>
  <c r="J804" i="121"/>
  <c r="K804" i="121"/>
  <c r="B805" i="121"/>
  <c r="C805" i="121"/>
  <c r="D805" i="121"/>
  <c r="E805" i="121"/>
  <c r="F805" i="121"/>
  <c r="G805" i="121"/>
  <c r="H805" i="121"/>
  <c r="I805" i="121"/>
  <c r="J805" i="121"/>
  <c r="K805" i="121"/>
  <c r="B806" i="121"/>
  <c r="C806" i="121"/>
  <c r="D806" i="121"/>
  <c r="E806" i="121"/>
  <c r="F806" i="121"/>
  <c r="G806" i="121"/>
  <c r="H806" i="121"/>
  <c r="I806" i="121"/>
  <c r="J806" i="121"/>
  <c r="K806" i="121"/>
  <c r="B808" i="121"/>
  <c r="C808" i="121"/>
  <c r="D808" i="121" s="1"/>
  <c r="E808" i="121" s="1"/>
  <c r="F808" i="121" s="1"/>
  <c r="C734" i="121"/>
  <c r="D734" i="121"/>
  <c r="E734" i="121"/>
  <c r="F734" i="121"/>
  <c r="G734" i="121"/>
  <c r="H734" i="121"/>
  <c r="I734" i="121"/>
  <c r="J734" i="121"/>
  <c r="K734" i="121"/>
  <c r="C735" i="121"/>
  <c r="D735" i="121"/>
  <c r="E735" i="121"/>
  <c r="F735" i="121"/>
  <c r="G735" i="121"/>
  <c r="H735" i="121"/>
  <c r="I735" i="121"/>
  <c r="J735" i="121"/>
  <c r="K735" i="121"/>
  <c r="C736" i="121"/>
  <c r="D736" i="121"/>
  <c r="E736" i="121"/>
  <c r="F736" i="121"/>
  <c r="G736" i="121"/>
  <c r="H736" i="121"/>
  <c r="I736" i="121"/>
  <c r="J736" i="121"/>
  <c r="K736" i="121"/>
  <c r="C737" i="121"/>
  <c r="D737" i="121"/>
  <c r="E737" i="121"/>
  <c r="F737" i="121"/>
  <c r="G737" i="121"/>
  <c r="H737" i="121"/>
  <c r="I737" i="121"/>
  <c r="J737" i="121"/>
  <c r="K737" i="121"/>
  <c r="C738" i="121"/>
  <c r="D738" i="121"/>
  <c r="E738" i="121"/>
  <c r="F738" i="121"/>
  <c r="G738" i="121"/>
  <c r="H738" i="121"/>
  <c r="I738" i="121"/>
  <c r="J738" i="121"/>
  <c r="K738" i="121"/>
  <c r="C739" i="121"/>
  <c r="D739" i="121"/>
  <c r="E739" i="121"/>
  <c r="F739" i="121"/>
  <c r="G739" i="121"/>
  <c r="H739" i="121"/>
  <c r="I739" i="121"/>
  <c r="J739" i="121"/>
  <c r="K739" i="121"/>
  <c r="B735" i="121"/>
  <c r="B736" i="121"/>
  <c r="B737" i="121"/>
  <c r="B738" i="121"/>
  <c r="B739" i="121"/>
  <c r="B734" i="121"/>
  <c r="C740" i="121"/>
  <c r="D740" i="121"/>
  <c r="E740" i="121"/>
  <c r="F740" i="121"/>
  <c r="G740" i="121"/>
  <c r="H740" i="121"/>
  <c r="I740" i="121"/>
  <c r="J740" i="121"/>
  <c r="K740" i="121"/>
  <c r="C741" i="121"/>
  <c r="D741" i="121"/>
  <c r="E741" i="121"/>
  <c r="F741" i="121"/>
  <c r="G741" i="121"/>
  <c r="H741" i="121"/>
  <c r="I741" i="121"/>
  <c r="J741" i="121"/>
  <c r="K741" i="121"/>
  <c r="C742" i="121"/>
  <c r="D742" i="121"/>
  <c r="E742" i="121"/>
  <c r="F742" i="121"/>
  <c r="G742" i="121"/>
  <c r="H742" i="121"/>
  <c r="I742" i="121"/>
  <c r="J742" i="121"/>
  <c r="K742" i="121"/>
  <c r="C743" i="121"/>
  <c r="D743" i="121"/>
  <c r="E743" i="121"/>
  <c r="F743" i="121"/>
  <c r="G743" i="121"/>
  <c r="H743" i="121"/>
  <c r="I743" i="121"/>
  <c r="J743" i="121"/>
  <c r="K743" i="121"/>
  <c r="C744" i="121"/>
  <c r="D744" i="121"/>
  <c r="E744" i="121"/>
  <c r="F744" i="121"/>
  <c r="G744" i="121"/>
  <c r="H744" i="121"/>
  <c r="I744" i="121"/>
  <c r="J744" i="121"/>
  <c r="K744" i="121"/>
  <c r="B741" i="121"/>
  <c r="B742" i="121"/>
  <c r="B743" i="121"/>
  <c r="B744" i="121"/>
  <c r="B740" i="121"/>
  <c r="C715" i="121"/>
  <c r="D715" i="121"/>
  <c r="E715" i="121"/>
  <c r="F715" i="121"/>
  <c r="G715" i="121"/>
  <c r="H715" i="121"/>
  <c r="I715" i="121"/>
  <c r="J715" i="121"/>
  <c r="K715" i="121"/>
  <c r="C716" i="121"/>
  <c r="D716" i="121"/>
  <c r="E716" i="121"/>
  <c r="F716" i="121"/>
  <c r="G716" i="121"/>
  <c r="H716" i="121"/>
  <c r="I716" i="121"/>
  <c r="J716" i="121"/>
  <c r="K716" i="121"/>
  <c r="C717" i="121"/>
  <c r="D717" i="121"/>
  <c r="E717" i="121"/>
  <c r="F717" i="121"/>
  <c r="G717" i="121"/>
  <c r="H717" i="121"/>
  <c r="I717" i="121"/>
  <c r="J717" i="121"/>
  <c r="K717" i="121"/>
  <c r="C718" i="121"/>
  <c r="D718" i="121"/>
  <c r="E718" i="121"/>
  <c r="F718" i="121"/>
  <c r="G718" i="121"/>
  <c r="H718" i="121"/>
  <c r="I718" i="121"/>
  <c r="J718" i="121"/>
  <c r="K718" i="121"/>
  <c r="C719" i="121"/>
  <c r="D719" i="121"/>
  <c r="E719" i="121"/>
  <c r="F719" i="121"/>
  <c r="G719" i="121"/>
  <c r="H719" i="121"/>
  <c r="I719" i="121"/>
  <c r="J719" i="121"/>
  <c r="K719" i="121"/>
  <c r="C720" i="121"/>
  <c r="D720" i="121"/>
  <c r="E720" i="121"/>
  <c r="F720" i="121"/>
  <c r="G720" i="121"/>
  <c r="H720" i="121"/>
  <c r="I720" i="121"/>
  <c r="J720" i="121"/>
  <c r="K720" i="121"/>
  <c r="C721" i="121"/>
  <c r="D721" i="121"/>
  <c r="E721" i="121"/>
  <c r="F721" i="121"/>
  <c r="G721" i="121"/>
  <c r="H721" i="121"/>
  <c r="I721" i="121"/>
  <c r="J721" i="121"/>
  <c r="K721" i="121"/>
  <c r="C722" i="121"/>
  <c r="D722" i="121"/>
  <c r="E722" i="121"/>
  <c r="F722" i="121"/>
  <c r="G722" i="121"/>
  <c r="H722" i="121"/>
  <c r="I722" i="121"/>
  <c r="J722" i="121"/>
  <c r="K722" i="121"/>
  <c r="C723" i="121"/>
  <c r="D723" i="121"/>
  <c r="E723" i="121"/>
  <c r="F723" i="121"/>
  <c r="G723" i="121"/>
  <c r="H723" i="121"/>
  <c r="I723" i="121"/>
  <c r="J723" i="121"/>
  <c r="K723" i="121"/>
  <c r="C724" i="121"/>
  <c r="D724" i="121"/>
  <c r="E724" i="121"/>
  <c r="F724" i="121"/>
  <c r="G724" i="121"/>
  <c r="H724" i="121"/>
  <c r="I724" i="121"/>
  <c r="J724" i="121"/>
  <c r="K724" i="121"/>
  <c r="C725" i="121"/>
  <c r="D725" i="121"/>
  <c r="E725" i="121"/>
  <c r="F725" i="121"/>
  <c r="G725" i="121"/>
  <c r="H725" i="121"/>
  <c r="I725" i="121"/>
  <c r="J725" i="121"/>
  <c r="K725" i="121"/>
  <c r="C726" i="121"/>
  <c r="D726" i="121"/>
  <c r="E726" i="121"/>
  <c r="F726" i="121"/>
  <c r="G726" i="121"/>
  <c r="H726" i="121"/>
  <c r="I726" i="121"/>
  <c r="J726" i="121"/>
  <c r="K726" i="121"/>
  <c r="C727" i="121"/>
  <c r="D727" i="121"/>
  <c r="E727" i="121"/>
  <c r="F727" i="121"/>
  <c r="G727" i="121"/>
  <c r="H727" i="121"/>
  <c r="I727" i="121"/>
  <c r="J727" i="121"/>
  <c r="K727" i="121"/>
  <c r="C728" i="121"/>
  <c r="D728" i="121"/>
  <c r="E728" i="121"/>
  <c r="F728" i="121"/>
  <c r="G728" i="121"/>
  <c r="H728" i="121"/>
  <c r="I728" i="121"/>
  <c r="J728" i="121"/>
  <c r="K728" i="121"/>
  <c r="C729" i="121"/>
  <c r="D729" i="121"/>
  <c r="E729" i="121"/>
  <c r="F729" i="121"/>
  <c r="G729" i="121"/>
  <c r="H729" i="121"/>
  <c r="I729" i="121"/>
  <c r="J729" i="121"/>
  <c r="K729" i="121"/>
  <c r="C730" i="121"/>
  <c r="D730" i="121"/>
  <c r="E730" i="121"/>
  <c r="F730" i="121"/>
  <c r="G730" i="121"/>
  <c r="H730" i="121"/>
  <c r="I730" i="121"/>
  <c r="J730" i="121"/>
  <c r="K730" i="121"/>
  <c r="C731" i="121"/>
  <c r="D731" i="121"/>
  <c r="E731" i="121"/>
  <c r="F731" i="121"/>
  <c r="G731" i="121"/>
  <c r="H731" i="121"/>
  <c r="I731" i="121"/>
  <c r="J731" i="121"/>
  <c r="K731" i="121"/>
  <c r="C732" i="121"/>
  <c r="D732" i="121"/>
  <c r="E732" i="121"/>
  <c r="F732" i="121"/>
  <c r="G732" i="121"/>
  <c r="H732" i="121"/>
  <c r="I732" i="121"/>
  <c r="J732" i="121"/>
  <c r="K732" i="121"/>
  <c r="C733" i="121"/>
  <c r="D733" i="121"/>
  <c r="E733" i="121"/>
  <c r="F733" i="121"/>
  <c r="G733" i="121"/>
  <c r="H733" i="121"/>
  <c r="I733" i="121"/>
  <c r="J733" i="121"/>
  <c r="K733" i="121"/>
  <c r="B716" i="121"/>
  <c r="B717" i="121"/>
  <c r="B718" i="121"/>
  <c r="B719" i="121"/>
  <c r="B720" i="121"/>
  <c r="B721" i="121"/>
  <c r="B722" i="121"/>
  <c r="B723" i="121"/>
  <c r="B724" i="121"/>
  <c r="B725" i="121"/>
  <c r="B726" i="121"/>
  <c r="B727" i="121"/>
  <c r="B728" i="121"/>
  <c r="B729" i="121"/>
  <c r="B730" i="121"/>
  <c r="B731" i="121"/>
  <c r="B732" i="121"/>
  <c r="B733" i="121"/>
  <c r="B715" i="121"/>
  <c r="L161" i="112"/>
  <c r="K374" i="112" l="1"/>
  <c r="K373" i="112"/>
  <c r="L293" i="112" l="1"/>
  <c r="L1442" i="121" s="1"/>
  <c r="C12" i="112" l="1"/>
  <c r="N232" i="110"/>
  <c r="Q234" i="110"/>
  <c r="P141" i="112" l="1"/>
  <c r="O141" i="112"/>
  <c r="P27" i="112" l="1"/>
  <c r="P181" i="113"/>
  <c r="O1262" i="121"/>
  <c r="O1522" i="121"/>
  <c r="P1024" i="121"/>
  <c r="P1263" i="121"/>
  <c r="O1263" i="121"/>
  <c r="F78" i="89"/>
  <c r="F76" i="89"/>
  <c r="F74" i="89"/>
  <c r="F40" i="89"/>
  <c r="F31" i="89"/>
  <c r="E28" i="89"/>
  <c r="E18" i="89"/>
  <c r="E17" i="89"/>
  <c r="K44" i="87"/>
  <c r="H44" i="87"/>
  <c r="E44" i="87"/>
  <c r="B44" i="87"/>
  <c r="K43" i="87"/>
  <c r="H43" i="87"/>
  <c r="E43" i="87"/>
  <c r="B43" i="87"/>
  <c r="K42" i="87"/>
  <c r="H42" i="87"/>
  <c r="E42" i="87"/>
  <c r="B42" i="87"/>
  <c r="K41" i="87"/>
  <c r="H41" i="87"/>
  <c r="E41" i="87"/>
  <c r="B41" i="87"/>
  <c r="K40" i="87"/>
  <c r="H40" i="87"/>
  <c r="E40" i="87"/>
  <c r="B40" i="87"/>
  <c r="K39" i="87"/>
  <c r="H39" i="87"/>
  <c r="E39" i="87"/>
  <c r="B39" i="87"/>
  <c r="K38" i="87"/>
  <c r="H38" i="87"/>
  <c r="E38" i="87"/>
  <c r="B38" i="87"/>
  <c r="K37" i="87"/>
  <c r="H37" i="87"/>
  <c r="E37" i="87"/>
  <c r="B37" i="87"/>
  <c r="K36" i="87"/>
  <c r="H36" i="87"/>
  <c r="E36" i="87"/>
  <c r="B36" i="87"/>
  <c r="K35" i="87"/>
  <c r="H35" i="87"/>
  <c r="E35" i="87"/>
  <c r="B35" i="87"/>
  <c r="K34" i="87"/>
  <c r="H34" i="87"/>
  <c r="E34" i="87"/>
  <c r="B34" i="87"/>
  <c r="K33" i="87"/>
  <c r="H33" i="87"/>
  <c r="E33" i="87"/>
  <c r="B33" i="87"/>
  <c r="K32" i="87"/>
  <c r="H32" i="87"/>
  <c r="E32" i="87"/>
  <c r="B32" i="87"/>
  <c r="K31" i="87"/>
  <c r="H31" i="87"/>
  <c r="E31" i="87"/>
  <c r="B31" i="87"/>
  <c r="K30" i="87"/>
  <c r="H30" i="87"/>
  <c r="E30" i="87"/>
  <c r="B30" i="87"/>
  <c r="K29" i="87"/>
  <c r="H29" i="87"/>
  <c r="E29" i="87"/>
  <c r="B29" i="87"/>
  <c r="K28" i="87"/>
  <c r="H28" i="87"/>
  <c r="E28" i="87"/>
  <c r="B28" i="87"/>
  <c r="K27" i="87"/>
  <c r="H27" i="87"/>
  <c r="E27" i="87"/>
  <c r="B27" i="87"/>
  <c r="K26" i="87"/>
  <c r="H26" i="87"/>
  <c r="E26" i="87"/>
  <c r="B26" i="87"/>
  <c r="K25" i="87"/>
  <c r="H25" i="87"/>
  <c r="E25" i="87"/>
  <c r="B25" i="87"/>
  <c r="K24" i="87"/>
  <c r="H24" i="87"/>
  <c r="E24" i="87"/>
  <c r="B24" i="87"/>
  <c r="K23" i="87"/>
  <c r="H23" i="87"/>
  <c r="E23" i="87"/>
  <c r="B23" i="87"/>
  <c r="K22" i="87"/>
  <c r="H22" i="87"/>
  <c r="E22" i="87"/>
  <c r="B22" i="87"/>
  <c r="K21" i="87"/>
  <c r="H21" i="87"/>
  <c r="E21" i="87"/>
  <c r="B21" i="87"/>
  <c r="K20" i="87"/>
  <c r="H20" i="87"/>
  <c r="E20" i="87"/>
  <c r="B20" i="87"/>
  <c r="K19" i="87"/>
  <c r="H19" i="87"/>
  <c r="E19" i="87"/>
  <c r="B19" i="87"/>
  <c r="K18" i="87"/>
  <c r="H18" i="87"/>
  <c r="E18" i="87"/>
  <c r="B18" i="87"/>
  <c r="K17" i="87"/>
  <c r="H17" i="87"/>
  <c r="E17" i="87"/>
  <c r="B17" i="87"/>
  <c r="K16" i="87"/>
  <c r="H16" i="87"/>
  <c r="E16" i="87"/>
  <c r="B16" i="87"/>
  <c r="K15" i="87"/>
  <c r="H15" i="87"/>
  <c r="E15" i="87"/>
  <c r="B15" i="87"/>
  <c r="K14" i="87"/>
  <c r="H14" i="87"/>
  <c r="E14" i="87"/>
  <c r="B14" i="87"/>
  <c r="K13" i="87"/>
  <c r="H13" i="87"/>
  <c r="E13" i="87"/>
  <c r="B13" i="87"/>
  <c r="K12" i="87"/>
  <c r="H12" i="87"/>
  <c r="E12" i="87"/>
  <c r="B12" i="87"/>
  <c r="K11" i="87"/>
  <c r="H11" i="87"/>
  <c r="E11" i="87"/>
  <c r="B11" i="87"/>
  <c r="K10" i="87"/>
  <c r="H10" i="87"/>
  <c r="E10" i="87"/>
  <c r="B10" i="87"/>
  <c r="J5" i="87"/>
  <c r="G5" i="87"/>
  <c r="D5" i="87"/>
  <c r="A5" i="87"/>
  <c r="H54" i="86"/>
  <c r="G54" i="86"/>
  <c r="F54" i="86"/>
  <c r="E54" i="86"/>
  <c r="D54" i="86"/>
  <c r="C54" i="86"/>
  <c r="H52" i="86"/>
  <c r="G52" i="86"/>
  <c r="F52" i="86"/>
  <c r="E52" i="86"/>
  <c r="D52" i="86"/>
  <c r="C52" i="86"/>
  <c r="H51" i="86"/>
  <c r="G51" i="86"/>
  <c r="F51" i="86"/>
  <c r="E51" i="86"/>
  <c r="D51" i="86"/>
  <c r="C51" i="86"/>
  <c r="H50" i="86"/>
  <c r="G50" i="86"/>
  <c r="F50" i="86"/>
  <c r="E50" i="86"/>
  <c r="D50" i="86"/>
  <c r="C50" i="86"/>
  <c r="H49" i="86"/>
  <c r="G49" i="86"/>
  <c r="F49" i="86"/>
  <c r="E49" i="86"/>
  <c r="D49" i="86"/>
  <c r="I34" i="86"/>
  <c r="H34" i="86"/>
  <c r="G34" i="86"/>
  <c r="F34" i="86"/>
  <c r="E34" i="86"/>
  <c r="D34" i="86"/>
  <c r="C34" i="86"/>
  <c r="I32" i="86"/>
  <c r="H32" i="86"/>
  <c r="G32" i="86"/>
  <c r="F32" i="86"/>
  <c r="E32" i="86"/>
  <c r="D32" i="86"/>
  <c r="C32" i="86"/>
  <c r="I31" i="86"/>
  <c r="H31" i="86"/>
  <c r="G31" i="86"/>
  <c r="F31" i="86"/>
  <c r="E31" i="86"/>
  <c r="D31" i="86"/>
  <c r="C31" i="86"/>
  <c r="I30" i="86"/>
  <c r="H30" i="86"/>
  <c r="G30" i="86"/>
  <c r="F30" i="86"/>
  <c r="E30" i="86"/>
  <c r="D30" i="86"/>
  <c r="C30" i="86"/>
  <c r="C21" i="86"/>
  <c r="D21" i="86"/>
  <c r="E21" i="86" s="1"/>
  <c r="F21" i="86" s="1"/>
  <c r="G21" i="86" s="1"/>
  <c r="H21" i="86" s="1"/>
  <c r="I21" i="86" s="1"/>
  <c r="I14" i="86"/>
  <c r="H14" i="86"/>
  <c r="G14" i="86"/>
  <c r="F14" i="86"/>
  <c r="E14" i="86"/>
  <c r="D14" i="86"/>
  <c r="C14" i="86"/>
  <c r="I12" i="86"/>
  <c r="H12" i="86"/>
  <c r="G12" i="86"/>
  <c r="F12" i="86"/>
  <c r="E12" i="86"/>
  <c r="D12" i="86"/>
  <c r="C12" i="86"/>
  <c r="I11" i="86"/>
  <c r="H11" i="86"/>
  <c r="G11" i="86"/>
  <c r="F11" i="86"/>
  <c r="E11" i="86"/>
  <c r="D11" i="86"/>
  <c r="C11" i="86"/>
  <c r="I10" i="86"/>
  <c r="H10" i="86"/>
  <c r="G10" i="86"/>
  <c r="F10" i="86"/>
  <c r="E10" i="86"/>
  <c r="D10" i="86"/>
  <c r="C10" i="86"/>
  <c r="H4" i="86"/>
  <c r="E6" i="86"/>
  <c r="E5" i="86"/>
  <c r="E4" i="86"/>
  <c r="E3" i="86"/>
  <c r="C73" i="82"/>
  <c r="D73" i="82"/>
  <c r="E73" i="82"/>
  <c r="F73" i="82"/>
  <c r="G73" i="82"/>
  <c r="H73" i="82"/>
  <c r="I73" i="82"/>
  <c r="J73" i="82"/>
  <c r="K73" i="82"/>
  <c r="B73" i="82"/>
  <c r="C65" i="82"/>
  <c r="D65" i="82"/>
  <c r="E65" i="82"/>
  <c r="F65" i="82"/>
  <c r="G65" i="82"/>
  <c r="H65" i="82"/>
  <c r="I65" i="82"/>
  <c r="J65" i="82"/>
  <c r="K65" i="82"/>
  <c r="B65" i="82"/>
  <c r="C53" i="82"/>
  <c r="D53" i="82"/>
  <c r="E53" i="82"/>
  <c r="F53" i="82"/>
  <c r="G53" i="82"/>
  <c r="H53" i="82"/>
  <c r="I53" i="82"/>
  <c r="J53" i="82"/>
  <c r="K53" i="82"/>
  <c r="B53" i="82"/>
  <c r="C45" i="82"/>
  <c r="D45" i="82"/>
  <c r="E45" i="82"/>
  <c r="F45" i="82"/>
  <c r="G45" i="82"/>
  <c r="H45" i="82"/>
  <c r="I45" i="82"/>
  <c r="J45" i="82"/>
  <c r="K45" i="82"/>
  <c r="B45" i="82"/>
  <c r="B38" i="82"/>
  <c r="B32" i="82"/>
  <c r="B24" i="82"/>
  <c r="B18" i="82"/>
  <c r="B15" i="82"/>
  <c r="B14" i="82"/>
  <c r="B4" i="82" l="1"/>
  <c r="O1548" i="12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G1466" i="121"/>
  <c r="O1466" i="121"/>
  <c r="M1455"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517" i="121"/>
  <c r="O1517" i="121"/>
  <c r="I1517" i="121" s="1"/>
  <c r="P1386" i="121"/>
  <c r="O1386" i="121"/>
  <c r="P1334" i="121"/>
  <c r="P1326" i="121"/>
  <c r="P1317" i="121"/>
  <c r="P1533" i="121"/>
  <c r="O1533" i="121"/>
  <c r="K1533" i="121" s="1"/>
  <c r="P1499" i="121"/>
  <c r="P1488" i="121"/>
  <c r="O1488" i="121"/>
  <c r="P1480" i="121"/>
  <c r="O1480" i="121"/>
  <c r="R1480" i="121" s="1"/>
  <c r="P1423" i="121"/>
  <c r="O1423" i="121"/>
  <c r="E1423" i="121" s="1"/>
  <c r="P1395" i="121"/>
  <c r="P1381" i="121"/>
  <c r="O1381" i="121"/>
  <c r="P1379" i="121"/>
  <c r="O1379" i="121"/>
  <c r="P1373" i="121"/>
  <c r="O1373" i="121"/>
  <c r="P1372" i="121"/>
  <c r="O1372" i="121"/>
  <c r="P1369" i="121"/>
  <c r="O1369" i="121"/>
  <c r="P1347" i="121"/>
  <c r="O1347" i="121"/>
  <c r="Q1347" i="121" s="1"/>
  <c r="P1337" i="121"/>
  <c r="O1337" i="121"/>
  <c r="P1309" i="121"/>
  <c r="O1309" i="121"/>
  <c r="P1300" i="121"/>
  <c r="O1300" i="121"/>
  <c r="P1298" i="121"/>
  <c r="O1298" i="121"/>
  <c r="P1278" i="121"/>
  <c r="O1278" i="121"/>
  <c r="P1274" i="121"/>
  <c r="O1274" i="121"/>
  <c r="P1265" i="121"/>
  <c r="O1265" i="121"/>
  <c r="P1258" i="121"/>
  <c r="O1258" i="121"/>
  <c r="P1257" i="121"/>
  <c r="O1257" i="121"/>
  <c r="P1249" i="121"/>
  <c r="O1249" i="121"/>
  <c r="P1246" i="121"/>
  <c r="O1246" i="121"/>
  <c r="P1235" i="121"/>
  <c r="O1235" i="121"/>
  <c r="P1237" i="121"/>
  <c r="O1237" i="121"/>
  <c r="P1212" i="121"/>
  <c r="P1203" i="121"/>
  <c r="O1203" i="121"/>
  <c r="P1201" i="121"/>
  <c r="O1201" i="121"/>
  <c r="P1194" i="121"/>
  <c r="O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83" i="121" s="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7" i="121"/>
  <c r="J458" i="121"/>
  <c r="J459" i="121"/>
  <c r="J460" i="121"/>
  <c r="J461" i="121"/>
  <c r="J462" i="121"/>
  <c r="J463" i="121"/>
  <c r="J464" i="121"/>
  <c r="J465" i="121"/>
  <c r="J466" i="121"/>
  <c r="J467" i="121"/>
  <c r="J468" i="121"/>
  <c r="J469" i="121"/>
  <c r="J470" i="121"/>
  <c r="J471" i="121"/>
  <c r="J472" i="121"/>
  <c r="J473" i="121"/>
  <c r="J474" i="121"/>
  <c r="J475" i="121"/>
  <c r="J476" i="121"/>
  <c r="J477" i="121"/>
  <c r="J478" i="121"/>
  <c r="J479" i="121"/>
  <c r="J480" i="121"/>
  <c r="J481" i="121"/>
  <c r="J482" i="121"/>
  <c r="J483" i="121"/>
  <c r="J484" i="121"/>
  <c r="J485" i="121"/>
  <c r="J486" i="121"/>
  <c r="J456"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L457" i="121" s="1"/>
  <c r="M457" i="121" s="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L461" i="121" s="1"/>
  <c r="M461" i="121" s="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L465" i="121" s="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L469" i="121" s="1"/>
  <c r="M469" i="121" s="1"/>
  <c r="I469" i="121"/>
  <c r="C470" i="121"/>
  <c r="D470" i="121"/>
  <c r="E470" i="121"/>
  <c r="F470" i="121"/>
  <c r="G470" i="121"/>
  <c r="H470" i="121"/>
  <c r="I470" i="121"/>
  <c r="C471" i="121"/>
  <c r="D471" i="121"/>
  <c r="E471" i="121"/>
  <c r="F471" i="121"/>
  <c r="G471" i="121"/>
  <c r="H471" i="121"/>
  <c r="L471" i="121" s="1"/>
  <c r="M471" i="121" s="1"/>
  <c r="I471" i="121"/>
  <c r="C472" i="121"/>
  <c r="D472" i="121"/>
  <c r="E472" i="121"/>
  <c r="F472" i="121"/>
  <c r="G472" i="121"/>
  <c r="H472" i="121"/>
  <c r="I472" i="121"/>
  <c r="C473" i="121"/>
  <c r="D473" i="121"/>
  <c r="E473" i="121"/>
  <c r="F473" i="121"/>
  <c r="G473" i="121"/>
  <c r="H473" i="121"/>
  <c r="L473" i="121" s="1"/>
  <c r="M473" i="121" s="1"/>
  <c r="I473" i="121"/>
  <c r="C474" i="121"/>
  <c r="D474" i="121"/>
  <c r="E474" i="121"/>
  <c r="F474" i="121"/>
  <c r="G474" i="121"/>
  <c r="H474" i="121"/>
  <c r="I474" i="121"/>
  <c r="C475" i="121"/>
  <c r="D475" i="121"/>
  <c r="E475" i="121"/>
  <c r="F475" i="121"/>
  <c r="G475" i="121"/>
  <c r="H475" i="121"/>
  <c r="L475" i="121" s="1"/>
  <c r="M475" i="121" s="1"/>
  <c r="I475" i="121"/>
  <c r="C476" i="121"/>
  <c r="D476" i="121"/>
  <c r="E476" i="121"/>
  <c r="F476" i="121"/>
  <c r="G476" i="121"/>
  <c r="H476" i="121"/>
  <c r="I476" i="121"/>
  <c r="C477" i="121"/>
  <c r="D477" i="121"/>
  <c r="E477" i="121"/>
  <c r="F477" i="121"/>
  <c r="G477" i="121"/>
  <c r="H477" i="121"/>
  <c r="L477" i="121" s="1"/>
  <c r="M477" i="121" s="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L481" i="121" s="1"/>
  <c r="M481" i="121" s="1"/>
  <c r="I481" i="121"/>
  <c r="C482" i="121"/>
  <c r="D482" i="121"/>
  <c r="E482" i="121"/>
  <c r="F482" i="121"/>
  <c r="G482" i="121"/>
  <c r="H482" i="121"/>
  <c r="I482" i="121"/>
  <c r="C483" i="121"/>
  <c r="D483" i="121"/>
  <c r="E483" i="121"/>
  <c r="F483" i="121"/>
  <c r="G483" i="121"/>
  <c r="H483" i="121"/>
  <c r="L483" i="121" s="1"/>
  <c r="M483" i="121" s="1"/>
  <c r="I483" i="121"/>
  <c r="C484" i="121"/>
  <c r="D484" i="121"/>
  <c r="E484" i="121"/>
  <c r="F484" i="121"/>
  <c r="G484" i="121"/>
  <c r="H484" i="121"/>
  <c r="I484" i="121"/>
  <c r="C485" i="121"/>
  <c r="D485" i="121"/>
  <c r="E485" i="121"/>
  <c r="F485" i="121"/>
  <c r="G485" i="121"/>
  <c r="H485" i="121"/>
  <c r="L485" i="121" s="1"/>
  <c r="M485" i="121" s="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7"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P90" i="121"/>
  <c r="P88" i="121"/>
  <c r="N88" i="121"/>
  <c r="M88" i="121"/>
  <c r="L88" i="121"/>
  <c r="K88" i="121"/>
  <c r="P84" i="121"/>
  <c r="P85" i="121"/>
  <c r="P86" i="121"/>
  <c r="P83" i="121"/>
  <c r="N84" i="121"/>
  <c r="N85" i="121"/>
  <c r="N86" i="121"/>
  <c r="K84" i="121"/>
  <c r="L84" i="121"/>
  <c r="M84" i="121"/>
  <c r="K85" i="121"/>
  <c r="L85" i="121"/>
  <c r="M85" i="121"/>
  <c r="K86" i="121"/>
  <c r="L86" i="121"/>
  <c r="M86" i="121"/>
  <c r="N83" i="121"/>
  <c r="M83" i="121"/>
  <c r="L83" i="121"/>
  <c r="K83" i="121"/>
  <c r="I84" i="121"/>
  <c r="I85" i="121"/>
  <c r="I86" i="121"/>
  <c r="I87" i="121"/>
  <c r="I88" i="121"/>
  <c r="I83" i="121"/>
  <c r="D88" i="121"/>
  <c r="C86" i="121"/>
  <c r="E84" i="121"/>
  <c r="E85" i="121"/>
  <c r="E86" i="121"/>
  <c r="E87" i="121"/>
  <c r="E88" i="121"/>
  <c r="E83" i="121"/>
  <c r="L77"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1" i="121"/>
  <c r="A2" i="105"/>
  <c r="A42" i="121"/>
  <c r="O37" i="121"/>
  <c r="O36" i="121"/>
  <c r="N28" i="121"/>
  <c r="K28" i="121"/>
  <c r="O28" i="121"/>
  <c r="O27" i="121"/>
  <c r="P26" i="121"/>
  <c r="P25" i="121"/>
  <c r="F28" i="121"/>
  <c r="J26"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R1488"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K1527"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Q1258" i="121"/>
  <c r="L1236" i="121"/>
  <c r="O1233" i="121"/>
  <c r="M1233" i="121"/>
  <c r="O1232" i="121"/>
  <c r="M1228" i="121"/>
  <c r="M1232" i="121" s="1"/>
  <c r="Q1213" i="121"/>
  <c r="Q1203" i="121"/>
  <c r="O1169" i="121"/>
  <c r="B1163" i="121"/>
  <c r="A1158" i="121"/>
  <c r="M1029" i="121"/>
  <c r="M1028" i="121"/>
  <c r="M1027" i="121"/>
  <c r="K933" i="121"/>
  <c r="J933" i="121"/>
  <c r="I933" i="121"/>
  <c r="E848" i="121"/>
  <c r="A846" i="121"/>
  <c r="H846" i="121" s="1"/>
  <c r="A844" i="121"/>
  <c r="A769" i="121"/>
  <c r="A800" i="121" s="1"/>
  <c r="A830" i="121" s="1"/>
  <c r="A761" i="121"/>
  <c r="A793" i="121" s="1"/>
  <c r="A823" i="121" s="1"/>
  <c r="A760" i="121"/>
  <c r="A792" i="121" s="1"/>
  <c r="A822" i="121" s="1"/>
  <c r="A759" i="121"/>
  <c r="A791" i="121" s="1"/>
  <c r="A821" i="121" s="1"/>
  <c r="A758" i="121"/>
  <c r="A790" i="121" s="1"/>
  <c r="A820" i="121" s="1"/>
  <c r="A736" i="121"/>
  <c r="A768" i="121" s="1"/>
  <c r="A799" i="121" s="1"/>
  <c r="A829" i="121" s="1"/>
  <c r="A735" i="121"/>
  <c r="A767" i="121" s="1"/>
  <c r="A798" i="121" s="1"/>
  <c r="A828" i="121" s="1"/>
  <c r="A734" i="121"/>
  <c r="A766" i="121" s="1"/>
  <c r="A797" i="121" s="1"/>
  <c r="A827" i="121" s="1"/>
  <c r="C714" i="121"/>
  <c r="D714" i="121" s="1"/>
  <c r="C709" i="121"/>
  <c r="K708" i="121"/>
  <c r="B708" i="121"/>
  <c r="G707" i="121"/>
  <c r="B707" i="121"/>
  <c r="K706" i="121"/>
  <c r="B706" i="121"/>
  <c r="C704" i="121"/>
  <c r="A702" i="121"/>
  <c r="L689" i="121"/>
  <c r="Q672" i="121"/>
  <c r="N670" i="121" s="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L486" i="121"/>
  <c r="M486" i="121" s="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L484" i="121"/>
  <c r="M484" i="121" s="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L482" i="121"/>
  <c r="M482" i="121" s="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L479" i="121"/>
  <c r="M479" i="121" s="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L478" i="121"/>
  <c r="M478" i="121" s="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L474" i="121"/>
  <c r="M474" i="121" s="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L470" i="121"/>
  <c r="M470" i="121" s="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L467" i="121"/>
  <c r="M467" i="121" s="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L466" i="121"/>
  <c r="M466" i="121" s="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462" i="121"/>
  <c r="M462" i="121" s="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L460" i="121"/>
  <c r="M460" i="121" s="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L459" i="121"/>
  <c r="M459" i="121" s="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L458" i="121"/>
  <c r="M458" i="121" s="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L456" i="121"/>
  <c r="M456" i="121" s="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P442" i="121"/>
  <c r="A440" i="121"/>
  <c r="T440" i="121" s="1"/>
  <c r="L429" i="121"/>
  <c r="L412" i="121"/>
  <c r="K412" i="121"/>
  <c r="J412" i="121"/>
  <c r="B393" i="121"/>
  <c r="A391" i="121"/>
  <c r="S301" i="121"/>
  <c r="J301" i="121"/>
  <c r="E218" i="121" s="1"/>
  <c r="S299" i="121"/>
  <c r="M299" i="121"/>
  <c r="S297" i="121"/>
  <c r="J292" i="121"/>
  <c r="J293" i="121" s="1"/>
  <c r="N289" i="121"/>
  <c r="J289" i="121"/>
  <c r="J287"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I104" i="121"/>
  <c r="P94" i="121" s="1"/>
  <c r="P96" i="121" s="1"/>
  <c r="L95" i="121"/>
  <c r="N95" i="121" s="1"/>
  <c r="L94" i="121"/>
  <c r="N94" i="121" s="1"/>
  <c r="L47" i="121"/>
  <c r="A45" i="121"/>
  <c r="O9" i="121"/>
  <c r="I9" i="121"/>
  <c r="Y459" i="121" l="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M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L463" i="121"/>
  <c r="M463" i="121" s="1"/>
  <c r="I412" i="121"/>
  <c r="F488" i="121"/>
  <c r="E487" i="121"/>
  <c r="F487" i="121"/>
  <c r="L480" i="121"/>
  <c r="M480" i="121" s="1"/>
  <c r="L476" i="121"/>
  <c r="M476" i="121" s="1"/>
  <c r="L472" i="121"/>
  <c r="M472" i="121" s="1"/>
  <c r="L468" i="121"/>
  <c r="M468" i="121" s="1"/>
  <c r="L464" i="121"/>
  <c r="M464" i="121" s="1"/>
  <c r="M487" i="121" s="1"/>
  <c r="M488" i="121" s="1"/>
  <c r="P561" i="121"/>
  <c r="A561" i="121" s="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I487" i="121" s="1"/>
  <c r="K580" i="121" s="1"/>
  <c r="K591" i="121" s="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P487" i="121" s="1"/>
  <c r="LT453" i="121"/>
  <c r="LX453" i="121"/>
  <c r="X457" i="121"/>
  <c r="AB457" i="121"/>
  <c r="AB487" i="121" s="1"/>
  <c r="O494" i="121" s="1"/>
  <c r="AF457" i="121"/>
  <c r="AJ457" i="121"/>
  <c r="AN457" i="121"/>
  <c r="AR457" i="121"/>
  <c r="AV457" i="121"/>
  <c r="AZ457" i="121"/>
  <c r="BD457" i="121"/>
  <c r="BH457" i="121"/>
  <c r="BH487" i="121" s="1"/>
  <c r="L502" i="121" s="1"/>
  <c r="BL457" i="121"/>
  <c r="BP457" i="121"/>
  <c r="BT457" i="121"/>
  <c r="BX457" i="121"/>
  <c r="BX487" i="121" s="1"/>
  <c r="M535" i="121" s="1"/>
  <c r="CB457" i="121"/>
  <c r="CF457" i="121"/>
  <c r="CJ457" i="121"/>
  <c r="CN457" i="121"/>
  <c r="CN487" i="121" s="1"/>
  <c r="N532" i="121" s="1"/>
  <c r="CR457" i="121"/>
  <c r="CV457" i="121"/>
  <c r="CZ457" i="121"/>
  <c r="DD457" i="121"/>
  <c r="DH457" i="121"/>
  <c r="DL457" i="121"/>
  <c r="DP457" i="121"/>
  <c r="DT457" i="121"/>
  <c r="DT487" i="121" s="1"/>
  <c r="K543" i="121" s="1"/>
  <c r="DX457" i="121"/>
  <c r="EB457" i="121"/>
  <c r="EJ457" i="121"/>
  <c r="EN457" i="121"/>
  <c r="ER457" i="121"/>
  <c r="EV457" i="121"/>
  <c r="EZ457" i="121"/>
  <c r="FD457" i="121"/>
  <c r="FD487" i="121" s="1"/>
  <c r="L603" i="121" s="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L1194" i="121"/>
  <c r="L76" i="121"/>
  <c r="L78" i="121" s="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I105" i="121" s="1"/>
  <c r="J556" i="121"/>
  <c r="A237" i="121"/>
  <c r="N1385" i="121"/>
  <c r="EG487" i="121"/>
  <c r="N504" i="121" s="1"/>
  <c r="EO487" i="121"/>
  <c r="L600" i="121" s="1"/>
  <c r="GC487" i="121"/>
  <c r="L609" i="121" s="1"/>
  <c r="J1414" i="121"/>
  <c r="K1395" i="121"/>
  <c r="J1452" i="121"/>
  <c r="F147" i="121"/>
  <c r="IC487" i="121"/>
  <c r="JM487" i="121"/>
  <c r="O580" i="121" s="1"/>
  <c r="O591" i="121" s="1"/>
  <c r="D151" i="121"/>
  <c r="ED487" i="121"/>
  <c r="K504" i="121" s="1"/>
  <c r="EH487" i="121"/>
  <c r="O504" i="121" s="1"/>
  <c r="GD487" i="121"/>
  <c r="M609" i="121" s="1"/>
  <c r="HZ487" i="121"/>
  <c r="ID487" i="121"/>
  <c r="IX487" i="121"/>
  <c r="O585" i="121" s="1"/>
  <c r="MH487" i="121"/>
  <c r="ML487" i="121"/>
  <c r="L1182" i="121"/>
  <c r="Q1182" i="121"/>
  <c r="EF487" i="121"/>
  <c r="M504" i="121" s="1"/>
  <c r="FX487" i="121"/>
  <c r="GB487" i="121"/>
  <c r="K609" i="121" s="1"/>
  <c r="GF487" i="121"/>
  <c r="O609" i="121" s="1"/>
  <c r="IB487" i="121"/>
  <c r="IV487" i="121"/>
  <c r="M585" i="121" s="1"/>
  <c r="MF487" i="121"/>
  <c r="MN487" i="121"/>
  <c r="L1237" i="121"/>
  <c r="Q1201" i="121"/>
  <c r="E714" i="121"/>
  <c r="IE487" i="121"/>
  <c r="K578" i="121" s="1"/>
  <c r="MM487" i="121"/>
  <c r="G153" i="121"/>
  <c r="E148" i="121"/>
  <c r="P95" i="121"/>
  <c r="HF487" i="121" l="1"/>
  <c r="S256" i="121"/>
  <c r="FW487" i="121"/>
  <c r="FZ487" i="121"/>
  <c r="IW487" i="121"/>
  <c r="N585" i="121" s="1"/>
  <c r="JY487" i="121"/>
  <c r="L572" i="121" s="1"/>
  <c r="L595"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P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Q681" i="121" s="1"/>
  <c r="KV487" i="121"/>
  <c r="O576" i="121" s="1"/>
  <c r="KF487" i="121"/>
  <c r="N571" i="121" s="1"/>
  <c r="IZ487" i="121"/>
  <c r="L582" i="121" s="1"/>
  <c r="L589"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N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Q683" i="121"/>
  <c r="P504" i="121"/>
  <c r="O595" i="121"/>
  <c r="G256" i="121"/>
  <c r="J286" i="121" s="1"/>
  <c r="J288" i="121" s="1"/>
  <c r="J290" i="121" s="1"/>
  <c r="P576" i="121"/>
  <c r="L590" i="121"/>
  <c r="F165" i="121"/>
  <c r="N596" i="121"/>
  <c r="M596" i="121"/>
  <c r="M595" i="121"/>
  <c r="F714" i="121"/>
  <c r="O569" i="121"/>
  <c r="P585" i="121"/>
  <c r="P592" i="121"/>
  <c r="P621" i="121"/>
  <c r="M563" i="121"/>
  <c r="P581" i="121"/>
  <c r="P682" i="121"/>
  <c r="Q682" i="121"/>
  <c r="N595" i="121"/>
  <c r="K589" i="121"/>
  <c r="P578" i="121"/>
  <c r="P579" i="121"/>
  <c r="E151" i="121"/>
  <c r="G147" i="121" s="1"/>
  <c r="P543" i="121" l="1"/>
  <c r="P535" i="121"/>
  <c r="P683" i="121"/>
  <c r="P577" i="121"/>
  <c r="L594" i="121"/>
  <c r="K590" i="121"/>
  <c r="P590" i="121" s="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L511" i="121"/>
  <c r="P595" i="121"/>
  <c r="P589" i="121"/>
  <c r="G714" i="121"/>
  <c r="O514" i="121" l="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H714" i="121"/>
  <c r="P505" i="121"/>
  <c r="K514" i="121"/>
  <c r="K511" i="121"/>
  <c r="K517" i="121"/>
  <c r="K610" i="121"/>
  <c r="P610" i="121" s="1"/>
  <c r="K617" i="121" s="1"/>
  <c r="P608" i="121"/>
  <c r="K520" i="121" l="1"/>
  <c r="K526" i="121"/>
  <c r="K523" i="121"/>
  <c r="Q677" i="121"/>
  <c r="I714" i="121"/>
  <c r="K681" i="121"/>
  <c r="K682" i="121"/>
  <c r="K680" i="121"/>
  <c r="K679" i="121"/>
  <c r="K677" i="121"/>
  <c r="J488" i="121"/>
  <c r="J487" i="121"/>
  <c r="K678" i="121"/>
  <c r="P520" i="121"/>
  <c r="P526" i="121"/>
  <c r="P514" i="121"/>
  <c r="P511" i="121"/>
  <c r="P523" i="121"/>
  <c r="P508" i="121"/>
  <c r="P517" i="121"/>
  <c r="J714" i="121" l="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K714" i="121" l="1"/>
  <c r="B746" i="121" l="1"/>
  <c r="C746" i="121" l="1"/>
  <c r="D746" i="121" l="1"/>
  <c r="E746" i="121" l="1"/>
  <c r="F746" i="121" l="1"/>
  <c r="G746" i="121" l="1"/>
  <c r="H746" i="121" l="1"/>
  <c r="I746" i="121" l="1"/>
  <c r="J746" i="121" l="1"/>
  <c r="K746" i="121" l="1"/>
  <c r="B778" i="121" l="1"/>
  <c r="C778" i="121" l="1"/>
  <c r="D778" i="121" l="1"/>
  <c r="E778" i="121" l="1"/>
  <c r="F778" i="121" l="1"/>
  <c r="G778" i="121" l="1"/>
  <c r="H778" i="121" l="1"/>
  <c r="I778" i="121" l="1"/>
  <c r="J778" i="121" l="1"/>
  <c r="K778" i="121" l="1"/>
  <c r="C75" i="100" l="1"/>
  <c r="L100" i="85"/>
  <c r="L70" i="85"/>
  <c r="C68" i="100"/>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H18" i="100"/>
  <c r="C18" i="100"/>
  <c r="C135" i="90"/>
  <c r="Q67" i="85"/>
  <c r="N67" i="85"/>
  <c r="M67" i="85"/>
  <c r="C33" i="100"/>
  <c r="B33" i="100"/>
  <c r="C32" i="100"/>
  <c r="B32" i="100"/>
  <c r="C31" i="100"/>
  <c r="B31" i="100"/>
  <c r="C30" i="100"/>
  <c r="C25" i="100"/>
  <c r="B25" i="100"/>
  <c r="L11" i="95"/>
  <c r="G11" i="91"/>
  <c r="E97" i="90"/>
  <c r="E93" i="90"/>
  <c r="O67" i="85"/>
  <c r="L67" i="85"/>
  <c r="H15" i="100"/>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E108" i="107"/>
  <c r="B106" i="107"/>
  <c r="D40" i="107"/>
  <c r="E40" i="107" s="1"/>
  <c r="D39" i="107"/>
  <c r="D38" i="107"/>
  <c r="J27" i="105"/>
  <c r="O29" i="105" s="1"/>
  <c r="P4" i="110" s="1"/>
  <c r="S189" i="107"/>
  <c r="S187" i="107"/>
  <c r="AN436" i="112"/>
  <c r="AN435" i="112"/>
  <c r="AN434" i="112"/>
  <c r="AN433" i="112"/>
  <c r="F116" i="111"/>
  <c r="F132" i="111" s="1"/>
  <c r="E116" i="111"/>
  <c r="E132" i="111" s="1"/>
  <c r="D116" i="111"/>
  <c r="D132" i="111" s="1"/>
  <c r="C116" i="111"/>
  <c r="C132" i="111" s="1"/>
  <c r="B116" i="111"/>
  <c r="B132" i="111" s="1"/>
  <c r="K86" i="111"/>
  <c r="K102" i="111" s="1"/>
  <c r="J86" i="111"/>
  <c r="J102" i="111" s="1"/>
  <c r="I86" i="111"/>
  <c r="I102" i="111" s="1"/>
  <c r="H86" i="111"/>
  <c r="G86" i="111"/>
  <c r="F86" i="111"/>
  <c r="E86" i="111"/>
  <c r="E102" i="111" s="1"/>
  <c r="D86" i="111"/>
  <c r="D102" i="111" s="1"/>
  <c r="C86" i="111"/>
  <c r="B86" i="111"/>
  <c r="B102" i="111" s="1"/>
  <c r="K54" i="111"/>
  <c r="K71" i="111" s="1"/>
  <c r="J54" i="111"/>
  <c r="J71" i="111" s="1"/>
  <c r="I54" i="111"/>
  <c r="H54" i="111"/>
  <c r="H71" i="111" s="1"/>
  <c r="G54" i="111"/>
  <c r="G71" i="111" s="1"/>
  <c r="F54" i="111"/>
  <c r="F71" i="111" s="1"/>
  <c r="E54" i="111"/>
  <c r="E71" i="111" s="1"/>
  <c r="D54" i="111"/>
  <c r="C54" i="111"/>
  <c r="C71" i="111" s="1"/>
  <c r="B54" i="111"/>
  <c r="B71" i="111" s="1"/>
  <c r="K22" i="111"/>
  <c r="J22" i="111"/>
  <c r="J39" i="111" s="1"/>
  <c r="I22" i="111"/>
  <c r="H22" i="111"/>
  <c r="H39" i="111" s="1"/>
  <c r="G22" i="111"/>
  <c r="G39" i="111" s="1"/>
  <c r="F22" i="111"/>
  <c r="F39" i="111" s="1"/>
  <c r="E22" i="111"/>
  <c r="D22" i="111"/>
  <c r="D39" i="111" s="1"/>
  <c r="C22" i="111"/>
  <c r="C39" i="111" s="1"/>
  <c r="B22" i="111"/>
  <c r="Q662" i="121" s="1"/>
  <c r="I47" i="106"/>
  <c r="I90"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7" i="110"/>
  <c r="L47" i="110" s="1"/>
  <c r="M47" i="110" s="1"/>
  <c r="J46" i="110"/>
  <c r="L46" i="110" s="1"/>
  <c r="M46" i="110" s="1"/>
  <c r="J45" i="110"/>
  <c r="J44" i="110"/>
  <c r="J43" i="110"/>
  <c r="L43" i="110" s="1"/>
  <c r="M43" i="110" s="1"/>
  <c r="J42" i="110"/>
  <c r="J41" i="110"/>
  <c r="J40" i="110"/>
  <c r="J39" i="110"/>
  <c r="L39" i="110" s="1"/>
  <c r="M39" i="110" s="1"/>
  <c r="J38" i="110"/>
  <c r="J37" i="110"/>
  <c r="J36" i="110"/>
  <c r="J35" i="110"/>
  <c r="L35" i="110" s="1"/>
  <c r="M35" i="110" s="1"/>
  <c r="J34" i="110"/>
  <c r="J33" i="110"/>
  <c r="J32" i="110"/>
  <c r="J31" i="110"/>
  <c r="L31" i="110" s="1"/>
  <c r="M31" i="110" s="1"/>
  <c r="J30" i="110"/>
  <c r="J29" i="110"/>
  <c r="J28" i="110"/>
  <c r="J27" i="110"/>
  <c r="L27" i="110" s="1"/>
  <c r="M27" i="110" s="1"/>
  <c r="J26" i="110"/>
  <c r="J25" i="110"/>
  <c r="J24" i="110"/>
  <c r="J23" i="110"/>
  <c r="L23" i="110" s="1"/>
  <c r="M23" i="110" s="1"/>
  <c r="J22" i="110"/>
  <c r="J21" i="110"/>
  <c r="J20" i="110"/>
  <c r="J19" i="110"/>
  <c r="L19" i="110" s="1"/>
  <c r="M19" i="110" s="1"/>
  <c r="J18"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I10" i="105"/>
  <c r="I61" i="106"/>
  <c r="L52" i="106"/>
  <c r="L51" i="106"/>
  <c r="D45" i="106"/>
  <c r="L34" i="106"/>
  <c r="AN439" i="112"/>
  <c r="F136" i="111"/>
  <c r="E136" i="111"/>
  <c r="D136" i="111"/>
  <c r="C136" i="111"/>
  <c r="B136" i="111"/>
  <c r="F135" i="111"/>
  <c r="E135" i="111"/>
  <c r="D135" i="111"/>
  <c r="C135" i="111"/>
  <c r="B135" i="111"/>
  <c r="F134" i="111"/>
  <c r="E134" i="111"/>
  <c r="D134" i="111"/>
  <c r="C134" i="111"/>
  <c r="B134" i="111"/>
  <c r="F133" i="111"/>
  <c r="E133" i="111"/>
  <c r="D133" i="111"/>
  <c r="C133" i="111"/>
  <c r="B133" i="111"/>
  <c r="F123" i="111"/>
  <c r="E123" i="111"/>
  <c r="D123" i="111"/>
  <c r="C123" i="111"/>
  <c r="B123" i="111"/>
  <c r="F122" i="111"/>
  <c r="E122" i="111"/>
  <c r="D122" i="111"/>
  <c r="C122" i="111"/>
  <c r="B122" i="111"/>
  <c r="F121" i="111"/>
  <c r="E121" i="111"/>
  <c r="D121" i="111"/>
  <c r="C121" i="111"/>
  <c r="B121" i="111"/>
  <c r="F120" i="111"/>
  <c r="F127" i="111" s="1"/>
  <c r="E120" i="111"/>
  <c r="D120" i="111"/>
  <c r="C120" i="111"/>
  <c r="B120" i="111"/>
  <c r="B131" i="111" s="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103" i="111"/>
  <c r="J103" i="111"/>
  <c r="I103" i="111"/>
  <c r="H103" i="111"/>
  <c r="G103" i="111"/>
  <c r="F103" i="111"/>
  <c r="E103" i="111"/>
  <c r="D103" i="111"/>
  <c r="C103" i="111"/>
  <c r="B103"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90" i="111"/>
  <c r="J90" i="111"/>
  <c r="J97" i="111" s="1"/>
  <c r="I90" i="111"/>
  <c r="H90" i="111"/>
  <c r="G90" i="111"/>
  <c r="F90" i="111"/>
  <c r="F97" i="111" s="1"/>
  <c r="E90" i="111"/>
  <c r="D90" i="111"/>
  <c r="C90" i="111"/>
  <c r="B90" i="111"/>
  <c r="B97" i="111" s="1"/>
  <c r="K76" i="111"/>
  <c r="J76" i="111"/>
  <c r="I76" i="111"/>
  <c r="H76" i="111"/>
  <c r="G76" i="111"/>
  <c r="F76" i="111"/>
  <c r="E76" i="111"/>
  <c r="D76" i="111"/>
  <c r="C76" i="111"/>
  <c r="B76" i="11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72" i="111"/>
  <c r="J72" i="111"/>
  <c r="I72" i="111"/>
  <c r="H72" i="111"/>
  <c r="G72" i="111"/>
  <c r="F72" i="111"/>
  <c r="E72" i="111"/>
  <c r="D72" i="111"/>
  <c r="C72" i="111"/>
  <c r="B72" i="111"/>
  <c r="F64" i="111"/>
  <c r="E64" i="111"/>
  <c r="D64" i="111"/>
  <c r="C64" i="111"/>
  <c r="B6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58" i="111"/>
  <c r="J58" i="111"/>
  <c r="I58" i="111"/>
  <c r="H58" i="111"/>
  <c r="G58" i="111"/>
  <c r="F58" i="111"/>
  <c r="E58" i="111"/>
  <c r="D58" i="111"/>
  <c r="C58" i="111"/>
  <c r="B58" i="111"/>
  <c r="K44" i="111"/>
  <c r="J44" i="111"/>
  <c r="I44" i="111"/>
  <c r="H44" i="111"/>
  <c r="G44" i="111"/>
  <c r="F44" i="111"/>
  <c r="E44" i="111"/>
  <c r="D44" i="111"/>
  <c r="C44" i="111"/>
  <c r="B44"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K40" i="111"/>
  <c r="J40" i="111"/>
  <c r="I40" i="111"/>
  <c r="H40" i="111"/>
  <c r="G40" i="111"/>
  <c r="F40" i="111"/>
  <c r="E40" i="111"/>
  <c r="D40" i="111"/>
  <c r="C40" i="111"/>
  <c r="B40" i="111"/>
  <c r="A36" i="111"/>
  <c r="A35" i="111"/>
  <c r="A34" i="111"/>
  <c r="A66" i="111" s="1"/>
  <c r="A97" i="111" s="1"/>
  <c r="A127" i="111" s="1"/>
  <c r="K32" i="111"/>
  <c r="J32" i="111"/>
  <c r="I32" i="111"/>
  <c r="H32" i="111"/>
  <c r="G32" i="111"/>
  <c r="F32" i="111"/>
  <c r="E32" i="111"/>
  <c r="D32" i="111"/>
  <c r="R35" i="111" s="1"/>
  <c r="C32" i="111"/>
  <c r="B32" i="11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J38" i="111" s="1"/>
  <c r="I27" i="111"/>
  <c r="H27" i="111"/>
  <c r="G27" i="111"/>
  <c r="F27" i="111"/>
  <c r="F38" i="111" s="1"/>
  <c r="E27" i="111"/>
  <c r="D27" i="111"/>
  <c r="C27" i="111"/>
  <c r="B27" i="111"/>
  <c r="B35" i="111" s="1"/>
  <c r="K26" i="111"/>
  <c r="J26" i="111"/>
  <c r="I26" i="111"/>
  <c r="H26" i="111"/>
  <c r="H34" i="111" s="1"/>
  <c r="G26" i="111"/>
  <c r="F26" i="111"/>
  <c r="E26" i="111"/>
  <c r="D26" i="111"/>
  <c r="D34" i="111" s="1"/>
  <c r="C26" i="111"/>
  <c r="B26" i="111"/>
  <c r="N179" i="107"/>
  <c r="J177" i="107"/>
  <c r="O10" i="105"/>
  <c r="D3" i="115"/>
  <c r="AK422" i="112"/>
  <c r="G238" i="112"/>
  <c r="O12" i="112"/>
  <c r="P339" i="112" s="1"/>
  <c r="AZ443"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K384" i="112"/>
  <c r="K379" i="112"/>
  <c r="J379" i="112"/>
  <c r="P1524" i="121"/>
  <c r="K371" i="112"/>
  <c r="BB446" i="112"/>
  <c r="Q352" i="112"/>
  <c r="L352" i="112"/>
  <c r="Q351" i="112"/>
  <c r="L351" i="112"/>
  <c r="Q343" i="112"/>
  <c r="L343" i="112"/>
  <c r="Q341" i="112"/>
  <c r="L341" i="112"/>
  <c r="Q333" i="112"/>
  <c r="L333" i="112"/>
  <c r="Q332" i="112"/>
  <c r="L332" i="112"/>
  <c r="L317" i="112"/>
  <c r="J317" i="112"/>
  <c r="G317" i="112"/>
  <c r="L309" i="112"/>
  <c r="M306" i="112"/>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L226" i="112"/>
  <c r="L225" i="112"/>
  <c r="P224" i="112"/>
  <c r="O224" i="112"/>
  <c r="O222" i="112" s="1"/>
  <c r="P222" i="112"/>
  <c r="L221" i="112"/>
  <c r="L220"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O180" i="112"/>
  <c r="L178" i="112"/>
  <c r="P177" i="112"/>
  <c r="O177" i="112"/>
  <c r="O1334" i="121" s="1"/>
  <c r="P169" i="112"/>
  <c r="K378" i="112" s="1"/>
  <c r="O169" i="112"/>
  <c r="P160" i="112"/>
  <c r="BA432" i="112" s="1"/>
  <c r="O160" i="112"/>
  <c r="P152" i="112"/>
  <c r="BC431" i="112" s="1"/>
  <c r="O152" i="112"/>
  <c r="Q145" i="112"/>
  <c r="L145" i="112"/>
  <c r="Q144" i="112"/>
  <c r="L144" i="112"/>
  <c r="BC430" i="112"/>
  <c r="AY430" i="112"/>
  <c r="L132" i="112"/>
  <c r="L131" i="112"/>
  <c r="L130" i="112"/>
  <c r="L129" i="112"/>
  <c r="L128" i="112"/>
  <c r="L126" i="112"/>
  <c r="L125" i="112"/>
  <c r="L124" i="112"/>
  <c r="O123" i="112"/>
  <c r="O122" i="112"/>
  <c r="O121" i="112" s="1"/>
  <c r="O117" i="112" s="1"/>
  <c r="P121" i="112"/>
  <c r="P117" i="112" s="1"/>
  <c r="BC429" i="112" s="1"/>
  <c r="P108" i="112"/>
  <c r="O108" i="112"/>
  <c r="Q108" i="112" s="1"/>
  <c r="Q107" i="112"/>
  <c r="Q104" i="112"/>
  <c r="Q103" i="112"/>
  <c r="P101" i="112"/>
  <c r="O101" i="112"/>
  <c r="P92" i="112"/>
  <c r="O92" i="112"/>
  <c r="O89" i="112" s="1"/>
  <c r="P80" i="112"/>
  <c r="O80" i="112"/>
  <c r="L80" i="112" s="1"/>
  <c r="L79" i="112"/>
  <c r="P78" i="112"/>
  <c r="P55" i="112" s="1"/>
  <c r="BC426" i="112" s="1"/>
  <c r="O75" i="112"/>
  <c r="M71" i="112"/>
  <c r="M75" i="112" s="1"/>
  <c r="J71" i="112"/>
  <c r="J75" i="112" s="1"/>
  <c r="J1232" i="121" s="1"/>
  <c r="Q56" i="112"/>
  <c r="L56" i="112"/>
  <c r="P46" i="112"/>
  <c r="O46" i="112"/>
  <c r="Q46" i="112" s="1"/>
  <c r="P44" i="112"/>
  <c r="O44" i="112"/>
  <c r="O37" i="112" s="1"/>
  <c r="Q25" i="112"/>
  <c r="P25" i="112"/>
  <c r="O25" i="112"/>
  <c r="L25" i="112"/>
  <c r="P21" i="112"/>
  <c r="O21" i="112"/>
  <c r="L359" i="112"/>
  <c r="J90" i="113"/>
  <c r="H90" i="113"/>
  <c r="F90" i="113"/>
  <c r="D131" i="111"/>
  <c r="E130" i="111"/>
  <c r="C129" i="111"/>
  <c r="E128" i="111"/>
  <c r="C127" i="111"/>
  <c r="F130" i="111"/>
  <c r="D130" i="111"/>
  <c r="C130" i="111"/>
  <c r="B130" i="111"/>
  <c r="F129" i="111"/>
  <c r="E129" i="111"/>
  <c r="D129" i="111"/>
  <c r="B129" i="111"/>
  <c r="F128" i="111"/>
  <c r="D128" i="111"/>
  <c r="C128" i="111"/>
  <c r="B128" i="111"/>
  <c r="D127" i="111"/>
  <c r="B127" i="111"/>
  <c r="J100" i="111"/>
  <c r="E99" i="111"/>
  <c r="K97"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K101" i="111"/>
  <c r="I97" i="111"/>
  <c r="H97" i="111"/>
  <c r="G101" i="111"/>
  <c r="E97" i="111"/>
  <c r="D97" i="111"/>
  <c r="C101" i="111"/>
  <c r="H102" i="111"/>
  <c r="G102" i="111"/>
  <c r="F102" i="111"/>
  <c r="C102" i="111"/>
  <c r="A69" i="111"/>
  <c r="A100" i="111" s="1"/>
  <c r="A130" i="111" s="1"/>
  <c r="K68" i="111"/>
  <c r="J67" i="111"/>
  <c r="F67" i="111"/>
  <c r="E66"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J66" i="111"/>
  <c r="F66" i="111"/>
  <c r="B66" i="111"/>
  <c r="A58" i="111"/>
  <c r="A90" i="111" s="1"/>
  <c r="A120" i="111" s="1"/>
  <c r="I71" i="111"/>
  <c r="D71" i="111"/>
  <c r="K37" i="111"/>
  <c r="G37" i="111"/>
  <c r="D37" i="111"/>
  <c r="C37" i="111"/>
  <c r="K36" i="111"/>
  <c r="H36" i="111"/>
  <c r="G36" i="111"/>
  <c r="C36" i="111"/>
  <c r="A68" i="111"/>
  <c r="A99" i="111" s="1"/>
  <c r="A129" i="111" s="1"/>
  <c r="A67" i="111"/>
  <c r="A98" i="111" s="1"/>
  <c r="A128" i="111" s="1"/>
  <c r="K34" i="111"/>
  <c r="G34" i="111"/>
  <c r="F34" i="111"/>
  <c r="C34" i="111"/>
  <c r="C31" i="111"/>
  <c r="D31" i="111" s="1"/>
  <c r="E31" i="111" s="1"/>
  <c r="F31" i="111" s="1"/>
  <c r="G31" i="111" s="1"/>
  <c r="H31" i="111" s="1"/>
  <c r="I31" i="111" s="1"/>
  <c r="J31" i="111" s="1"/>
  <c r="K31" i="111" s="1"/>
  <c r="B63" i="111" s="1"/>
  <c r="C63" i="111" s="1"/>
  <c r="D63" i="111" s="1"/>
  <c r="E63" i="111" s="1"/>
  <c r="F63" i="111" s="1"/>
  <c r="G63" i="111" s="1"/>
  <c r="H63" i="111" s="1"/>
  <c r="I63" i="111" s="1"/>
  <c r="J63" i="111" s="1"/>
  <c r="K63" i="111" s="1"/>
  <c r="B95" i="111" s="1"/>
  <c r="C95" i="111" s="1"/>
  <c r="D95" i="111" s="1"/>
  <c r="E95" i="111" s="1"/>
  <c r="F95" i="111" s="1"/>
  <c r="G95" i="111" s="1"/>
  <c r="H95" i="111" s="1"/>
  <c r="I95" i="111" s="1"/>
  <c r="J95" i="111" s="1"/>
  <c r="K95" i="111" s="1"/>
  <c r="B125" i="111" s="1"/>
  <c r="C125" i="111" s="1"/>
  <c r="D125" i="111" s="1"/>
  <c r="E125" i="111" s="1"/>
  <c r="F125" i="111" s="1"/>
  <c r="B31" i="111"/>
  <c r="J37" i="111"/>
  <c r="I37" i="111"/>
  <c r="H37" i="111"/>
  <c r="E37" i="111"/>
  <c r="J36" i="111"/>
  <c r="I36" i="111"/>
  <c r="F36" i="111"/>
  <c r="E36" i="111"/>
  <c r="B36" i="111"/>
  <c r="K35" i="111"/>
  <c r="I35" i="111"/>
  <c r="H35" i="111"/>
  <c r="G35" i="111"/>
  <c r="E35" i="111"/>
  <c r="D35" i="111"/>
  <c r="C35" i="111"/>
  <c r="R26" i="111"/>
  <c r="K38" i="111"/>
  <c r="G38" i="111"/>
  <c r="C38" i="111"/>
  <c r="B38" i="111"/>
  <c r="R22" i="111"/>
  <c r="K39" i="111"/>
  <c r="I39" i="111"/>
  <c r="E39" i="111"/>
  <c r="R2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3"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F122" i="107"/>
  <c r="W121" i="107"/>
  <c r="O121" i="107"/>
  <c r="V120" i="107"/>
  <c r="S120" i="107"/>
  <c r="G120" i="107"/>
  <c r="U119" i="107"/>
  <c r="A119" i="107"/>
  <c r="W115" i="107"/>
  <c r="O115" i="107"/>
  <c r="V114" i="107"/>
  <c r="S114" i="107"/>
  <c r="G114" i="107"/>
  <c r="U113" i="107"/>
  <c r="A113" i="107"/>
  <c r="U112" i="107"/>
  <c r="A112" i="107"/>
  <c r="J108"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S146" i="107" s="1"/>
  <c r="P41" i="107"/>
  <c r="M41" i="107"/>
  <c r="J41" i="107"/>
  <c r="G41" i="107"/>
  <c r="G43" i="107" s="1"/>
  <c r="F39" i="107"/>
  <c r="E38"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G146" i="107" s="1"/>
  <c r="J176" i="107" s="1"/>
  <c r="J178" i="107" s="1"/>
  <c r="J180" i="107" s="1"/>
  <c r="W19" i="107"/>
  <c r="O19" i="107"/>
  <c r="V18" i="107"/>
  <c r="V146" i="107" s="1"/>
  <c r="S18" i="107"/>
  <c r="P18" i="107"/>
  <c r="P146" i="107" s="1"/>
  <c r="P162" i="107" s="1"/>
  <c r="P164" i="107" s="1"/>
  <c r="P166" i="107" s="1"/>
  <c r="M18" i="107"/>
  <c r="M146" i="107" s="1"/>
  <c r="M162" i="107" s="1"/>
  <c r="M164" i="107" s="1"/>
  <c r="M166" i="107" s="1"/>
  <c r="J18" i="107"/>
  <c r="J146" i="107" s="1"/>
  <c r="J162" i="107" s="1"/>
  <c r="J164" i="107" s="1"/>
  <c r="J166" i="107" s="1"/>
  <c r="G18" i="107"/>
  <c r="U17" i="107"/>
  <c r="A17" i="107"/>
  <c r="U16" i="107"/>
  <c r="A16" i="107"/>
  <c r="U15" i="107"/>
  <c r="A15" i="107"/>
  <c r="W8" i="107"/>
  <c r="O8" i="107"/>
  <c r="V6" i="107"/>
  <c r="P52" i="106"/>
  <c r="I60" i="106"/>
  <c r="I62" i="106" s="1"/>
  <c r="P47" i="106" s="1"/>
  <c r="N52" i="106"/>
  <c r="N51" i="106"/>
  <c r="P45" i="106"/>
  <c r="P43" i="106"/>
  <c r="P42" i="106"/>
  <c r="P41" i="106"/>
  <c r="P40" i="106"/>
  <c r="S37" i="106"/>
  <c r="L35" i="106"/>
  <c r="L33" i="106"/>
  <c r="S19" i="106"/>
  <c r="S4" i="106"/>
  <c r="K29" i="105"/>
  <c r="AV432" i="112" l="1"/>
  <c r="O1317" i="121"/>
  <c r="AV436" i="112"/>
  <c r="O1395" i="121"/>
  <c r="L1395" i="121" s="1"/>
  <c r="AZ437" i="112"/>
  <c r="P1414" i="121"/>
  <c r="Q670" i="121"/>
  <c r="O663" i="121"/>
  <c r="O664"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B39" i="111"/>
  <c r="C55" i="100"/>
  <c r="D41" i="107"/>
  <c r="AD125" i="107"/>
  <c r="AD127" i="107" s="1"/>
  <c r="AD122" i="107"/>
  <c r="AD124" i="107" s="1"/>
  <c r="A2" i="107"/>
  <c r="W2" i="107" s="1"/>
  <c r="A3" i="118"/>
  <c r="A2" i="111"/>
  <c r="N2" i="111" s="1"/>
  <c r="A2" i="106"/>
  <c r="S2" i="106" s="1"/>
  <c r="A1" i="114"/>
  <c r="A2" i="110"/>
  <c r="T2" i="110" s="1"/>
  <c r="N29" i="105"/>
  <c r="A1" i="120"/>
  <c r="A1" i="113"/>
  <c r="A1" i="112"/>
  <c r="Q224" i="110"/>
  <c r="R23" i="111"/>
  <c r="F35" i="111"/>
  <c r="J35" i="111"/>
  <c r="F131" i="111"/>
  <c r="R28" i="111"/>
  <c r="R37" i="111"/>
  <c r="R25" i="111"/>
  <c r="R27"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AW435" i="112"/>
  <c r="K306" i="112"/>
  <c r="K1455" i="121" s="1"/>
  <c r="J303" i="112"/>
  <c r="BC427" i="112"/>
  <c r="AV435" i="112"/>
  <c r="P20" i="112"/>
  <c r="P1177" i="121" s="1"/>
  <c r="O100" i="112"/>
  <c r="AX431" i="112"/>
  <c r="AW431" i="112"/>
  <c r="AV431" i="112"/>
  <c r="BA435" i="112"/>
  <c r="AZ435" i="112"/>
  <c r="AJ456" i="112"/>
  <c r="O207" i="112"/>
  <c r="O212" i="112"/>
  <c r="K382" i="112"/>
  <c r="P239" i="112"/>
  <c r="K307" i="112"/>
  <c r="L265" i="112"/>
  <c r="AW437" i="112"/>
  <c r="AV437" i="112"/>
  <c r="K399" i="112"/>
  <c r="P350" i="112"/>
  <c r="O339" i="112"/>
  <c r="A123" i="110" s="1"/>
  <c r="P331" i="112"/>
  <c r="AZ442" i="112" s="1"/>
  <c r="S190" i="112"/>
  <c r="D12" i="112"/>
  <c r="E1167" i="121" s="1"/>
  <c r="G274" i="112"/>
  <c r="O350" i="112"/>
  <c r="O1499" i="121" s="1"/>
  <c r="O331" i="112"/>
  <c r="K286" i="112"/>
  <c r="R141" i="112"/>
  <c r="K387" i="112"/>
  <c r="BB425" i="112"/>
  <c r="AZ425" i="112"/>
  <c r="BA425" i="112"/>
  <c r="O78" i="112"/>
  <c r="O55" i="112" s="1"/>
  <c r="O1212" i="121" s="1"/>
  <c r="P100" i="112"/>
  <c r="AX429" i="112"/>
  <c r="AV429" i="112"/>
  <c r="AW429" i="112"/>
  <c r="AX430" i="112"/>
  <c r="AV430" i="112"/>
  <c r="AW430" i="112"/>
  <c r="P143" i="112"/>
  <c r="BB431" i="112"/>
  <c r="BA431" i="112"/>
  <c r="AZ431" i="112"/>
  <c r="AJ457" i="112"/>
  <c r="AZ436" i="112"/>
  <c r="BA436" i="112"/>
  <c r="J1532" i="121"/>
  <c r="AI456" i="112"/>
  <c r="O20" i="112"/>
  <c r="O1177" i="121" s="1"/>
  <c r="BB426" i="112"/>
  <c r="AZ426" i="112"/>
  <c r="BA426" i="112"/>
  <c r="AX427" i="112"/>
  <c r="AV427" i="112"/>
  <c r="AW427" i="112"/>
  <c r="BB429" i="112"/>
  <c r="BA429" i="112"/>
  <c r="AZ429" i="112"/>
  <c r="BB430" i="112"/>
  <c r="BA430" i="112"/>
  <c r="AZ430" i="112"/>
  <c r="P207" i="112"/>
  <c r="AJ449" i="112"/>
  <c r="AY425" i="112"/>
  <c r="AY427" i="112"/>
  <c r="AY429" i="112"/>
  <c r="AY431" i="112"/>
  <c r="AI458" i="112"/>
  <c r="L238" i="112"/>
  <c r="J378" i="112"/>
  <c r="AV433" i="112"/>
  <c r="AI457" i="112"/>
  <c r="AJ458" i="112"/>
  <c r="F14" i="111"/>
  <c r="E34" i="111"/>
  <c r="E38" i="111"/>
  <c r="I34" i="111"/>
  <c r="I38" i="111"/>
  <c r="R29" i="111"/>
  <c r="R30" i="111"/>
  <c r="D38" i="111"/>
  <c r="R40" i="111"/>
  <c r="C66" i="111"/>
  <c r="C70" i="111"/>
  <c r="G66" i="111"/>
  <c r="G70" i="111"/>
  <c r="K66" i="111"/>
  <c r="K70" i="111"/>
  <c r="R31" i="111"/>
  <c r="B70" i="111"/>
  <c r="D101" i="111"/>
  <c r="D98" i="111"/>
  <c r="H101" i="111"/>
  <c r="H98" i="111"/>
  <c r="R24" i="111"/>
  <c r="B34" i="111"/>
  <c r="J34" i="111"/>
  <c r="R36" i="111"/>
  <c r="H38" i="111"/>
  <c r="R39" i="111"/>
  <c r="R38" i="111"/>
  <c r="R32" i="111"/>
  <c r="R33" i="111"/>
  <c r="D66" i="111"/>
  <c r="D70" i="111"/>
  <c r="H66" i="111"/>
  <c r="H70" i="111"/>
  <c r="F70" i="111"/>
  <c r="E127" i="111"/>
  <c r="E131" i="111"/>
  <c r="R34" i="111"/>
  <c r="E70" i="111"/>
  <c r="I70" i="111"/>
  <c r="I66" i="111"/>
  <c r="J70" i="111"/>
  <c r="C97" i="111"/>
  <c r="R117" i="111"/>
  <c r="S117" i="111" s="1"/>
  <c r="G97" i="111"/>
  <c r="C131" i="111"/>
  <c r="E101" i="111"/>
  <c r="I101" i="111"/>
  <c r="B101" i="111"/>
  <c r="F101" i="111"/>
  <c r="J101" i="111"/>
  <c r="K156" i="110"/>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M49" i="110"/>
  <c r="M50" i="110" s="1"/>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E39" i="107"/>
  <c r="E41" i="107" s="1"/>
  <c r="F40" i="107"/>
  <c r="F37" i="107" s="1"/>
  <c r="F124" i="107"/>
  <c r="P51" i="106"/>
  <c r="P53" i="106" s="1"/>
  <c r="P310" i="112" l="1"/>
  <c r="P1364" i="121"/>
  <c r="J310" i="112"/>
  <c r="O1364" i="121"/>
  <c r="J1459" i="121" s="1"/>
  <c r="M115" i="110"/>
  <c r="P94" i="110"/>
  <c r="O121" i="110"/>
  <c r="O118" i="110"/>
  <c r="P167" i="110"/>
  <c r="P56" i="110"/>
  <c r="J25" i="95" s="1"/>
  <c r="N100" i="110"/>
  <c r="P162" i="110"/>
  <c r="P108" i="110"/>
  <c r="N121" i="110"/>
  <c r="N118" i="110"/>
  <c r="P114" i="110"/>
  <c r="M151" i="110"/>
  <c r="Q689" i="121"/>
  <c r="P671" i="121"/>
  <c r="O1524" i="121"/>
  <c r="K1524" i="121" s="1"/>
  <c r="J1527" i="121"/>
  <c r="Q27" i="112"/>
  <c r="Q1184" i="121"/>
  <c r="O310" i="112"/>
  <c r="O1459" i="121" s="1"/>
  <c r="L1459" i="121" s="1"/>
  <c r="E10" i="112"/>
  <c r="H183" i="110"/>
  <c r="H621" i="121" s="1"/>
  <c r="B15" i="111"/>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c r="AH449" i="112"/>
  <c r="K43" i="115"/>
  <c r="K38" i="115"/>
  <c r="K47" i="115"/>
  <c r="K42" i="115"/>
  <c r="K34" i="115"/>
  <c r="K50" i="115"/>
  <c r="BC424" i="112"/>
  <c r="BB424" i="112"/>
  <c r="BA424" i="112"/>
  <c r="AZ424" i="112"/>
  <c r="AV442" i="112"/>
  <c r="R331" i="112"/>
  <c r="J306" i="112"/>
  <c r="J1455" i="121" s="1"/>
  <c r="AX428" i="112"/>
  <c r="AW428" i="112"/>
  <c r="AV428" i="112"/>
  <c r="AY428" i="112"/>
  <c r="K380" i="112"/>
  <c r="AY424" i="112"/>
  <c r="AW424" i="112"/>
  <c r="AX424" i="112"/>
  <c r="AV424" i="112"/>
  <c r="BB428" i="112"/>
  <c r="AZ428" i="112"/>
  <c r="BA428" i="112"/>
  <c r="BC428" i="112"/>
  <c r="AV443" i="112"/>
  <c r="R339" i="112"/>
  <c r="AV444" i="112"/>
  <c r="AX444" i="112"/>
  <c r="AX426" i="112"/>
  <c r="AW426" i="112"/>
  <c r="AV426" i="112"/>
  <c r="AY426" i="112"/>
  <c r="AI449" i="112"/>
  <c r="AZ444" i="112"/>
  <c r="BB444" i="112"/>
  <c r="G14" i="111"/>
  <c r="Q165" i="110"/>
  <c r="Q603" i="121" s="1"/>
  <c r="P141" i="110"/>
  <c r="K152" i="110"/>
  <c r="P152" i="110" s="1"/>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83" i="110"/>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K375" i="112" l="1"/>
  <c r="J380" i="112"/>
  <c r="J1529" i="121" s="1"/>
  <c r="J1530" i="121"/>
  <c r="P303" i="112"/>
  <c r="P1459" i="121"/>
  <c r="Q166" i="110"/>
  <c r="Q604" i="121" s="1"/>
  <c r="P121" i="110"/>
  <c r="Q171" i="110"/>
  <c r="Q609" i="121" s="1"/>
  <c r="F57" i="89"/>
  <c r="F240" i="121"/>
  <c r="F241" i="121"/>
  <c r="P118" i="110"/>
  <c r="L310" i="112"/>
  <c r="O303" i="112"/>
  <c r="O1452" i="121" s="1"/>
  <c r="K1452" i="121" s="1"/>
  <c r="AF108" i="107"/>
  <c r="AD110" i="107"/>
  <c r="AF110" i="107" s="1"/>
  <c r="P151" i="110"/>
  <c r="C52" i="100"/>
  <c r="B16" i="111"/>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BB449" i="112"/>
  <c r="P407" i="112" s="1"/>
  <c r="AV438" i="112"/>
  <c r="O286" i="112"/>
  <c r="I286" i="112"/>
  <c r="AW438" i="112"/>
  <c r="AW449" i="112" s="1"/>
  <c r="E274" i="112"/>
  <c r="BC449" i="112"/>
  <c r="AY446" i="112"/>
  <c r="AY449" i="112" s="1"/>
  <c r="AX446" i="112"/>
  <c r="AX449" i="112" s="1"/>
  <c r="O407" i="112" s="1"/>
  <c r="I368" i="112"/>
  <c r="H14" i="111"/>
  <c r="G21" i="111"/>
  <c r="G15" i="111"/>
  <c r="Q167" i="110"/>
  <c r="Q605" i="121" s="1"/>
  <c r="P157" i="110"/>
  <c r="K65" i="110"/>
  <c r="P63" i="110"/>
  <c r="Q164" i="110"/>
  <c r="Q602" i="121" s="1"/>
  <c r="M76" i="110"/>
  <c r="K170" i="110"/>
  <c r="P168" i="110"/>
  <c r="Q163" i="110"/>
  <c r="Q601" i="121" s="1"/>
  <c r="P125" i="110"/>
  <c r="P131" i="110"/>
  <c r="P155" i="110"/>
  <c r="P111" i="110"/>
  <c r="P158" i="110"/>
  <c r="AZ439" i="112" l="1"/>
  <c r="P1435" i="121"/>
  <c r="AV439" i="112"/>
  <c r="O1435" i="121"/>
  <c r="P1452" i="121"/>
  <c r="AZ440" i="112"/>
  <c r="AJ459" i="112"/>
  <c r="M79" i="110"/>
  <c r="H7" i="100"/>
  <c r="M88" i="110"/>
  <c r="O85" i="110"/>
  <c r="N76" i="110"/>
  <c r="L73" i="110"/>
  <c r="N175" i="110"/>
  <c r="N613" i="121" s="1"/>
  <c r="N79" i="110"/>
  <c r="N88" i="110"/>
  <c r="N73" i="110"/>
  <c r="L82" i="110"/>
  <c r="L175" i="110"/>
  <c r="L613" i="121" s="1"/>
  <c r="P6" i="112"/>
  <c r="P1556" i="121"/>
  <c r="P1163" i="121" s="1"/>
  <c r="O6" i="112"/>
  <c r="O1556" i="121"/>
  <c r="O1163" i="121" s="1"/>
  <c r="AV440" i="112"/>
  <c r="K238" i="112"/>
  <c r="K303" i="112"/>
  <c r="J265" i="112"/>
  <c r="AI459" i="112"/>
  <c r="O82" i="110"/>
  <c r="O79" i="110"/>
  <c r="Q246" i="110"/>
  <c r="Q247" i="110" s="1"/>
  <c r="Q238" i="110"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AZ449" i="112"/>
  <c r="I14" i="111"/>
  <c r="H21" i="111"/>
  <c r="H15" i="111"/>
  <c r="H16" i="111"/>
  <c r="K172" i="110"/>
  <c r="P172" i="110" s="1"/>
  <c r="P170" i="110"/>
  <c r="P247" i="110"/>
  <c r="K67" i="110"/>
  <c r="P65" i="110"/>
  <c r="AV449" i="112" l="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16" i="111"/>
  <c r="Q239" i="110"/>
  <c r="N239" i="110"/>
  <c r="Q251" i="110"/>
  <c r="P67" i="110"/>
  <c r="K175" i="110"/>
  <c r="K613" i="121" s="1"/>
  <c r="K85" i="110"/>
  <c r="K73" i="110"/>
  <c r="K82" i="110"/>
  <c r="K70" i="110"/>
  <c r="K76" i="110"/>
  <c r="K79" i="110"/>
  <c r="K88" i="110"/>
  <c r="J105" i="112" l="1"/>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15" i="111"/>
  <c r="J16" i="111"/>
  <c r="I17" i="111"/>
  <c r="I20" i="111" s="1"/>
  <c r="K243" i="110"/>
  <c r="K244" i="110"/>
  <c r="K242" i="110"/>
  <c r="J115" i="110"/>
  <c r="K241" i="110"/>
  <c r="J118" i="110"/>
  <c r="K239" i="110"/>
  <c r="K240" i="110"/>
  <c r="J121" i="110"/>
  <c r="J50" i="110"/>
  <c r="J49" i="110"/>
  <c r="O226" i="110"/>
  <c r="P70" i="110"/>
  <c r="P73" i="110"/>
  <c r="P85" i="110"/>
  <c r="P233" i="110"/>
  <c r="P82" i="110"/>
  <c r="P79" i="110"/>
  <c r="P88" i="110"/>
  <c r="P76" i="110"/>
  <c r="D34" i="90"/>
  <c r="D33" i="90"/>
  <c r="D35" i="90"/>
  <c r="F53" i="89"/>
  <c r="H16" i="85"/>
  <c r="AF122" i="107" l="1"/>
  <c r="I25" i="111"/>
  <c r="B33" i="111"/>
  <c r="C9" i="86" s="1"/>
  <c r="B44" i="82"/>
  <c r="F25" i="111"/>
  <c r="G13" i="86"/>
  <c r="G25" i="111"/>
  <c r="H13" i="86"/>
  <c r="C25" i="111"/>
  <c r="D13" i="86"/>
  <c r="E25" i="111"/>
  <c r="F13" i="86"/>
  <c r="H25" i="111"/>
  <c r="I13" i="86"/>
  <c r="D25" i="111"/>
  <c r="E13" i="86"/>
  <c r="AF125" i="107"/>
  <c r="AH125" i="107" s="1"/>
  <c r="AH122" i="107"/>
  <c r="M74" i="112"/>
  <c r="O76" i="112"/>
  <c r="J74" i="112"/>
  <c r="S21" i="111"/>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1231" i="121" l="1"/>
  <c r="J1233" i="12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3" i="111" l="1"/>
  <c r="E29" i="86" s="1"/>
  <c r="K44" i="82"/>
  <c r="D9" i="86"/>
  <c r="S28" i="111"/>
  <c r="S23" i="111"/>
  <c r="S26" i="111"/>
  <c r="S25" i="111"/>
  <c r="S24" i="111"/>
  <c r="S27" i="111"/>
  <c r="S22" i="111"/>
  <c r="S29" i="111"/>
  <c r="D29" i="86"/>
  <c r="S30" i="111"/>
  <c r="B49" i="111"/>
  <c r="B52" i="111" s="1"/>
  <c r="B57" i="111" s="1"/>
  <c r="D46" i="111"/>
  <c r="C47" i="111"/>
  <c r="C53" i="111"/>
  <c r="C55" i="111"/>
  <c r="G33" i="86" s="1"/>
  <c r="C48" i="111"/>
  <c r="B65" i="111" l="1"/>
  <c r="F29" i="86" s="1"/>
  <c r="B64" i="82"/>
  <c r="S31" i="111"/>
  <c r="C49" i="111"/>
  <c r="C52" i="111" s="1"/>
  <c r="C57" i="111" s="1"/>
  <c r="E46" i="111"/>
  <c r="D47" i="111"/>
  <c r="D53" i="111"/>
  <c r="D55" i="111"/>
  <c r="H33" i="86" s="1"/>
  <c r="D48" i="111"/>
  <c r="C65" i="111" l="1"/>
  <c r="G29" i="86" s="1"/>
  <c r="C64" i="82"/>
  <c r="S32" i="111"/>
  <c r="D49" i="111"/>
  <c r="D52" i="111" s="1"/>
  <c r="D57" i="111" s="1"/>
  <c r="F46" i="111"/>
  <c r="E47" i="111"/>
  <c r="E55" i="111"/>
  <c r="I33" i="86" s="1"/>
  <c r="E53" i="111"/>
  <c r="E48" i="111"/>
  <c r="D65" i="111" l="1"/>
  <c r="H29" i="86" s="1"/>
  <c r="D64" i="82"/>
  <c r="S33" i="111"/>
  <c r="G46" i="111"/>
  <c r="F55" i="111"/>
  <c r="C53" i="86" s="1"/>
  <c r="F47" i="111"/>
  <c r="F53" i="111"/>
  <c r="F48" i="111"/>
  <c r="E49" i="111"/>
  <c r="E52" i="111" s="1"/>
  <c r="E57" i="111" s="1"/>
  <c r="V176" i="72"/>
  <c r="V177" i="72"/>
  <c r="E65" i="111" l="1"/>
  <c r="E64" i="82"/>
  <c r="H46" i="111"/>
  <c r="G47" i="111"/>
  <c r="G53" i="111"/>
  <c r="G55" i="111"/>
  <c r="D53" i="86" s="1"/>
  <c r="G48" i="111"/>
  <c r="F49" i="111"/>
  <c r="F52" i="111" s="1"/>
  <c r="F57" i="111" s="1"/>
  <c r="F65" i="111" l="1"/>
  <c r="C49" i="86" s="1"/>
  <c r="F64" i="82"/>
  <c r="S34" i="111"/>
  <c r="I29" i="86"/>
  <c r="S35" i="111"/>
  <c r="I46" i="111"/>
  <c r="H55" i="111"/>
  <c r="E53" i="86" s="1"/>
  <c r="H47" i="111"/>
  <c r="H53" i="111"/>
  <c r="H48" i="111"/>
  <c r="G49" i="111"/>
  <c r="G52" i="111" s="1"/>
  <c r="G57" i="111" s="1"/>
  <c r="G65" i="111" l="1"/>
  <c r="S36" i="111" s="1"/>
  <c r="G64" i="82"/>
  <c r="F47" i="106"/>
  <c r="J46" i="111"/>
  <c r="I47" i="111"/>
  <c r="I53" i="111"/>
  <c r="I55" i="111"/>
  <c r="F53" i="86" s="1"/>
  <c r="I48" i="111"/>
  <c r="H49" i="111"/>
  <c r="H52" i="111" s="1"/>
  <c r="H57" i="111" s="1"/>
  <c r="L47" i="106" l="1"/>
  <c r="L90" i="121" s="1"/>
  <c r="F90" i="121"/>
  <c r="H65" i="111"/>
  <c r="S37" i="111" s="1"/>
  <c r="H64" i="82"/>
  <c r="K46" i="111"/>
  <c r="J55" i="111"/>
  <c r="G53" i="86" s="1"/>
  <c r="J53" i="111"/>
  <c r="J47" i="111"/>
  <c r="J48" i="111"/>
  <c r="I49" i="111"/>
  <c r="I52" i="111" s="1"/>
  <c r="I57" i="111" s="1"/>
  <c r="I65" i="111" l="1"/>
  <c r="S38" i="111" s="1"/>
  <c r="I64" i="82"/>
  <c r="J49" i="111"/>
  <c r="J52" i="111" s="1"/>
  <c r="J57" i="111" s="1"/>
  <c r="B78" i="111"/>
  <c r="K53" i="111"/>
  <c r="K55" i="111"/>
  <c r="H53" i="86" s="1"/>
  <c r="K47" i="111"/>
  <c r="K48" i="111"/>
  <c r="I133" i="73"/>
  <c r="G59" i="93"/>
  <c r="G61" i="93"/>
  <c r="O138" i="72"/>
  <c r="J65" i="111" l="1"/>
  <c r="S39" i="111" s="1"/>
  <c r="J64" i="82"/>
  <c r="K49" i="111"/>
  <c r="K52" i="111" s="1"/>
  <c r="K57" i="111" s="1"/>
  <c r="C78" i="111"/>
  <c r="B85" i="111"/>
  <c r="B87" i="111"/>
  <c r="B79" i="111"/>
  <c r="B80" i="111"/>
  <c r="G62" i="93"/>
  <c r="G63" i="93"/>
  <c r="G58" i="93"/>
  <c r="G60" i="93"/>
  <c r="P47" i="72"/>
  <c r="P46" i="72"/>
  <c r="P45" i="72"/>
  <c r="K65" i="111" l="1"/>
  <c r="S40" i="111" s="1"/>
  <c r="K64" i="82"/>
  <c r="B81" i="111"/>
  <c r="B84" i="111" s="1"/>
  <c r="B89" i="111" s="1"/>
  <c r="B96" i="111" s="1"/>
  <c r="D78" i="111"/>
  <c r="C79" i="111"/>
  <c r="C87" i="111"/>
  <c r="C85" i="111"/>
  <c r="C80" i="111"/>
  <c r="AB57" i="72"/>
  <c r="AB58" i="72"/>
  <c r="AB59" i="72"/>
  <c r="AB60" i="72"/>
  <c r="AB61" i="72"/>
  <c r="Z56" i="72"/>
  <c r="AI35" i="72"/>
  <c r="AH35" i="72"/>
  <c r="AG35" i="72"/>
  <c r="AF35" i="72"/>
  <c r="AE35" i="72"/>
  <c r="AD35" i="72"/>
  <c r="E78" i="111" l="1"/>
  <c r="D79" i="111"/>
  <c r="D85" i="111"/>
  <c r="D87" i="111"/>
  <c r="D80" i="111"/>
  <c r="C81" i="111"/>
  <c r="C84" i="111" s="1"/>
  <c r="C89" i="111" s="1"/>
  <c r="C96" i="111" s="1"/>
  <c r="R344" i="72"/>
  <c r="D4" i="93"/>
  <c r="F78" i="111" l="1"/>
  <c r="E79" i="111"/>
  <c r="E85" i="111"/>
  <c r="E87" i="111"/>
  <c r="E80" i="111"/>
  <c r="D81" i="111"/>
  <c r="D84" i="111" s="1"/>
  <c r="D89" i="111" s="1"/>
  <c r="D96" i="111" s="1"/>
  <c r="D14" i="100"/>
  <c r="C148" i="90"/>
  <c r="C146" i="90"/>
  <c r="G132" i="90"/>
  <c r="D132" i="90"/>
  <c r="C132" i="90"/>
  <c r="E58" i="90"/>
  <c r="C58" i="90"/>
  <c r="C56" i="90"/>
  <c r="C8" i="90"/>
  <c r="E68" i="89"/>
  <c r="E29" i="89"/>
  <c r="E5" i="89"/>
  <c r="O6" i="86"/>
  <c r="F17" i="85"/>
  <c r="F15" i="85"/>
  <c r="D16" i="83"/>
  <c r="E81" i="111" l="1"/>
  <c r="E84" i="111" s="1"/>
  <c r="E89" i="111" s="1"/>
  <c r="E96"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81" i="111" l="1"/>
  <c r="F84" i="111" s="1"/>
  <c r="F89" i="111" s="1"/>
  <c r="F96"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81" i="111" l="1"/>
  <c r="G84" i="111" s="1"/>
  <c r="G89" i="111" s="1"/>
  <c r="G96" i="111" s="1"/>
  <c r="I78" i="111"/>
  <c r="H79" i="111"/>
  <c r="H85" i="111"/>
  <c r="H87" i="111"/>
  <c r="H80" i="111"/>
  <c r="E62" i="100"/>
  <c r="K37" i="100"/>
  <c r="C40" i="100"/>
  <c r="K35" i="100"/>
  <c r="K62" i="100"/>
  <c r="J78" i="111" l="1"/>
  <c r="I79" i="111"/>
  <c r="I85" i="111"/>
  <c r="I87" i="111"/>
  <c r="I80" i="111"/>
  <c r="H81" i="111"/>
  <c r="H84" i="111" s="1"/>
  <c r="H89" i="111" s="1"/>
  <c r="H96"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81" i="111" l="1"/>
  <c r="I84" i="111" s="1"/>
  <c r="I89" i="111" s="1"/>
  <c r="I96" i="111" s="1"/>
  <c r="K78" i="111"/>
  <c r="J87" i="111"/>
  <c r="J85" i="111"/>
  <c r="J79" i="111"/>
  <c r="J80" i="111"/>
  <c r="J81" i="111" l="1"/>
  <c r="J84" i="111" s="1"/>
  <c r="J89" i="111" s="1"/>
  <c r="J96" i="111" s="1"/>
  <c r="B108" i="111"/>
  <c r="K85" i="111"/>
  <c r="K87" i="111"/>
  <c r="K79" i="111"/>
  <c r="K80" i="111"/>
  <c r="F18" i="85"/>
  <c r="C108" i="111" l="1"/>
  <c r="B109" i="111"/>
  <c r="B117" i="111"/>
  <c r="B115" i="111"/>
  <c r="B110" i="111"/>
  <c r="K81" i="111"/>
  <c r="K84" i="111" s="1"/>
  <c r="K89" i="111" s="1"/>
  <c r="K96" i="111" s="1"/>
  <c r="E242" i="72"/>
  <c r="B111" i="111" l="1"/>
  <c r="B114" i="111" s="1"/>
  <c r="B119" i="111" s="1"/>
  <c r="B126" i="111" s="1"/>
  <c r="D108" i="111"/>
  <c r="C109" i="111"/>
  <c r="C117" i="111"/>
  <c r="C115" i="111"/>
  <c r="C110" i="111"/>
  <c r="Q295" i="72"/>
  <c r="Q298" i="72"/>
  <c r="Q94" i="72"/>
  <c r="Q312" i="72"/>
  <c r="Q311" i="72"/>
  <c r="E108" i="111" l="1"/>
  <c r="D115" i="111"/>
  <c r="D109" i="111"/>
  <c r="D117" i="111"/>
  <c r="D110" i="111"/>
  <c r="C111" i="111"/>
  <c r="C114" i="111" s="1"/>
  <c r="C119" i="111" s="1"/>
  <c r="C126" i="111" s="1"/>
  <c r="I91" i="72"/>
  <c r="D111" i="111" l="1"/>
  <c r="D114" i="111" s="1"/>
  <c r="D119" i="111" s="1"/>
  <c r="D126" i="111" s="1"/>
  <c r="F108" i="111"/>
  <c r="E109" i="111"/>
  <c r="E115" i="111"/>
  <c r="E117" i="111"/>
  <c r="E110" i="111"/>
  <c r="L285" i="72"/>
  <c r="F109" i="111" l="1"/>
  <c r="F117" i="111"/>
  <c r="F115" i="111"/>
  <c r="F110" i="111"/>
  <c r="E111" i="111"/>
  <c r="E114" i="111" s="1"/>
  <c r="E119" i="111" s="1"/>
  <c r="E126" i="111" s="1"/>
  <c r="Q339" i="73"/>
  <c r="H152" i="72"/>
  <c r="F111" i="111" l="1"/>
  <c r="F114" i="111" s="1"/>
  <c r="F119" i="111" s="1"/>
  <c r="F126" i="111" s="1"/>
  <c r="L184" i="72"/>
  <c r="L242" i="72" l="1"/>
  <c r="P225" i="72"/>
  <c r="R225" i="72"/>
  <c r="Q18" i="72"/>
  <c r="F31" i="72" l="1"/>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<sst xmlns="http://schemas.openxmlformats.org/spreadsheetml/2006/main" count="14110" uniqueCount="5140">
  <si>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</si>
  <si>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</si>
  <si>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</si>
  <si>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</si>
  <si>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</si>
  <si>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</si>
  <si>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</si>
  <si>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</si>
  <si>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</si>
  <si>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</si>
  <si>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</si>
  <si>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</si>
  <si>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</si>
  <si>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</si>
  <si>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</si>
  <si>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</si>
  <si>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</si>
  <si>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</si>
  <si>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</si>
  <si>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</si>
  <si>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</si>
  <si>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</si>
  <si>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</si>
  <si>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</si>
  <si>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</si>
  <si>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</si>
  <si>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</si>
  <si>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</si>
  <si>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</si>
  <si>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</si>
  <si>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</si>
  <si>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</si>
  <si>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</si>
  <si>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</si>
  <si>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</si>
  <si>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</si>
  <si>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</si>
  <si>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</si>
  <si>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</si>
  <si>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</si>
  <si>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</si>
  <si>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</si>
  <si>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</si>
  <si>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</si>
  <si>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</si>
  <si>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</si>
  <si>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</si>
  <si>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</si>
  <si>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</si>
  <si>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</si>
  <si>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</si>
  <si>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</si>
  <si>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</si>
  <si>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</si>
  <si>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</si>
  <si>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</si>
  <si>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</si>
  <si>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</si>
  <si>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</si>
  <si>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</si>
  <si>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</si>
  <si>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</si>
  <si>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</si>
  <si>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</si>
  <si>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</si>
  <si>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</si>
  <si>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</si>
  <si>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</si>
  <si>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</si>
  <si>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</si>
  <si>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</si>
  <si>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</si>
  <si>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</si>
  <si>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</si>
  <si>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</si>
  <si>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</si>
  <si>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</si>
  <si>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</si>
  <si>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</si>
  <si>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</si>
  <si>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</si>
  <si>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</si>
  <si>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</si>
  <si>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</si>
  <si>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</si>
  <si>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</si>
  <si>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</si>
  <si>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</si>
  <si>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</si>
  <si>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</si>
  <si>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</si>
  <si>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</si>
  <si>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</si>
  <si>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</si>
  <si>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</si>
  <si>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</si>
  <si>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</si>
  <si>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</si>
  <si>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</si>
  <si>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</si>
  <si>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</si>
  <si>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</si>
  <si>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</si>
  <si>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</si>
  <si>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</si>
  <si>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</si>
  <si>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</si>
  <si>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</si>
  <si>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</si>
  <si>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</si>
  <si>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</si>
  <si>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</si>
  <si>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</si>
  <si>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</si>
  <si>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</si>
  <si>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</si>
  <si>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</si>
  <si>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</si>
  <si>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</si>
  <si>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</si>
  <si>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</si>
  <si>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</si>
  <si>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</si>
  <si>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</si>
  <si>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</si>
  <si>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</si>
  <si>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</si>
  <si>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</si>
  <si>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</si>
  <si>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</si>
  <si>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</si>
  <si>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</si>
  <si>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</si>
  <si>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</si>
  <si>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</si>
  <si>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</si>
  <si>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</si>
  <si>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</si>
  <si>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</si>
  <si>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</si>
  <si>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</si>
  <si>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</si>
  <si>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</si>
  <si>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</si>
  <si>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</si>
  <si>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</si>
  <si>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</si>
  <si>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</si>
  <si>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</si>
  <si>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</si>
  <si>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</si>
  <si>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</si>
  <si>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</si>
  <si>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</si>
  <si>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</si>
  <si>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</si>
  <si>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</si>
  <si>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</si>
  <si>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</si>
  <si>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</si>
  <si>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</si>
  <si>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</si>
  <si>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</si>
  <si>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</si>
  <si>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</si>
  <si>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</si>
  <si>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</si>
  <si>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</si>
  <si>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</si>
  <si>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</si>
  <si>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</si>
  <si>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</si>
  <si>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</si>
  <si>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</si>
  <si>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</si>
  <si>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</si>
  <si>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</si>
  <si>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</si>
  <si>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</si>
  <si>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</si>
  <si>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</si>
  <si>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</si>
  <si>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</si>
  <si>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</si>
  <si>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</si>
  <si>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</si>
  <si>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</si>
  <si>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</si>
  <si>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</si>
  <si>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</si>
  <si>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</si>
  <si>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</si>
  <si>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</si>
  <si>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</si>
  <si>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</si>
  <si>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</si>
  <si>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</si>
  <si>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</si>
  <si>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</si>
  <si>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</si>
  <si>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</si>
  <si>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</si>
  <si>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</si>
  <si>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</si>
  <si>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</si>
  <si>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</si>
  <si>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</si>
  <si>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</si>
  <si>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</si>
  <si>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</si>
  <si>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</si>
  <si>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</si>
  <si>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</si>
  <si>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</si>
  <si>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</si>
  <si>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</si>
  <si>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</si>
  <si>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</si>
  <si>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</si>
  <si>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</si>
  <si>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</si>
  <si>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</si>
  <si>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</si>
  <si>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</si>
  <si>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</si>
  <si>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</si>
  <si>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</si>
  <si>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</si>
  <si>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</si>
  <si>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</si>
  <si>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</si>
  <si>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</si>
  <si>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</si>
  <si>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</si>
  <si>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</si>
  <si>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</si>
  <si>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</si>
  <si>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</si>
  <si>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</si>
  <si>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</si>
  <si>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</si>
  <si>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</si>
  <si>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</si>
  <si>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</si>
  <si>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</si>
  <si>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</si>
  <si>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</si>
  <si>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</si>
  <si>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</si>
  <si>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</si>
  <si>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</si>
  <si>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</si>
  <si>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</si>
  <si>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</si>
  <si>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</si>
  <si>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</si>
  <si>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</si>
  <si>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</si>
  <si>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</si>
  <si>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</si>
  <si>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</si>
  <si>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</si>
  <si>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</si>
  <si>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</si>
  <si>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</si>
  <si>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</si>
  <si>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</si>
  <si>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</si>
  <si>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</si>
  <si>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</si>
  <si>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</si>
  <si>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</si>
  <si>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</si>
  <si>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</si>
  <si>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</si>
  <si>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</si>
  <si>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</si>
  <si>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</si>
  <si>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</si>
  <si>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</si>
  <si>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</si>
  <si>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</si>
  <si>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</si>
  <si>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</si>
  <si>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</si>
  <si>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</si>
  <si>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</si>
  <si>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</si>
  <si>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</si>
  <si>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</si>
  <si>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</si>
  <si>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</si>
  <si>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</si>
  <si>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</si>
  <si>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</si>
  <si>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</si>
  <si>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</si>
  <si>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</si>
  <si>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</si>
  <si>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</si>
  <si>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</si>
  <si>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</si>
  <si>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</si>
  <si>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</si>
  <si>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</si>
  <si>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</si>
  <si>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</si>
  <si>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</si>
  <si>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</si>
  <si>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</si>
  <si>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</si>
  <si>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</si>
  <si>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</si>
  <si>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</si>
  <si>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</si>
  <si>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</si>
  <si>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</si>
  <si>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</si>
  <si>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</si>
  <si>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</si>
  <si>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</si>
  <si>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</si>
  <si>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</si>
  <si>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</si>
  <si>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</si>
  <si>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</si>
  <si>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</si>
  <si>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</si>
  <si>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</si>
  <si>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</si>
  <si>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</si>
  <si>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</si>
  <si>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</si>
  <si>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</si>
  <si>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</si>
  <si>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</si>
  <si>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</si>
  <si>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</si>
  <si>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</si>
  <si>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</si>
  <si>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</si>
  <si>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</si>
  <si>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</si>
  <si>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</si>
  <si>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</si>
  <si>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</si>
  <si>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</si>
  <si>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</si>
  <si>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</si>
  <si>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</si>
  <si>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</si>
  <si>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</si>
  <si>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</si>
  <si>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</si>
  <si>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</si>
  <si>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</si>
  <si>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</si>
  <si>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</si>
  <si>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</si>
  <si>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</si>
  <si>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</si>
  <si>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</si>
  <si>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</si>
  <si>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</si>
  <si>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</si>
  <si>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</si>
  <si>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</si>
  <si>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</si>
  <si>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</si>
  <si>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</si>
  <si>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</si>
  <si>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</si>
  <si>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</si>
  <si>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</si>
  <si>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</si>
  <si>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</si>
  <si>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</si>
  <si>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</si>
  <si>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</si>
  <si>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</si>
  <si>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</si>
  <si>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</si>
  <si>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</si>
  <si>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</si>
  <si>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</si>
  <si>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</si>
  <si>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</si>
  <si>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</si>
  <si>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</si>
  <si>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</si>
  <si>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</si>
  <si>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</si>
  <si>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</si>
  <si>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</si>
  <si>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</si>
  <si>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</si>
  <si>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</si>
  <si>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</si>
  <si>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</si>
  <si>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</si>
  <si>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</si>
  <si>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</si>
  <si>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</si>
  <si>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</si>
  <si>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</si>
  <si>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</si>
  <si>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</si>
  <si>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</si>
  <si>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</si>
  <si>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</si>
  <si>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</si>
  <si>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</si>
  <si>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</si>
  <si>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</si>
  <si>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</si>
  <si>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</si>
  <si>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</si>
  <si>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</si>
  <si>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</si>
  <si>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</si>
  <si>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</si>
  <si>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</si>
  <si>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</si>
  <si>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</si>
  <si>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</si>
  <si>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</si>
  <si>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</si>
  <si>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</si>
  <si>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</si>
  <si>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</si>
  <si>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</si>
  <si>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</si>
  <si>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</si>
  <si>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</si>
  <si>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</si>
  <si>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</si>
  <si>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</si>
  <si>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</si>
  <si>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</si>
  <si>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</si>
  <si>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</si>
  <si>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</si>
  <si>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</si>
  <si>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</si>
  <si>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</si>
  <si>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</si>
  <si>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</si>
  <si>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</si>
  <si>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</si>
  <si>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</si>
  <si>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</si>
  <si>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</si>
  <si>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</si>
  <si>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</si>
  <si>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</si>
  <si>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</si>
  <si>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</si>
  <si>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</si>
  <si>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</si>
  <si>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</si>
  <si>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</si>
  <si>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</si>
  <si>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</si>
  <si>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</si>
  <si>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</si>
  <si>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</si>
  <si>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</si>
  <si>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</si>
  <si>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</si>
  <si>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</si>
  <si>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</si>
  <si>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</si>
  <si>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</si>
  <si>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</si>
  <si>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</si>
  <si>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</si>
  <si>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</si>
  <si>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</si>
  <si>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</si>
  <si>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</si>
  <si>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</si>
  <si>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</si>
  <si>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</si>
  <si>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</si>
  <si>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</si>
  <si>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</si>
  <si>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</si>
  <si>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</si>
  <si>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</si>
  <si>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</si>
  <si>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</si>
  <si>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</si>
  <si>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</si>
  <si>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</si>
  <si>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</si>
  <si>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</si>
  <si>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</si>
  <si>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</si>
  <si>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</si>
  <si>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</si>
  <si>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</si>
  <si>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</si>
  <si>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</si>
  <si>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</si>
  <si>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</si>
  <si>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</si>
  <si>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</si>
  <si>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</si>
  <si>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</si>
  <si>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</si>
  <si>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</si>
  <si>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</si>
  <si>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</si>
  <si>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</si>
  <si>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</si>
  <si>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</si>
  <si>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</si>
  <si>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</si>
  <si>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</si>
  <si>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</si>
  <si>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</si>
  <si>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</si>
  <si>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</si>
  <si>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</si>
  <si>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</si>
  <si>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</si>
  <si>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</si>
  <si>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</si>
  <si>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</si>
  <si>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</si>
  <si>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</si>
  <si>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</si>
  <si>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</si>
  <si>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</si>
  <si>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</si>
  <si>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</si>
  <si>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</si>
  <si>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</si>
  <si>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</si>
  <si>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</si>
  <si>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</si>
  <si>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</si>
  <si>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</si>
  <si>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</si>
  <si>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</si>
  <si>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</si>
  <si>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</si>
  <si>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</si>
  <si>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</si>
  <si>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</si>
  <si>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</si>
  <si>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</si>
  <si>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</si>
  <si>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</si>
  <si>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</si>
  <si>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</si>
  <si>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</si>
  <si>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</si>
  <si>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</si>
  <si>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</si>
  <si>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</si>
  <si>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</si>
  <si>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</si>
  <si>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</si>
  <si>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</si>
  <si>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</si>
  <si>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</si>
  <si>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</si>
  <si>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</si>
  <si>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</si>
  <si>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</si>
  <si>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</si>
  <si>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</si>
  <si>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</si>
  <si>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</si>
  <si>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</si>
  <si>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</si>
  <si>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</si>
  <si>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</si>
  <si>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</si>
  <si>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</si>
  <si>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</si>
  <si>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</si>
  <si>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</si>
  <si>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</si>
  <si>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</si>
  <si>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</si>
  <si>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</si>
  <si>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</si>
  <si>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</si>
  <si>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</si>
  <si>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</si>
  <si>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</si>
  <si>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</si>
  <si>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</si>
  <si>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</si>
  <si>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</si>
  <si>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</si>
  <si>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</si>
  <si>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</si>
  <si>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</si>
  <si>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</si>
  <si>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</si>
  <si>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</si>
  <si>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</si>
  <si>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</si>
  <si>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</si>
  <si>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</si>
  <si>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</si>
  <si>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</si>
  <si>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</si>
  <si>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</si>
  <si>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</si>
  <si>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</si>
  <si>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</si>
  <si>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</si>
  <si>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</si>
  <si>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</si>
  <si>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</si>
  <si>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</si>
  <si>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</si>
  <si>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</si>
  <si>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</si>
  <si>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</si>
  <si>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</si>
  <si>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</si>
  <si>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</si>
  <si>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</si>
  <si>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</si>
  <si>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</si>
  <si>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</si>
  <si>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</si>
  <si>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</si>
  <si>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</si>
  <si>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</si>
  <si>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</si>
  <si>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</si>
  <si>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</si>
  <si>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</si>
  <si>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</si>
  <si>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</si>
  <si>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</si>
  <si>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</si>
  <si>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</si>
  <si>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</si>
  <si>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</si>
  <si>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</si>
  <si>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</si>
  <si>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</si>
  <si>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</si>
  <si>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</si>
  <si>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</si>
  <si>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</si>
  <si>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</si>
  <si>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</si>
  <si>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</si>
  <si>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</si>
  <si>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</si>
  <si>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</si>
  <si>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</si>
  <si>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</si>
  <si>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</si>
  <si>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</si>
  <si>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</si>
  <si>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</si>
  <si>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</si>
  <si>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</si>
  <si>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</si>
  <si>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</si>
  <si>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</si>
  <si>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</si>
  <si>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</si>
  <si>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</si>
  <si>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</si>
  <si>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</si>
  <si>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</si>
  <si>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</si>
  <si>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</si>
  <si>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</si>
  <si>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</si>
  <si>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</si>
  <si>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</si>
  <si>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</si>
  <si>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</si>
  <si>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</si>
  <si>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</si>
  <si>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</si>
  <si>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</si>
  <si>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</si>
  <si>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</si>
  <si>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</si>
  <si>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</si>
  <si>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</si>
  <si>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</si>
  <si>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</si>
  <si>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</si>
  <si>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</si>
  <si>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</si>
  <si>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</si>
  <si>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</si>
  <si>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</si>
  <si>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</si>
  <si>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</si>
  <si>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</si>
  <si>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</si>
  <si>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</si>
  <si>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</si>
  <si>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</si>
  <si>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</si>
  <si>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</si>
  <si>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</si>
  <si>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</si>
  <si>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</si>
  <si>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</si>
  <si>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</si>
  <si>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</si>
  <si>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</si>
  <si>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</si>
  <si>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</si>
  <si>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</si>
  <si>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</si>
  <si>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</si>
  <si>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</si>
  <si>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</si>
  <si>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</si>
  <si>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</si>
  <si>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</si>
  <si>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</si>
  <si>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</si>
  <si>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</si>
  <si>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</si>
  <si>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</si>
  <si>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</si>
  <si>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</si>
  <si>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</si>
  <si>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</si>
  <si>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</si>
  <si>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</si>
  <si>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</si>
  <si>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</si>
  <si>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</si>
  <si>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</si>
  <si>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</si>
  <si>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</si>
  <si>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</si>
  <si>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</si>
  <si>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</si>
  <si>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</si>
  <si>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</si>
  <si>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</si>
  <si>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</si>
  <si>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</si>
  <si>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</si>
  <si>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</si>
  <si>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</si>
  <si>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</si>
  <si>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</si>
  <si>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</si>
  <si>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</si>
  <si>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</si>
  <si>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</si>
  <si>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</si>
  <si>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</si>
  <si>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</si>
  <si>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</si>
  <si>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</si>
  <si>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</si>
  <si>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</si>
  <si>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</si>
  <si>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</si>
  <si>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</si>
  <si>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</si>
  <si>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</si>
  <si>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</si>
  <si>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</si>
  <si>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</si>
  <si>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</si>
  <si>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</si>
  <si>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</si>
  <si>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</si>
  <si>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</si>
  <si>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</si>
  <si>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</si>
  <si>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</si>
  <si>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</si>
  <si>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</si>
  <si>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</si>
  <si>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</si>
  <si>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</si>
  <si>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</si>
  <si>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</si>
  <si>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</si>
  <si>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</si>
  <si>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</si>
  <si>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</si>
  <si>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</si>
  <si>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</si>
  <si>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</si>
  <si>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</si>
  <si>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</si>
  <si>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</si>
  <si>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</si>
  <si>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</si>
  <si>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</si>
  <si>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</si>
  <si>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</si>
  <si>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</si>
  <si>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</si>
  <si>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</si>
  <si>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</si>
  <si>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</si>
  <si>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</si>
  <si>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</si>
  <si>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</si>
  <si>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</si>
  <si>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</si>
  <si>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</si>
  <si>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</si>
  <si>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</si>
  <si>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</si>
  <si>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</si>
  <si>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</si>
  <si>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</si>
  <si>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</si>
  <si>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</si>
  <si>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</si>
  <si>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</si>
  <si>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</si>
  <si>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</si>
  <si>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</si>
  <si>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</si>
  <si>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</si>
  <si>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</si>
  <si>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</si>
  <si>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</si>
  <si>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</si>
  <si>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</si>
  <si>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</si>
  <si>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</si>
  <si>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</si>
  <si>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</si>
  <si>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</si>
  <si>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</si>
  <si>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</si>
  <si>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</si>
  <si>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</si>
  <si>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</si>
  <si>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</si>
  <si>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</si>
  <si>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</si>
  <si>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</si>
  <si>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</si>
  <si>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</si>
  <si>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</si>
  <si>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</si>
  <si>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</si>
  <si>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</si>
  <si>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</si>
  <si>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</si>
  <si>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</si>
  <si>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</si>
  <si>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</si>
  <si>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</si>
  <si>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</si>
  <si>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</si>
  <si>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</si>
  <si>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</si>
  <si>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</si>
  <si>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</si>
  <si>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</si>
  <si>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</si>
  <si>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</si>
  <si>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</si>
  <si>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</si>
  <si>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</si>
  <si>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</si>
  <si>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</si>
  <si>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</si>
  <si>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</si>
  <si>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</si>
  <si>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</si>
  <si>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</si>
  <si>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</si>
  <si>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</si>
  <si>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</si>
  <si>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</si>
  <si>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</si>
  <si>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</si>
  <si>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</si>
  <si>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</si>
  <si>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</si>
  <si>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</si>
  <si>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</si>
  <si>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</si>
  <si>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</si>
  <si>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</si>
  <si>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</si>
  <si>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</si>
  <si>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</si>
  <si>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</si>
  <si>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</si>
  <si>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</si>
  <si>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</si>
  <si>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</si>
  <si>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</si>
  <si>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</si>
  <si>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</si>
  <si>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</si>
  <si>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</si>
  <si>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</si>
  <si>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</si>
  <si>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</si>
  <si>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</si>
  <si>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</si>
  <si>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</si>
  <si>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</si>
  <si>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</si>
  <si>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</si>
  <si>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</si>
  <si>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</si>
  <si>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</si>
  <si>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</si>
  <si>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</si>
  <si>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</si>
  <si>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</si>
  <si>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</si>
  <si>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</si>
  <si>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</si>
  <si>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</si>
  <si>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</si>
  <si>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</si>
  <si>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</si>
  <si>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</si>
  <si>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</si>
  <si>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</si>
  <si>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</si>
  <si>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</si>
  <si>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</si>
  <si>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</si>
  <si>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</si>
  <si>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</si>
  <si>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</si>
  <si>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</si>
  <si>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</si>
  <si>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</si>
  <si>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</si>
  <si>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</si>
  <si>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</si>
  <si>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</si>
  <si>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</si>
  <si>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</si>
  <si>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</si>
  <si>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</si>
  <si>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</si>
  <si>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</si>
  <si>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</si>
  <si>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</si>
  <si>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</si>
  <si>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</si>
  <si>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</si>
  <si>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</si>
  <si>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</si>
  <si>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</si>
  <si>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</si>
  <si>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</si>
  <si>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</si>
  <si>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</si>
  <si>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</si>
  <si>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</si>
  <si>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</si>
  <si>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</si>
  <si>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</si>
  <si>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</si>
  <si>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</si>
  <si>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</si>
  <si>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</si>
  <si>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</si>
  <si>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</si>
  <si>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</si>
  <si>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</si>
  <si>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</si>
  <si>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</si>
  <si>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</si>
  <si>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</si>
  <si>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</si>
  <si>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</si>
  <si>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</si>
  <si>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</si>
  <si>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</si>
  <si>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</si>
  <si>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</si>
  <si>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</si>
  <si>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</si>
  <si>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</si>
  <si>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</si>
  <si>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</si>
  <si>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</si>
  <si>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</si>
  <si>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</si>
  <si>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</si>
  <si>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</si>
  <si>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</si>
  <si>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</si>
  <si>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</si>
  <si>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</si>
  <si>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</si>
  <si>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</si>
  <si>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</si>
  <si>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</si>
  <si>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</si>
  <si>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</si>
  <si>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</si>
  <si>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</si>
  <si>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</si>
  <si>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</si>
  <si>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</si>
  <si>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</si>
  <si>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</si>
  <si>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</si>
  <si>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</si>
  <si>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</si>
  <si>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</si>
  <si>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</si>
  <si>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</si>
  <si>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</si>
  <si>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</si>
  <si>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</si>
  <si>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</si>
  <si>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</si>
  <si>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</si>
  <si>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</si>
  <si>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</si>
  <si>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</si>
  <si>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</si>
  <si>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</si>
  <si>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</si>
  <si>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</si>
  <si>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</si>
  <si>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</si>
  <si>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</si>
  <si>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</si>
  <si>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</si>
  <si>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</si>
  <si>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</si>
  <si>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</si>
  <si>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</si>
  <si>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</si>
  <si>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</si>
  <si>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</si>
  <si>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</si>
  <si>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</si>
  <si>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</si>
  <si>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</si>
  <si>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</si>
  <si>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</si>
  <si>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</si>
  <si>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</si>
  <si>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</si>
  <si>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</si>
  <si>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</si>
  <si>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</si>
  <si>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</si>
  <si>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</si>
  <si>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</si>
  <si>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</si>
  <si>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</si>
  <si>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</si>
  <si>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</si>
  <si>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</si>
  <si>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</si>
  <si>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</si>
  <si>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</si>
  <si>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</si>
  <si>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</si>
  <si>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</si>
  <si>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</si>
  <si>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</si>
  <si>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</si>
  <si>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</si>
  <si>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</si>
  <si>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</si>
  <si>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</si>
  <si>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</si>
  <si>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</si>
  <si>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</si>
  <si>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</si>
  <si>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</si>
  <si>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</si>
  <si>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</si>
  <si>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</si>
  <si>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</si>
  <si>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</si>
  <si>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</si>
  <si>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</si>
  <si>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</si>
  <si>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</si>
  <si>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</si>
  <si>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</si>
  <si>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</si>
  <si>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</si>
  <si>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</si>
  <si>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</si>
  <si>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</si>
  <si>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</si>
  <si>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</si>
  <si>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</si>
  <si>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</si>
  <si>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</si>
  <si>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</si>
  <si>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</si>
  <si>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</si>
  <si>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</si>
  <si>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</si>
  <si>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</si>
  <si>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</si>
  <si>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</si>
  <si>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</si>
  <si>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</si>
  <si>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</si>
  <si>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</si>
  <si>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</si>
  <si>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</si>
  <si>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</si>
  <si>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</si>
  <si>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</si>
  <si>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</si>
  <si>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</si>
  <si>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</si>
  <si>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</si>
  <si>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</si>
  <si>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</si>
  <si>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</si>
  <si>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</si>
  <si>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</si>
  <si>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</si>
  <si>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</si>
  <si>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</si>
  <si>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</si>
  <si>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</si>
  <si>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</si>
  <si>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</si>
  <si>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</si>
  <si>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</si>
  <si>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</si>
  <si>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</si>
  <si>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</si>
  <si>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</si>
  <si>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</si>
  <si>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</si>
  <si>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</si>
  <si>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</si>
  <si>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</si>
  <si>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</si>
  <si>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</si>
  <si>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</si>
  <si>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</si>
  <si>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</si>
  <si>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</si>
  <si>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</si>
  <si>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</si>
  <si>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</si>
  <si>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</si>
  <si>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</si>
  <si>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</si>
  <si>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</si>
  <si>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</si>
  <si>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</si>
  <si>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</si>
  <si>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</si>
  <si>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</si>
  <si>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</si>
  <si>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</si>
  <si>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</si>
  <si>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</si>
  <si>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</si>
  <si>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</si>
  <si>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</si>
  <si>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</si>
  <si>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</si>
  <si>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</si>
  <si>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</si>
  <si>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</si>
  <si>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</si>
  <si>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</si>
  <si>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</si>
  <si>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</si>
  <si>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</si>
  <si>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</si>
  <si>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</si>
  <si>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</si>
  <si>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</si>
  <si>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</si>
  <si>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</si>
  <si>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</si>
  <si>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</si>
  <si>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</si>
  <si>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</si>
  <si>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</si>
  <si>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</si>
  <si>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</si>
  <si>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</si>
  <si>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</si>
  <si>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</si>
  <si>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</si>
  <si>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</si>
  <si>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</si>
  <si>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</si>
  <si>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</si>
  <si>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</si>
  <si>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</si>
  <si>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</si>
  <si>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</si>
  <si>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</si>
  <si>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</si>
  <si>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</si>
  <si>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</si>
  <si>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</si>
  <si>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</si>
  <si>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</si>
  <si>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</si>
  <si>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</si>
  <si>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</si>
  <si>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</si>
  <si>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</si>
  <si>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</si>
  <si>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</si>
  <si>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</si>
  <si>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</si>
  <si>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</si>
  <si>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</si>
  <si>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</si>
  <si>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</si>
  <si>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</si>
  <si>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</si>
  <si>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</si>
  <si>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</si>
  <si>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</si>
  <si>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</si>
  <si>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</si>
  <si>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</si>
  <si>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</si>
  <si>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</si>
  <si>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</si>
  <si>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</si>
  <si>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</si>
  <si>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</si>
  <si>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</si>
  <si>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</si>
  <si>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</si>
  <si>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</si>
  <si>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</si>
  <si>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</si>
  <si>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</si>
  <si>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</si>
  <si>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</si>
  <si>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</si>
  <si>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</si>
  <si>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</si>
  <si>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</si>
  <si>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</si>
  <si>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</si>
  <si>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</si>
  <si>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</si>
  <si>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</si>
  <si>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</si>
  <si>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</si>
  <si>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</si>
  <si>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</si>
  <si>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</si>
  <si>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</si>
  <si>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</si>
  <si>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</si>
  <si>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</si>
  <si>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</si>
  <si>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</si>
  <si>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</si>
  <si>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</si>
  <si>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</si>
  <si>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</si>
  <si>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</si>
  <si>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</si>
  <si>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</si>
  <si>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</si>
  <si>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</si>
  <si>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</si>
  <si>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</si>
  <si>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</si>
  <si>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</si>
  <si>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</si>
  <si>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</si>
  <si>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</si>
  <si>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</si>
  <si>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</si>
  <si>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</si>
  <si>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</si>
  <si>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</si>
  <si>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</si>
  <si>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</si>
  <si>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</si>
  <si>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</si>
  <si>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</si>
  <si>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</si>
  <si>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</si>
  <si>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</si>
  <si>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</si>
  <si>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</si>
  <si>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</si>
  <si>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</si>
  <si>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</si>
  <si>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</si>
  <si>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</si>
  <si>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</si>
  <si>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</si>
  <si>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</si>
  <si>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</si>
  <si>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</si>
  <si>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</si>
  <si>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</si>
  <si>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</si>
  <si>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</si>
  <si>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</si>
  <si>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</si>
  <si>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</si>
  <si>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</si>
  <si>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</si>
  <si>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</si>
  <si>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</si>
  <si>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</si>
  <si>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</si>
  <si>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</si>
  <si>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</si>
  <si>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</si>
  <si>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</si>
  <si>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</si>
  <si>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</si>
  <si>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</si>
  <si>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</si>
  <si>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</si>
  <si>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</si>
  <si>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</si>
  <si>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</si>
  <si>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</si>
  <si>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</si>
  <si>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</si>
  <si>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</si>
  <si>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</si>
  <si>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</si>
  <si>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</si>
  <si>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</si>
  <si>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</si>
  <si>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</si>
  <si>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</si>
  <si>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</si>
  <si>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</si>
  <si>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</si>
  <si>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</si>
  <si>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</si>
  <si>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</si>
  <si>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</si>
  <si>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</si>
  <si>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</si>
  <si>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</si>
  <si>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</si>
  <si>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</si>
  <si>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</si>
  <si>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</si>
  <si>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</si>
  <si>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</si>
  <si>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</si>
  <si>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</si>
  <si>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</si>
  <si>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</si>
  <si>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</si>
  <si>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</si>
  <si>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</si>
  <si>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</si>
  <si>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</si>
  <si>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</si>
  <si>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</si>
  <si>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</si>
  <si>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</si>
  <si>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</si>
  <si>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</si>
  <si>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</si>
  <si>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</si>
  <si>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</si>
  <si>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</si>
  <si>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</si>
  <si>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</si>
  <si>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</si>
  <si>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</si>
  <si>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</si>
  <si>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</si>
  <si>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</si>
  <si>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</si>
  <si>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</si>
  <si>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</si>
  <si>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</si>
  <si>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</si>
  <si>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</si>
  <si>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</si>
  <si>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</si>
  <si>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</si>
  <si>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</si>
  <si>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</si>
  <si>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</si>
  <si>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</si>
  <si>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</si>
  <si>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</si>
  <si>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</si>
  <si>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</si>
  <si>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</si>
  <si>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</si>
  <si>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</si>
  <si>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</si>
  <si>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</si>
  <si>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</si>
  <si>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</si>
  <si>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</si>
  <si>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</si>
  <si>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</si>
  <si>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</si>
  <si>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</si>
  <si>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</si>
  <si>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</si>
  <si>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</si>
  <si>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</si>
  <si>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</si>
  <si>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</si>
  <si>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</si>
  <si>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</si>
  <si>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</si>
  <si>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</si>
  <si>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</si>
  <si>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</si>
  <si>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</si>
  <si>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</si>
  <si>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</si>
  <si>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</si>
  <si>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</si>
  <si>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</si>
  <si>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</si>
  <si>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</si>
  <si>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</si>
  <si>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</si>
  <si>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</si>
  <si>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</si>
  <si>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</si>
  <si>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</si>
  <si>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</si>
  <si>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</si>
  <si>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</si>
  <si>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</si>
  <si>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</si>
  <si>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</si>
  <si>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</si>
  <si>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</si>
  <si>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</si>
  <si>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</si>
  <si>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</si>
  <si>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</si>
  <si>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</si>
  <si>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</si>
  <si>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</si>
  <si>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</si>
  <si>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</si>
  <si>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</si>
  <si>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</si>
  <si>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</si>
  <si>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</si>
  <si>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</si>
  <si>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</si>
  <si>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</si>
  <si>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</si>
  <si>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</si>
  <si>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</si>
  <si>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</si>
  <si>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</si>
  <si>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</si>
  <si>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</si>
  <si>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</si>
  <si>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</si>
  <si>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</si>
  <si>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</si>
  <si>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</si>
  <si>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</si>
  <si>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</si>
  <si>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</si>
  <si>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</si>
  <si>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</si>
  <si>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</si>
  <si>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</si>
  <si>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</si>
  <si>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</si>
  <si>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</si>
  <si>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</si>
  <si>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</si>
  <si>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</si>
  <si>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</si>
  <si>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</si>
  <si>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</si>
  <si>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</si>
  <si>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</si>
  <si>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</si>
  <si>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</si>
  <si>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</si>
  <si>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</si>
  <si>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</si>
  <si>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</si>
  <si>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</si>
  <si>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</si>
  <si>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</si>
  <si>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</si>
  <si>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</si>
  <si>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</si>
  <si>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</si>
  <si>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</si>
  <si>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</si>
  <si>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</si>
  <si>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</si>
  <si>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</si>
  <si>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</si>
  <si>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</si>
  <si>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</si>
  <si>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</si>
  <si>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</si>
  <si>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</si>
  <si>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</si>
  <si>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</si>
  <si>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</si>
  <si>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</si>
  <si>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</si>
  <si>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</si>
  <si>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</si>
  <si>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</si>
  <si>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</si>
  <si>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</si>
  <si>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</si>
  <si>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</si>
  <si>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</si>
  <si>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</si>
  <si>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</si>
  <si>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</si>
  <si>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</si>
  <si>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</si>
  <si>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</si>
  <si>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</si>
  <si>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</si>
  <si>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</si>
  <si>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</si>
  <si>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</si>
  <si>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</si>
  <si>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</si>
  <si>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</si>
  <si>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</si>
  <si>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</si>
  <si>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</si>
  <si>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</si>
  <si>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</si>
  <si>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</si>
  <si>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</si>
  <si>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</si>
  <si>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</si>
  <si>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</si>
  <si>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</si>
  <si>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</si>
  <si>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</si>
  <si>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</si>
  <si>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</si>
  <si>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</si>
  <si>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</si>
  <si>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</si>
  <si>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</si>
  <si>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</si>
  <si>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</si>
  <si>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</si>
  <si>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</si>
  <si>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</si>
  <si>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</si>
  <si>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</si>
  <si>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</si>
  <si>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</si>
  <si>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</si>
  <si>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</si>
  <si>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</si>
  <si>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</si>
  <si>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</si>
  <si>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</si>
  <si>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</si>
  <si>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</si>
  <si>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</si>
  <si>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</si>
  <si>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</si>
  <si>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</si>
  <si>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</si>
  <si>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</si>
  <si>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</si>
  <si>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</si>
  <si>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</si>
  <si>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</si>
  <si>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</si>
  <si>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</si>
  <si>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</si>
  <si>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</si>
  <si>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</si>
  <si>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</si>
  <si>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</si>
  <si>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</si>
  <si>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</si>
  <si>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</si>
  <si>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</si>
  <si>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</si>
  <si>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</si>
  <si>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</si>
  <si>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</si>
  <si>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</si>
  <si>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</si>
  <si>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</si>
  <si>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</si>
  <si>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</si>
  <si>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</si>
  <si>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</si>
  <si>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</si>
  <si>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</si>
  <si>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</si>
  <si>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</si>
  <si>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</si>
  <si>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</si>
  <si>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</si>
  <si>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</si>
  <si>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</si>
  <si>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</si>
  <si>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</si>
  <si>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</si>
  <si>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</si>
  <si>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</si>
  <si>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</si>
  <si>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</si>
  <si>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</si>
  <si>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</si>
  <si>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</si>
  <si>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</si>
  <si>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</si>
  <si>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</si>
  <si>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</si>
  <si>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</si>
  <si>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</si>
  <si>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</si>
  <si>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</si>
  <si>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</si>
  <si>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</si>
  <si>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</si>
  <si>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</si>
  <si>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</si>
  <si>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</si>
  <si>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</si>
  <si>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</si>
  <si>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</si>
  <si>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</si>
  <si>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</si>
  <si>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</si>
  <si>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</si>
  <si>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</si>
  <si>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</si>
  <si>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</si>
  <si>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</si>
  <si>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</si>
  <si>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</si>
  <si>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</si>
  <si>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</si>
  <si>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</si>
  <si>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</si>
  <si>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</si>
  <si>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</si>
  <si>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</si>
  <si>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</si>
  <si>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</si>
  <si>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</si>
  <si>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</si>
  <si>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</si>
  <si>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</si>
  <si>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</si>
  <si>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</si>
  <si>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</si>
  <si>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</si>
  <si>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</si>
  <si>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</si>
  <si>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</si>
  <si>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</si>
  <si>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</si>
  <si>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</si>
  <si>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</si>
  <si>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</si>
  <si>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</si>
  <si>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</si>
  <si>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</si>
  <si>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</si>
  <si>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</si>
  <si>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</si>
  <si>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</si>
  <si>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</si>
  <si>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</si>
  <si>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</si>
  <si>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</si>
  <si>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</si>
  <si>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</si>
  <si>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</si>
  <si>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</si>
  <si>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</si>
  <si>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</si>
  <si>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</si>
  <si>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</si>
  <si>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</si>
  <si>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</si>
  <si>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</si>
  <si>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</si>
  <si>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</si>
  <si>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</si>
  <si>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</si>
  <si>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</si>
  <si>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</si>
  <si>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</si>
  <si>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</si>
  <si>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</si>
  <si>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</si>
  <si>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</si>
  <si>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</si>
  <si>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</si>
  <si>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</si>
  <si>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</si>
  <si>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</si>
  <si>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</si>
  <si>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</si>
  <si>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</si>
  <si>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</si>
  <si>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</si>
  <si>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</si>
  <si>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</si>
  <si>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</si>
  <si>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</si>
  <si>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</si>
  <si>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</si>
  <si>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</si>
  <si>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</si>
  <si>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</si>
  <si>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</si>
  <si>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</si>
  <si>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</si>
  <si>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</si>
  <si>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</si>
  <si>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</si>
  <si>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</si>
  <si>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</si>
  <si>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</si>
  <si>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</si>
  <si>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</si>
  <si>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</si>
  <si>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</si>
  <si>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</si>
  <si>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</si>
  <si>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</si>
  <si>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</si>
  <si>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</si>
  <si>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</si>
  <si>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</si>
  <si>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</si>
  <si>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</si>
  <si>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</si>
  <si>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</si>
  <si>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</si>
  <si>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</si>
  <si>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</si>
  <si>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</si>
  <si>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</si>
  <si>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</si>
  <si>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</si>
  <si>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</si>
  <si>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</si>
  <si>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</si>
  <si>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</si>
  <si>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</si>
  <si>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</si>
  <si>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</si>
  <si>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</si>
  <si>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</si>
  <si>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</si>
  <si>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</si>
  <si>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</si>
  <si>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</si>
  <si>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</si>
  <si>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</si>
  <si>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</si>
  <si>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</si>
  <si>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</si>
  <si>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</si>
  <si>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</si>
  <si>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</si>
  <si>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</si>
  <si>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</si>
  <si>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</si>
  <si>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</si>
  <si>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</si>
  <si>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</si>
  <si>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</si>
  <si>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</si>
  <si>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</si>
  <si>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</si>
  <si>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</si>
  <si>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</si>
  <si>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</si>
  <si>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</si>
  <si>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</si>
  <si>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</si>
  <si>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</si>
  <si>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</si>
  <si>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</si>
  <si>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</si>
  <si>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</si>
  <si>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</si>
  <si>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</si>
  <si>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</si>
  <si>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</si>
  <si>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</si>
  <si>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</si>
  <si>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</si>
  <si>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</si>
  <si>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</si>
  <si>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</si>
  <si>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</si>
  <si>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</si>
  <si>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</si>
  <si>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</si>
  <si>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</si>
  <si>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</si>
  <si>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</si>
  <si>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</si>
  <si>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</si>
  <si>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</si>
  <si>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</si>
  <si>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</si>
  <si>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</si>
  <si>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</si>
  <si>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</si>
  <si>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</si>
  <si>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</si>
  <si>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</si>
  <si>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</si>
  <si>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</si>
  <si>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</si>
  <si>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</si>
  <si>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</si>
  <si>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</si>
  <si>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</si>
  <si>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</si>
  <si>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</si>
  <si>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</si>
  <si>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</si>
  <si>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</si>
  <si>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</si>
  <si>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</si>
  <si>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</si>
  <si>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</si>
  <si>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</si>
  <si>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</si>
  <si>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</si>
  <si>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</si>
  <si>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</si>
  <si>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</si>
  <si>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</si>
  <si>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</si>
  <si>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</si>
  <si>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</si>
  <si>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</si>
  <si>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</si>
  <si>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</si>
  <si>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</si>
  <si>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</si>
  <si>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</si>
  <si>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</si>
  <si>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</si>
  <si>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</si>
  <si>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</si>
  <si>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</si>
  <si>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</si>
  <si>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</si>
  <si>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</si>
  <si>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</si>
  <si>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</si>
  <si>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</si>
  <si>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</si>
  <si>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</si>
  <si>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</si>
  <si>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</si>
  <si>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</si>
  <si>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</si>
  <si>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</si>
  <si>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</si>
  <si>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</si>
  <si>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</si>
  <si>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</si>
  <si>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</si>
  <si>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</si>
  <si>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</si>
  <si>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</si>
  <si>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</si>
  <si>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</si>
  <si>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</si>
  <si>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</si>
  <si>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</si>
  <si>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</si>
  <si>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</si>
  <si>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</si>
  <si>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</si>
  <si>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</si>
  <si>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</si>
  <si>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</si>
  <si>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</si>
  <si>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</si>
  <si>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</si>
  <si>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</si>
  <si>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</si>
  <si>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</si>
  <si>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</si>
  <si>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</si>
  <si>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</si>
  <si>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</si>
  <si>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</si>
  <si>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</si>
  <si>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</si>
  <si>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</si>
  <si>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</si>
  <si>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</si>
  <si>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</si>
  <si>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</si>
  <si>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</si>
  <si>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</si>
  <si>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</si>
  <si>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</si>
  <si>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</si>
  <si>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</si>
  <si>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</si>
  <si>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</si>
  <si>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</si>
  <si>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</si>
  <si>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</si>
  <si>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</si>
  <si>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</si>
  <si>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</si>
  <si>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</si>
  <si>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</si>
  <si>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</si>
  <si>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</si>
  <si>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</si>
  <si>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</si>
  <si>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</si>
  <si>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</si>
  <si>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</si>
  <si>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</si>
  <si>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</si>
  <si>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</si>
  <si>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</si>
  <si>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</si>
  <si>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</si>
  <si>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</si>
  <si>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</si>
  <si>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</si>
  <si>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</si>
  <si>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</si>
  <si>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</si>
  <si>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</si>
  <si>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</si>
  <si>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</si>
  <si>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</si>
  <si>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</si>
  <si>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</si>
  <si>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</si>
  <si>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</si>
  <si>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</si>
  <si>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</si>
  <si>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</si>
  <si>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</si>
  <si>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</si>
  <si>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</si>
  <si>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</si>
  <si>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</si>
  <si>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</si>
  <si>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</si>
  <si>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</si>
  <si>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</si>
  <si>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</si>
  <si>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</si>
  <si>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</si>
  <si>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</si>
  <si>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</si>
  <si>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</si>
  <si>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</si>
  <si>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</si>
  <si>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</si>
  <si>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</si>
  <si>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</si>
  <si>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</si>
  <si>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</si>
  <si>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</si>
  <si>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</si>
  <si>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</si>
  <si>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</si>
  <si>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</si>
  <si>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</si>
  <si>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</si>
  <si>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</si>
  <si>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</si>
  <si>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</si>
  <si>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</si>
  <si>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</si>
  <si>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</si>
  <si>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</si>
  <si>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</si>
  <si>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</si>
  <si>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</si>
  <si>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</si>
  <si>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</si>
  <si>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</si>
  <si>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</si>
  <si>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</si>
  <si>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</si>
  <si>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</si>
  <si>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</si>
  <si>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</si>
  <si>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</si>
  <si>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</si>
  <si>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</si>
  <si>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</si>
  <si>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</si>
  <si>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</si>
  <si>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</si>
  <si>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</si>
  <si>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</si>
  <si>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</si>
  <si>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</si>
  <si>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</si>
  <si>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</si>
  <si>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</si>
  <si>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</si>
  <si>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</si>
  <si>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</si>
  <si>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</si>
  <si>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</si>
  <si>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</si>
  <si>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</si>
  <si>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</si>
  <si>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</si>
  <si>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</si>
  <si>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</si>
  <si>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</si>
  <si>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</si>
  <si>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</si>
  <si>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</si>
  <si>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</si>
  <si>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</si>
  <si>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</si>
  <si>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</si>
  <si>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</si>
  <si>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</si>
  <si>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</si>
  <si>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</si>
  <si>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</si>
  <si>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</si>
  <si>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</si>
  <si>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</si>
  <si>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</si>
  <si>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</si>
  <si>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</si>
  <si>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</si>
  <si>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</si>
  <si>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</si>
  <si>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</si>
  <si>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</si>
  <si>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</si>
  <si>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</si>
  <si>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</si>
  <si>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</si>
  <si>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</si>
  <si>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</si>
  <si>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</si>
  <si>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</si>
  <si>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</si>
  <si>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</si>
  <si>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</si>
  <si>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</si>
  <si>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</si>
  <si>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</si>
  <si>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</si>
  <si>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</si>
  <si>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</si>
  <si>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</si>
  <si>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</si>
  <si>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</si>
  <si>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</si>
  <si>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</si>
  <si>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</si>
  <si>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</si>
  <si>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</si>
  <si>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</si>
  <si>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</si>
  <si>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</si>
  <si>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</si>
  <si>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</si>
  <si>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</si>
  <si>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</si>
  <si>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</si>
  <si>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</si>
  <si>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</si>
  <si>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</si>
  <si>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</si>
  <si>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</si>
  <si>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</si>
  <si>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</si>
  <si>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</si>
  <si>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</si>
  <si>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</si>
  <si>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</si>
  <si>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</si>
  <si>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</si>
  <si>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</si>
  <si>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</si>
  <si>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</si>
  <si>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</si>
  <si>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</si>
  <si>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</si>
  <si>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</si>
  <si>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</si>
  <si>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</si>
  <si>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</si>
  <si>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</si>
  <si>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</si>
  <si>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</si>
  <si>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</si>
  <si>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</si>
  <si>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</si>
  <si>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</si>
  <si>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</si>
  <si>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</si>
  <si>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</si>
  <si>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</si>
  <si>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</si>
  <si>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</si>
  <si>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</si>
  <si>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</si>
  <si>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</si>
  <si>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</si>
  <si>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</si>
  <si>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</si>
  <si>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</si>
  <si>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</si>
  <si>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</si>
  <si>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</si>
  <si>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</si>
  <si>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</si>
  <si>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</si>
  <si>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</si>
  <si>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</si>
  <si>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</si>
  <si>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</si>
  <si>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</si>
  <si>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</si>
  <si>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</si>
  <si>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</si>
  <si>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</si>
  <si>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</si>
  <si>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</si>
  <si>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</si>
  <si>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</si>
  <si>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</si>
  <si>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</si>
  <si>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</si>
  <si>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</si>
  <si>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</si>
  <si>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</si>
  <si>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</si>
  <si>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</si>
  <si>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</si>
  <si>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</si>
  <si>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</si>
  <si>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</si>
  <si>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</si>
  <si>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</si>
  <si>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</si>
  <si>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</si>
  <si>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</si>
  <si>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</si>
  <si>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</si>
  <si>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</si>
  <si>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</si>
  <si>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</si>
  <si>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</si>
  <si>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</si>
  <si>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</si>
  <si>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</si>
  <si>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</si>
  <si>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</si>
  <si>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</si>
  <si>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</si>
  <si>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</si>
  <si>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</si>
  <si>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</si>
  <si>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</si>
  <si>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</si>
  <si>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</si>
  <si>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</si>
  <si>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</si>
  <si>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</si>
  <si>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</si>
  <si>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</si>
  <si>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</si>
  <si>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</si>
  <si>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</si>
  <si>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</si>
  <si>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</si>
  <si>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</si>
  <si>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</si>
  <si>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</si>
  <si>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</si>
  <si>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</si>
  <si>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</si>
  <si>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</si>
  <si>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</si>
  <si>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</si>
  <si>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</si>
  <si>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</si>
  <si>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</si>
  <si>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</si>
  <si>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</si>
  <si>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</si>
  <si>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</si>
  <si>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</si>
  <si>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</si>
  <si>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</si>
  <si>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</si>
  <si>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</si>
  <si>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</si>
  <si>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</si>
  <si>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</si>
  <si>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</si>
  <si>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</si>
  <si>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</si>
  <si>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</si>
  <si>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</si>
  <si>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</si>
  <si>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</si>
  <si>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</si>
  <si>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</si>
  <si>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</si>
  <si>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</si>
  <si>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</si>
  <si>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</si>
  <si>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</si>
  <si>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</si>
  <si>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</si>
  <si>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</si>
  <si>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</si>
  <si>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</si>
  <si>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</si>
  <si>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</si>
  <si>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</si>
  <si>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</si>
  <si>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</si>
  <si>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</si>
  <si>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</si>
  <si>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</si>
  <si>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</si>
  <si>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</si>
  <si>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</si>
  <si>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</si>
  <si>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</si>
  <si>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</si>
  <si>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</si>
  <si>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</si>
  <si>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</si>
  <si>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</si>
  <si>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</si>
  <si>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</si>
  <si>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</si>
  <si>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</si>
  <si>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</si>
  <si>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</si>
  <si>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</si>
  <si>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</si>
  <si>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</si>
  <si>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</si>
  <si>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</si>
  <si>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</si>
  <si>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</si>
  <si>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</si>
  <si>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</si>
  <si>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</si>
  <si>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</si>
  <si>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</si>
  <si>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</si>
  <si>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</si>
  <si>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</si>
  <si>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</si>
  <si>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</si>
  <si>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</si>
  <si>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</si>
  <si>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</si>
  <si>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</si>
  <si>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</si>
  <si>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</si>
  <si>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</si>
  <si>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</si>
  <si>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</si>
  <si>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</si>
  <si>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</si>
  <si>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</si>
  <si>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</si>
  <si>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</si>
  <si>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</si>
  <si>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</si>
  <si>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</si>
  <si>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</si>
  <si>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</si>
  <si>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</si>
  <si>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</si>
  <si>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</si>
  <si>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</si>
  <si>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</si>
  <si>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</si>
  <si>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</si>
  <si>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</si>
  <si>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</si>
  <si>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</si>
  <si>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</si>
  <si>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</si>
  <si>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</si>
  <si>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</si>
  <si>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</si>
  <si>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</si>
  <si>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</si>
  <si>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</si>
  <si>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</si>
  <si>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</si>
  <si>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</si>
  <si>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</si>
  <si>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</si>
  <si>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</si>
  <si>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</si>
  <si>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</si>
  <si>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</si>
  <si>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</si>
  <si>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</si>
  <si>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</si>
  <si>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</si>
  <si>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</si>
  <si>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</si>
  <si>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</si>
  <si>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</si>
  <si>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</si>
  <si>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</si>
  <si>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</si>
  <si>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</si>
  <si>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</si>
  <si>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</si>
  <si>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</si>
  <si>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</si>
  <si>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</si>
  <si>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</si>
  <si>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</si>
  <si>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</si>
  <si>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</si>
  <si>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</si>
  <si>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</si>
  <si>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</si>
  <si>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</si>
  <si>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</si>
  <si>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</si>
  <si>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</si>
  <si>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</si>
  <si>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</si>
  <si>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</si>
  <si>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</si>
  <si>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</si>
  <si>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</si>
  <si>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</si>
  <si>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</si>
  <si>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</si>
  <si>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</si>
  <si>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</si>
  <si>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</si>
  <si>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</si>
  <si>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</si>
  <si>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</si>
  <si>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</si>
  <si>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</si>
  <si>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</si>
  <si>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</si>
  <si>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</si>
  <si>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</si>
  <si>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</si>
  <si>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</si>
  <si>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</si>
  <si>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</si>
  <si>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</si>
  <si>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</si>
  <si>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</si>
  <si>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</si>
  <si>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</si>
  <si>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</si>
  <si>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</si>
  <si>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</si>
  <si>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</si>
  <si>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</si>
  <si>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</si>
  <si>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</si>
  <si>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</si>
  <si>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</si>
  <si>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</si>
  <si>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</si>
  <si>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</si>
  <si>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</si>
  <si>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</si>
  <si>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</si>
  <si>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</si>
  <si>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</si>
  <si>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</si>
  <si>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</si>
  <si>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</si>
  <si>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</si>
  <si>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</si>
  <si>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</si>
  <si>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</si>
  <si>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</si>
  <si>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</si>
  <si>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</si>
  <si>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</si>
  <si>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</si>
  <si>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</si>
  <si>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</si>
  <si>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</si>
  <si>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</si>
  <si>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</si>
  <si>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</si>
  <si>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</si>
  <si>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</si>
  <si>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</si>
  <si>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</si>
  <si>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</si>
  <si>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</si>
  <si>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</si>
  <si>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</si>
  <si>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</si>
  <si>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</si>
  <si>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</si>
  <si>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</si>
  <si>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</si>
  <si>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</si>
  <si>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</si>
  <si>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</si>
  <si>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</si>
  <si>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</si>
  <si>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</si>
  <si>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</si>
  <si>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</si>
  <si>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</si>
  <si>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</si>
  <si>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</si>
  <si>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</si>
  <si>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</si>
  <si>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</si>
  <si>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</si>
  <si>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</si>
  <si>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</si>
  <si>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</si>
  <si>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</si>
  <si>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</si>
  <si>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</si>
  <si>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</si>
  <si>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</si>
  <si>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</si>
  <si>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</si>
  <si>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</si>
  <si>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</si>
  <si>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</si>
  <si>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</si>
  <si>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</si>
  <si>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</si>
  <si>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</si>
  <si>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</si>
  <si>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</si>
  <si>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</si>
  <si>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</si>
  <si>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</si>
  <si>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</si>
  <si>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</si>
  <si>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</si>
  <si>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</si>
  <si>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</si>
  <si>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</si>
  <si>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</si>
  <si>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</si>
  <si>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</si>
  <si>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</si>
  <si>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</si>
  <si>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</si>
  <si>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</si>
  <si>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</si>
  <si>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</si>
  <si>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</si>
  <si>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</si>
  <si>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</si>
  <si>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</si>
  <si>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</si>
  <si>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</si>
  <si>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</si>
  <si>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</si>
  <si>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</si>
  <si>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</si>
  <si>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</si>
  <si>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</si>
  <si>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</si>
  <si>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</si>
  <si>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</si>
  <si>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</si>
  <si>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</si>
  <si>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</si>
  <si>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</si>
  <si>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</si>
  <si>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</si>
  <si>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</si>
  <si>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</si>
  <si>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</si>
  <si>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</si>
  <si>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</si>
  <si>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</si>
  <si>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</si>
  <si>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</si>
  <si>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</si>
  <si>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</si>
  <si>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</si>
  <si>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</si>
  <si>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</si>
  <si>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</si>
  <si>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</si>
  <si>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</si>
  <si>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</si>
  <si>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</si>
  <si>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</si>
  <si>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</si>
  <si>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</si>
  <si>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</si>
  <si>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</si>
  <si>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</si>
  <si>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</si>
  <si>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</si>
  <si>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</si>
  <si>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</si>
  <si>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</si>
  <si>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</si>
  <si>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</si>
  <si>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</si>
  <si>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</si>
  <si>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</si>
  <si>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</si>
  <si>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</si>
  <si>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</si>
  <si>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</si>
  <si>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</si>
  <si>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</si>
  <si>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</si>
  <si>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</si>
  <si>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</si>
  <si>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</si>
  <si>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</si>
  <si>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</si>
  <si>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</si>
  <si>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</si>
  <si>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</si>
  <si>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</si>
  <si>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</si>
  <si>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</si>
  <si>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</si>
  <si>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</si>
  <si>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</si>
  <si>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</si>
  <si>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</si>
  <si>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</si>
  <si>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</si>
  <si>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</si>
  <si>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</si>
  <si>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</si>
  <si>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</si>
  <si>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</si>
  <si>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</si>
  <si>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</si>
  <si>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</si>
  <si>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</si>
  <si>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</si>
  <si>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</si>
  <si>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</si>
  <si>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</si>
  <si>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</si>
  <si>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</si>
  <si>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</si>
  <si>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</si>
  <si>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</si>
  <si>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</si>
  <si>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</si>
  <si>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</si>
  <si>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</si>
  <si>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</si>
  <si>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</si>
  <si>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</si>
  <si>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</si>
  <si>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</si>
  <si>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</si>
  <si>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</si>
  <si>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</si>
  <si>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</si>
  <si>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</si>
  <si>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</si>
  <si>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</si>
  <si>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</si>
  <si>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</si>
  <si>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</si>
  <si>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</si>
  <si>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</si>
  <si>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</si>
  <si>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</si>
  <si>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</si>
  <si>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</si>
  <si>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</si>
  <si>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</si>
  <si>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</si>
  <si>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</si>
  <si>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</si>
  <si>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</si>
  <si>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</si>
  <si>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</si>
  <si>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</si>
  <si>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</si>
  <si>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</si>
  <si>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</si>
  <si>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</si>
  <si>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</si>
  <si>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</si>
  <si>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</si>
  <si>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</si>
  <si>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</si>
  <si>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</si>
  <si>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</si>
  <si>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</si>
  <si>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</si>
  <si>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</si>
  <si>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</si>
  <si>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</si>
  <si>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</si>
  <si>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</si>
  <si>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</si>
  <si>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</si>
  <si>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</si>
  <si>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</si>
  <si>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</si>
  <si>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</si>
  <si>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</si>
  <si>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</si>
  <si>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</si>
  <si>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</si>
  <si>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</si>
  <si>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</si>
  <si>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</si>
  <si>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</si>
  <si>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</si>
  <si>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</si>
  <si>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</si>
  <si>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</si>
  <si>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</si>
  <si>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</si>
  <si>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</si>
  <si>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</si>
  <si>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</si>
  <si>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</si>
  <si>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</si>
  <si>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</si>
  <si>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</si>
  <si>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</si>
  <si>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</si>
  <si>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</si>
  <si>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</si>
  <si>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</si>
  <si>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</si>
  <si>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</si>
  <si>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</si>
  <si>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</si>
  <si>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</si>
  <si>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</si>
  <si>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</si>
  <si>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</si>
  <si>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</si>
  <si>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</si>
  <si>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</si>
  <si>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</si>
  <si>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</si>
  <si>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</si>
  <si>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</si>
  <si>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</si>
  <si>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</si>
  <si>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</si>
  <si>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</si>
  <si>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</si>
  <si>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</si>
  <si>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</si>
  <si>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</si>
  <si>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</si>
  <si>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</si>
  <si>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</si>
  <si>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</si>
  <si>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</si>
  <si>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</si>
  <si>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</si>
  <si>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</si>
  <si>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</si>
  <si>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</si>
  <si>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</si>
  <si>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</si>
  <si>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</si>
  <si>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</si>
  <si>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</si>
  <si>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</si>
  <si>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</si>
  <si>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</si>
  <si>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</si>
  <si>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</si>
  <si>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</si>
  <si>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</si>
  <si>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</si>
  <si>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</si>
  <si>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</si>
  <si>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</si>
  <si>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</si>
  <si>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</si>
  <si>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</si>
  <si>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</si>
  <si>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</si>
  <si>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</si>
  <si>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</si>
  <si>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</si>
  <si>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</si>
  <si>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</si>
  <si>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</si>
  <si>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</si>
  <si>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</si>
  <si>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</si>
  <si>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</si>
  <si>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</si>
  <si>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</si>
  <si>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</si>
  <si>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</si>
  <si>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</si>
  <si>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</si>
  <si>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</si>
  <si>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</si>
  <si>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</si>
  <si>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</si>
  <si>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</si>
  <si>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</si>
  <si>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</si>
  <si>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</si>
  <si>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</si>
  <si>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</si>
  <si>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</si>
  <si>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</si>
  <si>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</si>
  <si>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</si>
  <si>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</si>
  <si>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</si>
  <si>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</si>
  <si>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</si>
  <si>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</si>
  <si>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</si>
  <si>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</si>
  <si>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</si>
  <si>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</si>
  <si>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</si>
  <si>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</si>
  <si>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</si>
  <si>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</si>
  <si>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</si>
  <si>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</si>
  <si>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</si>
  <si>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</si>
  <si>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</si>
  <si>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</si>
  <si>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</si>
  <si>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</si>
  <si>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</si>
  <si>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</si>
  <si>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</si>
  <si>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</si>
  <si>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</si>
  <si>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</si>
  <si>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</si>
  <si>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</si>
  <si>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</si>
  <si>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</si>
  <si>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</si>
  <si>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</si>
  <si>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</si>
  <si>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</si>
  <si>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</si>
  <si>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</si>
  <si>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</si>
  <si>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</si>
  <si>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</si>
  <si>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</si>
  <si>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</si>
  <si>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</si>
  <si>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</si>
  <si>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</si>
  <si>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</si>
  <si>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</si>
  <si>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</si>
  <si>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</si>
  <si>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</si>
  <si>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</si>
  <si>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</si>
  <si>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</si>
  <si>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</si>
  <si>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</si>
  <si>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</si>
  <si>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</si>
  <si>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</si>
  <si>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</si>
  <si>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</si>
  <si>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</si>
  <si>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</si>
  <si>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</si>
  <si>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</si>
  <si>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</si>
  <si>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</si>
  <si>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</si>
  <si>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</si>
  <si>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</si>
  <si>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</si>
  <si>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</si>
  <si>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</si>
  <si>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</si>
  <si>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</si>
  <si>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</si>
  <si>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</si>
  <si>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</si>
  <si>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</si>
  <si>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</si>
  <si>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</si>
  <si>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</si>
  <si>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</si>
  <si>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</si>
  <si>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</si>
  <si>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</si>
  <si>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</si>
  <si>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</si>
  <si>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</si>
  <si>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</si>
  <si>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</si>
  <si>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</si>
  <si>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</si>
  <si>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</si>
  <si>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</si>
  <si>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</si>
  <si>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</si>
  <si>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</si>
  <si>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</si>
  <si>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</si>
  <si>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</si>
  <si>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</si>
  <si>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</si>
  <si>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</si>
  <si>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</si>
  <si>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</si>
  <si>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</si>
  <si>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</si>
  <si>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</si>
  <si>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</si>
  <si>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</si>
  <si>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</si>
  <si>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</si>
  <si>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</si>
  <si>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</si>
  <si>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</si>
  <si>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</si>
  <si>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</si>
  <si>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</si>
  <si>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</si>
  <si>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</si>
  <si>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</si>
  <si>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</si>
  <si>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</si>
  <si>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</si>
  <si>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</si>
  <si>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</si>
  <si>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</si>
  <si>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</si>
  <si>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</si>
  <si>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</si>
  <si>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</si>
  <si>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</si>
  <si>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</si>
  <si>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</si>
  <si>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</si>
  <si>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</si>
  <si>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</si>
  <si>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</si>
  <si>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</si>
  <si>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</si>
  <si>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</si>
  <si>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</si>
  <si>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</si>
  <si>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</si>
  <si>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</si>
  <si>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</si>
  <si>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</si>
  <si>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</si>
  <si>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</si>
  <si>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</si>
  <si>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</si>
  <si>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</si>
  <si>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</si>
  <si>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</si>
  <si>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</si>
  <si>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</si>
  <si>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</si>
  <si>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</si>
  <si>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</si>
  <si>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</si>
  <si>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</si>
  <si>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</si>
  <si>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</si>
  <si>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</si>
  <si>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</si>
  <si>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</si>
  <si>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</si>
  <si>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</si>
  <si>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</si>
  <si>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</si>
  <si>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</si>
  <si>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</si>
  <si>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</si>
  <si>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</si>
  <si>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</si>
  <si>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</si>
  <si>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</si>
  <si>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</si>
  <si>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</si>
  <si>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</si>
  <si>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</si>
  <si>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</si>
  <si>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</si>
  <si>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</si>
  <si>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</si>
  <si>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</si>
  <si>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</si>
  <si>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</si>
  <si>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</si>
  <si>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</si>
  <si>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</si>
  <si>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</si>
  <si>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</si>
  <si>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</si>
  <si>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</si>
  <si>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</si>
  <si>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</si>
  <si>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</si>
  <si>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</si>
  <si>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</si>
  <si>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</si>
  <si>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</si>
  <si>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</si>
  <si>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</si>
  <si>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</si>
  <si>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</si>
  <si>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</si>
  <si>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</si>
  <si>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</si>
  <si>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</si>
  <si>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</si>
  <si>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</si>
  <si>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</si>
  <si>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</si>
  <si>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</si>
  <si>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</si>
  <si>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</si>
  <si>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</si>
  <si>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</si>
  <si>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</si>
  <si>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</si>
  <si>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</si>
  <si>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</si>
  <si>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</si>
  <si>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</si>
  <si>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</si>
  <si>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</si>
  <si>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</si>
  <si>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</si>
  <si>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</si>
  <si>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</si>
  <si>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</si>
  <si>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</si>
  <si>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</si>
  <si>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</si>
  <si>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</si>
  <si>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</si>
  <si>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</si>
  <si>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</si>
  <si>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</si>
  <si>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</si>
  <si>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</si>
  <si>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</si>
  <si>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</si>
  <si>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</si>
  <si>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</si>
  <si>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</si>
  <si>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</si>
  <si>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</si>
  <si>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</si>
  <si>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</si>
  <si>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</si>
  <si>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</si>
  <si>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</si>
  <si>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</si>
  <si>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</si>
  <si>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</si>
  <si>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</si>
  <si>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</si>
  <si>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</si>
  <si>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</si>
  <si>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</si>
  <si>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</si>
  <si>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</si>
  <si>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</si>
  <si>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</si>
  <si>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</si>
  <si>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</si>
  <si>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</si>
  <si>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</si>
  <si>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</si>
  <si>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</si>
  <si>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</si>
  <si>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</si>
  <si>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</si>
  <si>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</si>
  <si>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</si>
  <si>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</si>
  <si>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</si>
  <si>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</si>
  <si>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</si>
  <si>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</si>
  <si>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</si>
  <si>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</si>
  <si>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</si>
  <si>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</si>
  <si>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</si>
  <si>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</si>
  <si>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</si>
  <si>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</si>
  <si>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</si>
  <si>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</si>
  <si>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</si>
  <si>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</si>
  <si>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</si>
  <si>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</si>
  <si>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</si>
  <si>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</si>
  <si>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</si>
  <si>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</si>
  <si>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</si>
  <si>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</si>
  <si>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</si>
  <si>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</si>
  <si>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</si>
  <si>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</si>
  <si>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</si>
  <si>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</si>
  <si>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</si>
  <si>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</si>
  <si>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</si>
  <si>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</si>
  <si>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</si>
  <si>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</si>
  <si>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</si>
  <si>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</si>
  <si>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</si>
  <si>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</si>
  <si>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</si>
  <si>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</si>
  <si>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</si>
  <si>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</si>
  <si>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</si>
  <si>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</si>
  <si>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</si>
  <si>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</si>
  <si>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</si>
  <si>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</si>
  <si>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</si>
  <si>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</si>
  <si>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</si>
  <si>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</si>
  <si>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</si>
  <si>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</si>
  <si>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</si>
  <si>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</si>
  <si>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</si>
  <si>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</si>
  <si>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</si>
  <si>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</si>
  <si>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</si>
  <si>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</si>
  <si>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</si>
  <si>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</si>
  <si>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</si>
  <si>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</si>
  <si>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</si>
  <si>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</si>
  <si>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</si>
  <si>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</si>
  <si>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</si>
  <si>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</si>
  <si>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</si>
  <si>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</si>
  <si>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</si>
  <si>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</si>
  <si>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</si>
  <si>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</si>
  <si>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</si>
  <si>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</si>
  <si>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</si>
  <si>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</si>
  <si>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</si>
  <si>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</si>
  <si>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</si>
  <si>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</si>
  <si>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</si>
  <si>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</si>
  <si>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</si>
  <si>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</si>
  <si>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</si>
  <si>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</si>
  <si>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</si>
  <si>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</si>
  <si>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</si>
  <si>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</si>
  <si>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</si>
  <si>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</si>
  <si>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</si>
  <si>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</si>
  <si>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</si>
  <si>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</si>
  <si>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</si>
  <si>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</si>
  <si>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</si>
  <si>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</si>
  <si>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</si>
  <si>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</si>
  <si>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</si>
  <si>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</si>
  <si>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</si>
  <si>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</si>
  <si>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</si>
  <si>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</si>
  <si>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</si>
  <si>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</si>
  <si>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</si>
  <si>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</si>
  <si>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</si>
  <si>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</si>
  <si>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</si>
  <si>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</si>
  <si>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</si>
  <si>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</si>
  <si>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</si>
  <si>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</si>
  <si>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</si>
  <si>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</si>
  <si>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</si>
  <si>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</si>
  <si>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</si>
  <si>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</si>
  <si>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</si>
  <si>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</si>
  <si>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</si>
  <si>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</si>
  <si>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</si>
  <si>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</si>
  <si>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</si>
  <si>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</si>
  <si>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</si>
  <si>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</si>
  <si>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</si>
  <si>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</si>
  <si>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</si>
  <si>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</si>
  <si>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</si>
  <si>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</si>
  <si>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</si>
  <si>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</si>
  <si>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</si>
  <si>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</si>
  <si>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</si>
  <si>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</si>
  <si>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</si>
  <si>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</si>
  <si>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</si>
  <si>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</si>
  <si>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</si>
  <si>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</si>
  <si>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</si>
  <si>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</si>
  <si>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</si>
  <si>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</si>
  <si>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</si>
  <si>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</si>
  <si>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</si>
  <si>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</si>
  <si>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</si>
  <si>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</si>
  <si>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</si>
  <si>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</si>
  <si>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</si>
  <si>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</si>
  <si>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</si>
  <si>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</si>
  <si>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</si>
  <si>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</si>
  <si>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</si>
  <si>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</si>
  <si>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</si>
  <si>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</si>
  <si>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</si>
  <si>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</si>
  <si>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</si>
  <si>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</si>
  <si>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</si>
  <si>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</si>
  <si>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</si>
  <si>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</si>
  <si>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</si>
  <si>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</si>
  <si>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</si>
  <si>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</si>
  <si>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</si>
  <si>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</si>
  <si>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</si>
  <si>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</si>
  <si>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</si>
  <si>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</si>
  <si>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</si>
  <si>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</si>
  <si>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</si>
  <si>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</si>
  <si>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</si>
  <si>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</si>
  <si>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</si>
  <si>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</si>
  <si>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</si>
  <si>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</si>
  <si>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</si>
  <si>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</si>
  <si>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</si>
  <si>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</si>
  <si>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</si>
  <si>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</si>
  <si>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</si>
  <si>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</si>
  <si>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</si>
  <si>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</si>
  <si>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</si>
  <si>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</si>
  <si>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</si>
  <si>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</si>
  <si>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</si>
  <si>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</si>
  <si>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</si>
  <si>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</si>
  <si>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</si>
  <si>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</si>
  <si>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</si>
  <si>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</si>
  <si>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</si>
  <si>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</si>
  <si>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</si>
  <si>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</si>
  <si>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</si>
  <si>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</si>
  <si>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</si>
  <si>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</si>
  <si>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</si>
  <si>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</si>
  <si>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</si>
  <si>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</si>
  <si>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</si>
  <si>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</si>
  <si>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</si>
  <si>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</si>
  <si>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</si>
  <si>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</si>
  <si>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</si>
  <si>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</si>
  <si>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</si>
  <si>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</si>
  <si>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</si>
  <si>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</si>
  <si>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</si>
  <si>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</si>
  <si>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</si>
  <si>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</si>
  <si>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</si>
  <si>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</si>
  <si>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</si>
  <si>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</si>
  <si>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</si>
  <si>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</si>
  <si>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</si>
  <si>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</si>
  <si>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</si>
  <si>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</si>
  <si>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</si>
  <si>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</si>
  <si>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</si>
  <si>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</si>
  <si>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</si>
  <si>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</si>
  <si>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</si>
  <si>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</si>
  <si>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</si>
  <si>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</si>
  <si>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</si>
  <si>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</si>
  <si>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</si>
  <si>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</si>
  <si>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</si>
  <si>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</si>
  <si>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</si>
  <si>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</si>
  <si>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</si>
  <si>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</si>
  <si>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</si>
  <si>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</si>
  <si>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</si>
  <si>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</si>
  <si>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</si>
  <si>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</si>
  <si>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</si>
  <si>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</si>
  <si>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</si>
  <si>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</si>
  <si>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</si>
  <si>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</si>
  <si>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</si>
  <si>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</si>
  <si>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</si>
  <si>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</si>
  <si>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</si>
  <si>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</si>
  <si>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</si>
  <si>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</si>
  <si>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</si>
  <si>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</si>
  <si>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</si>
  <si>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</si>
  <si>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</si>
  <si>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</si>
  <si>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</si>
  <si>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</si>
  <si>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</si>
  <si>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</si>
  <si>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</si>
  <si>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</si>
  <si>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</si>
  <si>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</si>
  <si>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</si>
  <si>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</si>
  <si>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</si>
  <si>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</si>
  <si>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</si>
  <si>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</si>
  <si>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</si>
  <si>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</si>
  <si>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</si>
  <si>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</si>
  <si>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</si>
  <si>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</si>
  <si>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</si>
  <si>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</si>
  <si>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</si>
  <si>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</si>
  <si>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</si>
  <si>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</si>
  <si>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</si>
  <si>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</si>
  <si>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</si>
  <si>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</si>
  <si>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</si>
  <si>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</si>
  <si>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</si>
  <si>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</si>
  <si>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</si>
  <si>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</si>
  <si>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</si>
  <si>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</si>
  <si>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</si>
  <si>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</si>
  <si>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</si>
  <si>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</si>
  <si>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</si>
  <si>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</si>
  <si>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</si>
  <si>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</si>
  <si>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</si>
  <si>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</si>
  <si>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</si>
  <si>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</si>
  <si>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</si>
  <si>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</si>
  <si>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</si>
  <si>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</si>
  <si>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</si>
  <si>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</si>
  <si>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</si>
  <si>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</si>
  <si>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</si>
  <si>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</si>
  <si>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</si>
  <si>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</si>
  <si>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</si>
  <si>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</si>
  <si>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</si>
  <si>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</si>
  <si>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</si>
  <si>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</si>
  <si>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</si>
  <si>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</si>
  <si>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</si>
  <si>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</si>
  <si>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</si>
  <si>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</si>
  <si>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</si>
  <si>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</si>
  <si>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</si>
  <si>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</si>
  <si>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</si>
  <si>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</si>
  <si>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</si>
  <si>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</si>
  <si>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</si>
  <si>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</si>
  <si>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</si>
  <si>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</si>
  <si>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</si>
  <si>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</si>
  <si>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</si>
  <si>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</si>
  <si>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</si>
  <si>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</si>
  <si>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</si>
  <si>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</si>
  <si>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</si>
  <si>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</si>
  <si>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</si>
  <si>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</si>
  <si>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</si>
  <si>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</si>
  <si>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</si>
  <si>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</si>
  <si>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</si>
  <si>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</si>
  <si>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</si>
  <si>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</si>
  <si>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</si>
  <si>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</si>
  <si>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</si>
  <si>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</si>
  <si>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</si>
  <si>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</si>
  <si>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</si>
  <si>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</si>
  <si>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</si>
  <si>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</si>
  <si>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</si>
  <si>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</si>
  <si>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</si>
  <si>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</si>
  <si>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</si>
  <si>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</si>
  <si>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</si>
  <si>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</si>
  <si>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</si>
  <si>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</si>
  <si>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</si>
  <si>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</si>
  <si>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</si>
  <si>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</si>
  <si>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</si>
  <si>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</si>
  <si>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</si>
  <si>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</si>
  <si>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</si>
  <si>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</si>
  <si>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</si>
  <si>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</si>
  <si>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</si>
  <si>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</si>
  <si>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</si>
  <si>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</si>
  <si>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</si>
  <si>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</si>
  <si>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</si>
  <si>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</si>
  <si>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</si>
  <si>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</si>
  <si>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</si>
  <si>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</si>
  <si>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</si>
  <si>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</si>
  <si>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</si>
  <si>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</si>
  <si>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</si>
  <si>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</si>
  <si>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</si>
  <si>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</si>
  <si>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</si>
  <si>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</si>
  <si>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</si>
  <si>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</si>
  <si>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</si>
  <si>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</si>
  <si>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</si>
  <si>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</si>
  <si>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</si>
  <si>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</si>
  <si>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</si>
  <si>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</si>
  <si>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</si>
  <si>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</si>
  <si>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</si>
  <si>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</si>
  <si>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</si>
  <si>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</si>
  <si>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</si>
  <si>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</si>
  <si>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</si>
  <si>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</si>
  <si>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</si>
  <si>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</si>
  <si>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</si>
  <si>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</si>
  <si>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</si>
  <si>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</si>
  <si>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</si>
  <si>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</si>
  <si>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</si>
  <si>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</si>
  <si>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</si>
  <si>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</si>
  <si>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</si>
  <si>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</si>
  <si>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</si>
  <si>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</si>
  <si>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</si>
  <si>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</si>
  <si>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</si>
  <si>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</si>
  <si>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</si>
  <si>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</si>
  <si>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</si>
  <si>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</si>
  <si>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</si>
  <si>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</si>
  <si>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</si>
  <si>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</si>
  <si>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</si>
  <si>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</si>
  <si>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</si>
  <si>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</si>
  <si>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</si>
  <si>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</si>
  <si>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</si>
  <si>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</si>
  <si>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</si>
  <si>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</si>
  <si>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</si>
  <si>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</si>
  <si>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</si>
  <si>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</si>
  <si>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</si>
  <si>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</si>
  <si>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</si>
  <si>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</si>
  <si>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</si>
  <si>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</si>
  <si>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</si>
  <si>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</si>
  <si>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</si>
  <si>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</si>
  <si>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</si>
  <si>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</si>
  <si>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</si>
  <si>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</si>
  <si>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</si>
  <si>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</si>
  <si>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</si>
  <si>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</si>
  <si>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</si>
  <si>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</si>
  <si>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</si>
  <si>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</si>
  <si>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</si>
  <si>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</si>
  <si>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</si>
  <si>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</si>
  <si>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</si>
  <si>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</si>
  <si>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</si>
  <si>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</si>
  <si>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</si>
  <si>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</si>
  <si>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</si>
  <si>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</si>
  <si>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</si>
  <si>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</si>
  <si>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</si>
  <si>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</si>
  <si>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</si>
  <si>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</si>
  <si>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</si>
  <si>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</si>
  <si>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</si>
  <si>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</si>
  <si>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</si>
  <si>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</si>
  <si>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</si>
  <si>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</si>
  <si>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</si>
  <si>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</si>
  <si>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</si>
  <si>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</si>
  <si>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</si>
  <si>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</si>
  <si>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</si>
  <si>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</si>
  <si>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</si>
  <si>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</si>
  <si>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</si>
  <si>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</si>
  <si>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</si>
  <si>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</si>
  <si>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</si>
  <si>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</si>
  <si>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</si>
  <si>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</si>
  <si>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</si>
  <si>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</si>
  <si>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</si>
  <si>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</si>
  <si>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</si>
  <si>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</si>
  <si>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</si>
  <si>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</si>
  <si>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</si>
  <si>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</si>
  <si>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</si>
  <si>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</si>
  <si>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</si>
  <si>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</si>
  <si>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</si>
  <si>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</si>
  <si>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</si>
  <si>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</si>
  <si>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</si>
  <si>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</si>
  <si>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</si>
  <si>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</si>
  <si>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</si>
  <si>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</si>
  <si>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</si>
  <si>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</si>
  <si>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</si>
  <si>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</si>
  <si>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</si>
  <si>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</si>
  <si>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</si>
  <si>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</si>
  <si>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</si>
  <si>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</si>
  <si>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</si>
  <si>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</si>
  <si>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</si>
  <si>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</si>
  <si>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</si>
  <si>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</si>
  <si>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</si>
  <si>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</si>
  <si>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</si>
  <si>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</si>
  <si>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</si>
  <si>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</si>
  <si>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</si>
  <si>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</si>
  <si>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</si>
  <si>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</si>
  <si>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</si>
  <si>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</si>
  <si>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</si>
  <si>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</si>
  <si>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</si>
  <si>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</si>
  <si>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</si>
  <si>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</si>
  <si>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</si>
  <si>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</si>
  <si>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</si>
  <si>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</si>
  <si>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</si>
  <si>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</si>
  <si>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</si>
  <si>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</si>
  <si>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</si>
  <si>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</si>
  <si>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</si>
  <si>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</si>
  <si>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</si>
  <si>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</si>
  <si>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</si>
  <si>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</si>
  <si>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</si>
  <si>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</si>
  <si>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</si>
  <si>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</si>
  <si>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</si>
  <si>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</si>
  <si>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</si>
  <si>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</si>
  <si>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</si>
  <si>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</si>
  <si>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</si>
  <si>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</si>
  <si>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</si>
  <si>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</si>
  <si>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</si>
  <si>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</si>
  <si>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</si>
  <si>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</si>
  <si>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</si>
  <si>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</si>
  <si>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</si>
  <si>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</si>
  <si>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</si>
  <si>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</si>
  <si>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</si>
  <si>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</si>
  <si>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</si>
  <si>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</si>
  <si>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</si>
  <si>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</si>
  <si>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</si>
  <si>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</si>
  <si>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</si>
  <si>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</si>
  <si>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</si>
  <si>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</si>
  <si>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</si>
  <si>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</si>
  <si>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</si>
  <si>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</si>
  <si>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</si>
  <si>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</si>
  <si>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</si>
  <si>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</si>
  <si>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</si>
  <si>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</si>
  <si>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</si>
  <si>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</si>
  <si>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</si>
  <si>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</si>
  <si>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</si>
  <si>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</si>
  <si>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</si>
  <si>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</si>
  <si>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</si>
  <si>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</si>
  <si>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</si>
  <si>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</si>
  <si>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</si>
  <si>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</si>
  <si>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</si>
  <si>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</si>
  <si>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</si>
  <si>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</si>
  <si>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</si>
  <si>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</si>
  <si>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</si>
  <si>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</si>
  <si>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</si>
  <si>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</si>
  <si>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</si>
  <si>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</si>
  <si>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</si>
  <si>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</si>
  <si>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</si>
  <si>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</si>
  <si>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</si>
  <si>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</si>
  <si>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</si>
  <si>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</si>
  <si>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</si>
  <si>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</si>
  <si>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</si>
  <si>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</si>
  <si>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</si>
  <si>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</si>
  <si>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</si>
  <si>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</si>
  <si>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</si>
  <si>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</si>
  <si>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</si>
  <si>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</si>
  <si>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</si>
  <si>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</si>
  <si>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</si>
  <si>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</si>
  <si>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</si>
  <si>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</si>
  <si>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</si>
  <si>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</si>
  <si>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</si>
  <si>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</si>
  <si>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</si>
  <si>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</si>
  <si>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</si>
  <si>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</si>
  <si>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</si>
  <si>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</si>
  <si>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</si>
  <si>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</si>
  <si>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</si>
  <si>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</si>
  <si>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</si>
  <si>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</si>
  <si>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</si>
  <si>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</si>
  <si>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</si>
  <si>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</si>
  <si>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</si>
  <si>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</si>
  <si>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</si>
  <si>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</si>
  <si>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</si>
  <si>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</si>
  <si>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</si>
  <si>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</si>
  <si>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</si>
  <si>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</si>
  <si>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</si>
  <si>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</si>
  <si>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</si>
  <si>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</si>
  <si>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</si>
  <si>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</si>
  <si>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</si>
  <si>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</si>
  <si>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</si>
  <si>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</si>
  <si>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</si>
  <si>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</si>
  <si>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</si>
  <si>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</si>
  <si>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</si>
  <si>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</si>
  <si>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</si>
  <si>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</si>
  <si>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</si>
  <si>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</si>
  <si>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</si>
  <si>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</si>
  <si>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</si>
  <si>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</si>
  <si>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</si>
  <si>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</si>
  <si>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</si>
  <si>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</si>
  <si>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</si>
  <si>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</si>
  <si>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</si>
  <si>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</si>
  <si>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</si>
  <si>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</si>
  <si>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</si>
  <si>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</si>
  <si>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</si>
  <si>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</si>
  <si>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</si>
  <si>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</si>
  <si>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</si>
  <si>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</si>
  <si>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</si>
  <si>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</si>
  <si>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</si>
  <si>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</si>
  <si>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</si>
  <si>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</si>
  <si>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</si>
  <si>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</si>
  <si>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</si>
  <si>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</si>
  <si>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</si>
  <si>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</si>
  <si>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</si>
  <si>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</si>
  <si>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</si>
  <si>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</si>
  <si>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</si>
  <si>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</si>
  <si>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</si>
  <si>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</si>
  <si>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</si>
  <si>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</si>
  <si>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</si>
  <si>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</si>
  <si>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</si>
  <si>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</si>
  <si>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</si>
  <si>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</si>
  <si>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</si>
  <si>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</si>
  <si>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</si>
  <si>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</si>
  <si>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</si>
  <si>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</si>
  <si>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</si>
  <si>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</si>
  <si>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</si>
  <si>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</si>
  <si>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</si>
  <si>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</si>
  <si>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</si>
  <si>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</si>
  <si>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</si>
  <si>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</si>
  <si>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</si>
  <si>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</si>
  <si>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</si>
  <si>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</si>
  <si>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</si>
  <si>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</si>
  <si>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</si>
  <si>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</si>
  <si>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</si>
  <si>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</si>
  <si>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</si>
  <si>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</si>
  <si>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</si>
  <si>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</si>
  <si>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</si>
  <si>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</si>
  <si>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</si>
  <si>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</si>
  <si>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</si>
  <si>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</si>
  <si>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</si>
  <si>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</si>
  <si>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</si>
  <si>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</si>
  <si>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</si>
  <si>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</si>
  <si>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</si>
  <si>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</si>
  <si>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</si>
  <si>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</si>
  <si>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</si>
  <si>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</si>
  <si>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</si>
  <si>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</si>
  <si>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</si>
  <si>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</si>
  <si>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</si>
  <si>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</si>
  <si>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</si>
  <si>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</si>
  <si>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</si>
  <si>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</si>
  <si>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</si>
  <si>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</si>
  <si>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</si>
  <si>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</si>
  <si>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</si>
  <si>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</si>
  <si>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</si>
  <si>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</si>
  <si>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</si>
  <si>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</si>
  <si>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</si>
  <si>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</si>
  <si>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</si>
  <si>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</si>
  <si>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</si>
  <si>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</si>
  <si>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</si>
  <si>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</si>
  <si>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</si>
  <si>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</si>
  <si>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</si>
  <si>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</si>
  <si>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</si>
  <si>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</si>
  <si>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</si>
  <si>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</si>
  <si>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</si>
  <si>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</si>
  <si>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</si>
  <si>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</si>
  <si>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</si>
  <si>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</si>
  <si>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</si>
  <si>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</si>
  <si>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</si>
  <si>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</si>
  <si>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</si>
  <si>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</si>
  <si>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</si>
  <si>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</si>
  <si>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</si>
  <si>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</si>
  <si>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</si>
  <si>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</si>
  <si>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</si>
  <si>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</si>
  <si>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</si>
  <si>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</si>
  <si>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</si>
  <si>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</si>
  <si>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</si>
  <si>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</si>
  <si>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</si>
  <si>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</si>
  <si>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</si>
  <si>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</si>
  <si>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</si>
  <si>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</si>
  <si>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</si>
  <si>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</si>
  <si>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</si>
  <si>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</si>
  <si>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</si>
  <si>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</si>
  <si>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</si>
  <si>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</si>
  <si>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</si>
  <si>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</si>
  <si>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</si>
  <si>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</si>
  <si>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</si>
  <si>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</si>
  <si>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</si>
  <si>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</si>
  <si>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</si>
  <si>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</si>
  <si>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</si>
  <si>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</si>
  <si>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</si>
  <si>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</si>
  <si>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</si>
  <si>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</si>
  <si>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</si>
  <si>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</si>
  <si>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</si>
  <si>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</si>
  <si>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</si>
  <si>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</si>
  <si>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</si>
  <si>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</si>
  <si>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</si>
  <si>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</si>
  <si>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</si>
  <si>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</si>
  <si>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</si>
  <si>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</si>
  <si>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</si>
  <si>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</si>
  <si>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</si>
  <si>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</si>
  <si>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</si>
  <si>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</si>
  <si>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</si>
  <si>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</si>
  <si>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</si>
  <si>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</si>
  <si>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</si>
  <si>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</si>
  <si>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</si>
  <si>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</si>
  <si>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</si>
  <si>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</si>
  <si>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</si>
  <si>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</si>
  <si>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</si>
  <si>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</si>
  <si>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</si>
  <si>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</si>
  <si>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</si>
  <si>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</si>
  <si>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</si>
  <si>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</si>
  <si>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</si>
  <si>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</si>
  <si>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</si>
  <si>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</si>
  <si>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</si>
  <si>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</si>
  <si>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</si>
  <si>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</si>
  <si>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</si>
  <si>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</si>
  <si>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</si>
  <si>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</si>
  <si>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</si>
  <si>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</si>
  <si>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</si>
  <si>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</si>
  <si>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</si>
  <si>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</si>
  <si>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</si>
  <si>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</si>
  <si>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</si>
  <si>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</si>
  <si>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</si>
  <si>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</si>
  <si>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</si>
  <si>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</si>
  <si>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</si>
  <si>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</si>
  <si>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</si>
  <si>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</si>
  <si>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</si>
  <si>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</si>
  <si>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</si>
  <si>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</si>
  <si>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</si>
  <si>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</si>
  <si>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</si>
  <si>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</si>
  <si>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</si>
  <si>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</si>
  <si>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</si>
  <si>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</si>
  <si>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</si>
  <si>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</si>
  <si>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</si>
  <si>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</si>
  <si>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</si>
  <si>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</si>
  <si>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</si>
  <si>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</si>
  <si>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</si>
  <si>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</si>
  <si>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</si>
  <si>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</si>
  <si>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</si>
  <si>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</si>
  <si>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</si>
  <si>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</si>
  <si>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</si>
  <si>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</si>
  <si>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</si>
  <si>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</si>
  <si>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</si>
  <si>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</si>
  <si>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</si>
  <si>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</si>
  <si>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</si>
  <si>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</si>
  <si>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</si>
  <si>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</si>
  <si>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</si>
  <si>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</si>
  <si>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</si>
  <si>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</si>
  <si>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</si>
  <si>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</si>
  <si>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</si>
  <si>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</si>
  <si>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</si>
  <si>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</si>
  <si>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</si>
  <si>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</si>
  <si>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</si>
  <si>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</si>
  <si>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</si>
  <si>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</si>
  <si>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</si>
  <si>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</si>
  <si>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</si>
  <si>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</si>
  <si>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</si>
  <si>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</si>
  <si>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</si>
  <si>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</si>
  <si>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</si>
  <si>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</si>
  <si>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</si>
  <si>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</si>
  <si>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</si>
  <si>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</si>
  <si>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</si>
  <si>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</si>
  <si>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</si>
  <si>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</si>
  <si>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</si>
  <si>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</si>
  <si>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</si>
  <si>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</si>
  <si>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</si>
  <si>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</si>
  <si>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</si>
  <si>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</si>
  <si>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</si>
  <si>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</si>
  <si>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</si>
  <si>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</si>
  <si>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</si>
  <si>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</si>
  <si>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</si>
  <si>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</si>
  <si>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</si>
  <si>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</si>
  <si>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</si>
  <si>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</si>
  <si>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</si>
  <si>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</si>
  <si>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</si>
  <si>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</si>
  <si>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</si>
  <si>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</si>
  <si>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</si>
  <si>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</si>
  <si>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</si>
  <si>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</si>
  <si>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</si>
  <si>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</si>
  <si>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</si>
  <si>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</si>
  <si>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</si>
  <si>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</si>
  <si>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</si>
  <si>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</si>
  <si>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</si>
  <si>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</si>
  <si>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</si>
  <si>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</si>
  <si>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</si>
  <si>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</si>
  <si>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</si>
  <si>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</si>
  <si>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</si>
  <si>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</si>
  <si>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</si>
  <si>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</si>
  <si>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</si>
  <si>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</si>
  <si>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</si>
  <si>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</si>
  <si>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</si>
  <si>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</si>
  <si>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</si>
  <si>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</si>
  <si>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</si>
  <si>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</si>
  <si>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</si>
  <si>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</si>
  <si>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</si>
  <si>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</si>
  <si>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</si>
  <si>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</si>
  <si>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</si>
  <si>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</si>
  <si>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</si>
  <si>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</si>
  <si>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</si>
  <si>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</si>
  <si>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</si>
  <si>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</si>
  <si>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</si>
  <si>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</si>
  <si>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</si>
  <si>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</si>
  <si>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</si>
  <si>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</si>
  <si>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</si>
  <si>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</si>
  <si>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</si>
  <si>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</si>
  <si>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</si>
  <si>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</si>
  <si>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</si>
  <si>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</si>
  <si>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</si>
  <si>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</si>
  <si>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</si>
  <si>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</si>
  <si>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</si>
  <si>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</si>
  <si>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</si>
  <si>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</si>
  <si>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</si>
  <si>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</si>
  <si>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</si>
  <si>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</si>
  <si>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</si>
  <si>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</si>
  <si>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</si>
  <si>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</si>
  <si>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</si>
  <si>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</si>
  <si>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</si>
  <si>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</si>
  <si>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</si>
  <si>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</si>
  <si>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</si>
  <si>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</si>
  <si>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</si>
  <si>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</si>
  <si>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</si>
  <si>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</si>
  <si>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</si>
  <si>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</si>
  <si>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</si>
  <si>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</si>
  <si>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</si>
  <si>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</si>
  <si>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</si>
  <si>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</si>
  <si>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</si>
  <si>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</si>
  <si>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</si>
  <si>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</si>
  <si>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</si>
  <si>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</si>
  <si>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</si>
  <si>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</si>
  <si>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</si>
  <si>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</si>
  <si>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</si>
  <si>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</si>
  <si>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</si>
  <si>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</si>
  <si>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</si>
  <si>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</si>
  <si>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</si>
  <si>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</si>
  <si>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</si>
  <si>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</si>
  <si>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</si>
  <si>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</si>
  <si>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</si>
  <si>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</si>
  <si>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</si>
  <si>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</si>
  <si>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</si>
  <si>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</si>
  <si>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</si>
  <si>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</si>
  <si>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</si>
  <si>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</si>
  <si>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</si>
  <si>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</si>
  <si>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</si>
  <si>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</si>
  <si>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</si>
  <si>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</si>
  <si>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</si>
  <si>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</si>
  <si>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</si>
  <si>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</si>
  <si>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</si>
  <si>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</si>
  <si>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</si>
  <si>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</si>
  <si>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</si>
  <si>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</si>
  <si>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</si>
  <si>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</si>
  <si>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</si>
  <si>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</si>
  <si>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</si>
  <si>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</si>
  <si>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</si>
  <si>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</si>
  <si>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</si>
  <si>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</si>
  <si>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</si>
  <si>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</si>
  <si>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</si>
  <si>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</si>
  <si>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</si>
  <si>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</si>
  <si>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</si>
  <si>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</si>
  <si>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</si>
  <si>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</si>
  <si>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</si>
  <si>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</si>
  <si>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</si>
  <si>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</si>
  <si>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</si>
  <si>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</si>
  <si>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</si>
  <si>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</si>
  <si>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</si>
  <si>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</si>
  <si>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</si>
  <si>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</si>
  <si>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</si>
  <si>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</si>
  <si>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</si>
  <si>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</si>
  <si>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</si>
  <si>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</si>
  <si>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</si>
  <si>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</si>
  <si>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</si>
  <si>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</si>
  <si>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</si>
  <si>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</si>
  <si>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</si>
  <si>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</si>
  <si>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</si>
  <si>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</si>
  <si>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</si>
  <si>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</si>
  <si>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</si>
  <si>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</si>
  <si>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</si>
  <si>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</si>
  <si>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</si>
  <si>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</si>
  <si>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</si>
  <si>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</si>
  <si>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</si>
  <si>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</si>
  <si>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</si>
  <si>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</si>
  <si>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</si>
  <si>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</si>
  <si>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</si>
  <si>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</si>
  <si>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</si>
  <si>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</si>
  <si>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</si>
  <si>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</si>
  <si>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</si>
  <si>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</si>
  <si>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</si>
  <si>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</si>
  <si>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</si>
  <si>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</si>
  <si>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</si>
  <si>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</si>
  <si>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</si>
  <si>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</si>
  <si>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</si>
  <si>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</si>
  <si>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</si>
  <si>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</si>
  <si>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</si>
  <si>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</si>
  <si>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</si>
  <si>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</si>
  <si>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</si>
  <si>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</si>
  <si>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</si>
  <si>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</si>
  <si>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</si>
  <si>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</si>
  <si>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</si>
  <si>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</si>
  <si>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</si>
  <si>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</si>
  <si>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</si>
  <si>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</si>
  <si>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</si>
  <si>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</si>
  <si>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</si>
  <si>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</si>
  <si>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</si>
  <si>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</si>
  <si>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</si>
  <si>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</si>
  <si>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</si>
  <si>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</si>
  <si>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</si>
  <si>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</si>
  <si>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</si>
  <si>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</si>
  <si>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</si>
  <si>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</si>
  <si>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</si>
  <si>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</si>
  <si>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</si>
  <si>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</si>
  <si>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</si>
  <si>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</si>
  <si>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</si>
  <si>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</si>
  <si>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</si>
  <si>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</si>
  <si>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</si>
  <si>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</si>
  <si>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</si>
  <si>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</si>
  <si>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</si>
  <si>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</si>
  <si>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</si>
  <si>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</si>
  <si>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</si>
  <si>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</si>
  <si>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</si>
  <si>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</si>
  <si>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</si>
  <si>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</si>
  <si>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</si>
  <si>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</si>
  <si>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</si>
  <si>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</si>
  <si>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</si>
  <si>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</si>
  <si>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</si>
  <si>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</si>
  <si>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</si>
  <si>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</si>
  <si>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</si>
  <si>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</si>
  <si>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</si>
  <si>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</si>
  <si>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</si>
  <si>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</si>
  <si>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</si>
  <si>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</si>
  <si>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</si>
  <si>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</si>
  <si>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</si>
  <si>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</si>
  <si>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</si>
  <si>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</si>
  <si>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</si>
  <si>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</si>
  <si>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</si>
  <si>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</si>
  <si>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</si>
  <si>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</si>
  <si>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</si>
  <si>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</si>
  <si>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</si>
  <si>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</si>
  <si>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</si>
  <si>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</si>
  <si>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</si>
  <si>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</si>
  <si>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</si>
  <si>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</si>
  <si>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</si>
  <si>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</si>
  <si>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</si>
  <si>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</si>
  <si>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</si>
  <si>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</si>
  <si>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</si>
  <si>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</si>
  <si>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</si>
  <si>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</si>
  <si>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</si>
  <si>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</si>
  <si>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</si>
  <si>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</si>
  <si>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</si>
  <si>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</si>
  <si>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</si>
  <si>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</si>
  <si>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</si>
  <si>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</si>
  <si>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</si>
  <si>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</si>
  <si>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</si>
  <si>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</si>
  <si>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</si>
  <si>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</si>
  <si>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</si>
  <si>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</si>
  <si>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</si>
  <si>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</si>
  <si>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</si>
  <si>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</si>
  <si>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</si>
  <si>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</si>
  <si>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</si>
  <si>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</si>
  <si>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</si>
  <si>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</si>
  <si>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</si>
  <si>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</si>
  <si>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</si>
  <si>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</si>
  <si>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</si>
  <si>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</si>
  <si>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</si>
  <si>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</si>
  <si>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</si>
  <si>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</si>
  <si>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</si>
  <si>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</si>
  <si>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</si>
  <si>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</si>
  <si>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</si>
  <si>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</si>
  <si>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</si>
  <si>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</si>
  <si>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</si>
  <si>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</si>
  <si>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</si>
  <si>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</si>
  <si>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</si>
  <si>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</si>
  <si>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</si>
  <si>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</si>
  <si>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</si>
  <si>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</si>
  <si>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</si>
  <si>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</si>
  <si>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</si>
  <si>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</si>
  <si>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</si>
  <si>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</si>
  <si>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</si>
  <si>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</si>
  <si>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</si>
  <si>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</si>
  <si>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</si>
  <si>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</si>
  <si>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</si>
  <si>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</si>
  <si>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</si>
  <si>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</si>
  <si>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</si>
  <si>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</si>
  <si>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</si>
  <si>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</si>
  <si>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</si>
  <si>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</si>
  <si>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</si>
  <si>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</si>
  <si>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</si>
  <si>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</si>
  <si>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</si>
  <si>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</si>
  <si>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</si>
  <si>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</si>
  <si>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</si>
  <si>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</si>
  <si>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</si>
  <si>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</si>
  <si>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</si>
  <si>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</si>
  <si>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</si>
  <si>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</si>
  <si>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</si>
  <si>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</si>
  <si>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</si>
  <si>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</si>
  <si>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</si>
  <si>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</si>
  <si>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</si>
  <si>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</si>
  <si>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</si>
  <si>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</si>
  <si>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</si>
  <si>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</si>
  <si>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</si>
  <si>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</si>
  <si>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</si>
  <si>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</si>
  <si>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</si>
  <si>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</si>
  <si>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</si>
  <si>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</si>
  <si>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</si>
  <si>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</si>
  <si>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</si>
  <si>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</si>
  <si>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</si>
  <si>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</si>
  <si>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</si>
  <si>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</si>
  <si>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</si>
  <si>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</si>
  <si>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</si>
  <si>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</si>
  <si>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</si>
  <si>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</si>
  <si>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</si>
  <si>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</si>
  <si>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</si>
  <si>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</si>
  <si>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</si>
  <si>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</si>
  <si>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</si>
  <si>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</si>
  <si>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</si>
  <si>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</si>
  <si>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</si>
  <si>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</si>
  <si>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</si>
  <si>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</si>
  <si>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</si>
  <si>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</si>
  <si>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</si>
  <si>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</si>
  <si>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</si>
  <si>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</si>
  <si>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</si>
  <si>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</si>
  <si>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</si>
  <si>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</si>
  <si>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</si>
  <si>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</si>
  <si>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</si>
  <si>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</si>
  <si>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</si>
  <si>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</si>
  <si>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</si>
  <si>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</si>
  <si>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</si>
  <si>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</si>
  <si>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</si>
  <si>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</si>
  <si>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</si>
  <si>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</si>
  <si>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</si>
  <si>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</si>
  <si>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</si>
  <si>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</si>
  <si>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</si>
  <si>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</si>
  <si>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</si>
  <si>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</si>
  <si>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</si>
  <si>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</si>
  <si>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</si>
  <si>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</si>
  <si>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</si>
  <si>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</si>
  <si>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</si>
  <si>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</si>
  <si>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</si>
  <si>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</si>
  <si>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</si>
  <si>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</si>
  <si>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</si>
  <si>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</si>
  <si>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</si>
  <si>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</si>
  <si>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</si>
  <si>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</si>
  <si>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</si>
  <si>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</si>
  <si>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</si>
  <si>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</si>
  <si>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</si>
  <si>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</si>
  <si>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</si>
  <si>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</si>
  <si>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</si>
  <si>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</si>
  <si>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</si>
  <si>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</si>
  <si>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</si>
  <si>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</si>
  <si>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</si>
  <si>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</si>
  <si>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</si>
  <si>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</si>
  <si>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</si>
  <si>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</si>
  <si>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</si>
  <si>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</si>
  <si>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</si>
  <si>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</si>
  <si>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</si>
  <si>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</si>
  <si>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</si>
  <si>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</si>
  <si>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</si>
  <si>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</si>
  <si>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</si>
  <si>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</si>
  <si>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</si>
  <si>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</si>
  <si>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</si>
  <si>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</si>
  <si>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</si>
  <si>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</si>
  <si>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</si>
  <si>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</si>
  <si>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</si>
  <si>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</si>
  <si>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</si>
  <si>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</si>
  <si>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</si>
  <si>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</si>
  <si>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</si>
  <si>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</si>
  <si>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</si>
  <si>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</si>
  <si>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</si>
  <si>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</si>
  <si>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</si>
  <si>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</si>
  <si>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</si>
  <si>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</si>
  <si>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</si>
  <si>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</si>
  <si>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</si>
  <si>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</si>
  <si>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</si>
  <si>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</si>
  <si>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</si>
  <si>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</si>
  <si>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</si>
  <si>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</si>
  <si>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</si>
  <si>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</si>
  <si>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</si>
  <si>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</si>
  <si>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</si>
  <si>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</si>
  <si>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</si>
  <si>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</si>
  <si>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</si>
  <si>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</si>
  <si>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</si>
  <si>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</si>
  <si>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</si>
  <si>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</si>
  <si>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</si>
  <si>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</si>
  <si>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</si>
  <si>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</si>
  <si>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</si>
  <si>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</si>
  <si>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</si>
  <si>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</si>
  <si>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</si>
  <si>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</si>
  <si>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</si>
  <si>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</si>
  <si>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</si>
  <si>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</si>
  <si>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</si>
  <si>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</si>
  <si>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</si>
  <si>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</si>
  <si>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</si>
  <si>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</si>
  <si>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</si>
  <si>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</si>
  <si>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</si>
  <si>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</si>
  <si>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</si>
  <si>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</si>
  <si>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</si>
  <si>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</si>
  <si>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</si>
  <si>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</si>
  <si>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</si>
  <si>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</si>
  <si>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</si>
  <si>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</si>
  <si>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</si>
  <si>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</si>
  <si>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</si>
  <si>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</si>
  <si>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</si>
  <si>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</si>
  <si>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</si>
  <si>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</si>
  <si>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</si>
  <si>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</si>
  <si>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</si>
  <si>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</si>
  <si>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</si>
  <si>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</si>
  <si>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</si>
  <si>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</si>
  <si>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</si>
  <si>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</si>
  <si>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</si>
  <si>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</si>
  <si>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</si>
  <si>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</si>
  <si>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</si>
  <si>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</si>
  <si>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</si>
  <si>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</si>
  <si>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</si>
  <si>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</si>
  <si>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</si>
  <si>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</si>
  <si>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</si>
  <si>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</si>
  <si>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</si>
  <si>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</si>
  <si>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</si>
  <si>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</si>
  <si>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</si>
  <si>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</si>
  <si>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</si>
  <si>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</si>
  <si>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</si>
  <si>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</si>
  <si>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</si>
  <si>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</si>
  <si>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</si>
  <si>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</si>
  <si>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</si>
  <si>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</si>
  <si>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</si>
  <si>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</si>
  <si>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</si>
  <si>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</si>
  <si>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</si>
  <si>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</si>
  <si>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</si>
  <si>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</si>
  <si>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</si>
  <si>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</si>
  <si>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</si>
  <si>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</si>
  <si>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</si>
  <si>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</si>
  <si>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</si>
  <si>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</si>
  <si>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</si>
  <si>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</si>
  <si>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</si>
  <si>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</si>
  <si>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</si>
  <si>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</si>
  <si>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</si>
  <si>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</si>
  <si>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</si>
  <si>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</si>
  <si>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</si>
  <si>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</si>
  <si>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</si>
  <si>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</si>
  <si>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</si>
  <si>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</si>
  <si>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</si>
  <si>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</si>
  <si>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</si>
  <si>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</si>
  <si>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</si>
  <si>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</si>
  <si>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</si>
  <si>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</si>
  <si>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</si>
  <si>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</si>
  <si>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</si>
  <si>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</si>
  <si>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</si>
  <si>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</si>
  <si>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</si>
  <si>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</si>
  <si>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</si>
  <si>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</si>
  <si>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</si>
  <si>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</si>
  <si>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</si>
  <si>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</si>
  <si>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</si>
  <si>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</si>
  <si>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</si>
  <si>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</si>
  <si>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</si>
  <si>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</si>
  <si>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</si>
  <si>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</si>
  <si>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</si>
  <si>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</si>
  <si>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</si>
  <si>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</si>
  <si>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</si>
  <si>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</si>
  <si>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</si>
  <si>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</si>
  <si>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</si>
  <si>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</si>
  <si>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</si>
  <si>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</si>
  <si>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</si>
  <si>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</si>
  <si>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</si>
  <si>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</si>
  <si>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</si>
  <si>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</si>
  <si>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</si>
  <si>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</si>
  <si>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</si>
  <si>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</si>
  <si>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</si>
  <si>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</si>
  <si>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</si>
  <si>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</si>
  <si>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</si>
  <si>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</si>
  <si>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</si>
  <si>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</si>
  <si>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</si>
  <si>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</si>
  <si>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</si>
  <si>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</si>
  <si>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</si>
  <si>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</si>
  <si>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</si>
  <si>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</si>
  <si>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</si>
  <si>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</si>
  <si>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</si>
  <si>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</si>
  <si>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</si>
  <si>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</si>
  <si>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</si>
  <si>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</si>
  <si>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</si>
  <si>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t>&lt;&lt; Select an Application Type &gt;&gt;</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</si>
  <si>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</si>
  <si>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</si>
  <si>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</si>
  <si>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</si>
  <si>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</si>
  <si>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</si>
  <si>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</si>
  <si>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</si>
  <si>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</si>
  <si>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</si>
  <si>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</si>
  <si>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</si>
  <si>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</si>
  <si>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</si>
  <si>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</si>
  <si>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</si>
  <si>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</si>
  <si>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</si>
  <si>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</si>
  <si>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</si>
  <si>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</si>
  <si>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</si>
  <si>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</si>
  <si>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2024-5</t>
  </si>
  <si>
    <t>Minimum Documentation missing (explain below)?</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</si>
  <si>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</si>
  <si>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</si>
  <si>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</si>
  <si>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</si>
  <si>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</si>
  <si>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</si>
  <si>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</si>
  <si>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</si>
  <si>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</si>
  <si>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</si>
  <si>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</si>
  <si>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</si>
  <si>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</si>
  <si>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</si>
  <si>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</si>
  <si>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</si>
  <si>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</si>
  <si>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</si>
  <si>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</si>
  <si>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</si>
  <si>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</si>
  <si>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</si>
  <si>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</si>
  <si>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</si>
  <si>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</si>
  <si>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</si>
  <si>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</si>
  <si>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</si>
  <si>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</si>
  <si>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</si>
  <si>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</si>
  <si>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</si>
  <si>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</si>
  <si>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</si>
  <si>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</si>
  <si>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</si>
  <si>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</si>
  <si>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</si>
  <si>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</si>
  <si>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</si>
  <si>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</si>
  <si>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</si>
  <si>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</si>
  <si>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</si>
  <si>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</si>
  <si>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</si>
  <si>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</si>
  <si>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</si>
  <si>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</si>
  <si>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</si>
  <si>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</si>
  <si>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</si>
  <si>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</si>
  <si>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</si>
  <si>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</si>
  <si>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</si>
  <si>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</si>
  <si>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</si>
  <si>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</si>
  <si>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</si>
  <si>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</si>
  <si>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</si>
  <si>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</si>
  <si>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</si>
  <si>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</si>
  <si>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</si>
  <si>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</si>
  <si>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</si>
  <si>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</si>
  <si>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</si>
  <si>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</si>
  <si>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</si>
  <si>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</si>
  <si>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</si>
  <si>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</si>
  <si>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</si>
  <si>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4% Credit Core
Sept 26,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</si>
</sst>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5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181" fontId="9" fillId="0" borderId="38" xfId="37" applyNumberFormat="1" applyFont="1" applyBorder="1" applyAlignment="1">
      <alignment horizontal="center" vertical="center"/>
    </xf>
    <xf numFmtId="0" fontId="89" fillId="0" borderId="0" xfId="37" applyFont="1" applyAlignment="1">
      <alignment vertical="top" wrapText="1"/>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lignment horizontal="center"/>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81" fontId="249" fillId="0" borderId="38" xfId="37" applyNumberFormat="1" applyFont="1" applyBorder="1" applyAlignment="1">
      <alignment horizontal="center"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top" wrapText="1"/>
      <protection locked="0"/>
    </xf>
    <xf numFmtId="0" fontId="9" fillId="5" borderId="210" xfId="33" applyFont="1" applyFill="1" applyBorder="1" applyAlignment="1" applyProtection="1">
      <alignment horizontal="left" vertical="top" wrapText="1"/>
      <protection locked="0"/>
    </xf>
    <xf numFmtId="0" fontId="9" fillId="5" borderId="211"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top" wrapText="1"/>
      <protection locked="0"/>
    </xf>
    <xf numFmtId="0" fontId="9" fillId="5" borderId="208" xfId="33" applyFont="1" applyFill="1" applyBorder="1" applyAlignment="1" applyProtection="1">
      <alignment horizontal="left" vertical="top"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top"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0" borderId="13"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top"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10" fontId="9" fillId="5" borderId="79" xfId="33" applyNumberFormat="1" applyFont="1" applyFill="1" applyBorder="1" applyAlignment="1" applyProtection="1">
      <alignment horizontal="center" vertical="center" wrapText="1"/>
      <protection locked="0"/>
    </xf>
    <xf numFmtId="10" fontId="9" fillId="5" borderId="76" xfId="33" applyNumberFormat="1" applyFont="1" applyFill="1" applyBorder="1" applyAlignment="1" applyProtection="1">
      <alignment horizontal="center" vertical="center" wrapText="1"/>
      <protection locked="0"/>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89" fillId="0" borderId="43" xfId="37" applyFont="1" applyBorder="1" applyAlignment="1">
      <alignment horizontal="center" vertical="center" wrapText="1"/>
    </xf>
    <xf numFmtId="0" fontId="89" fillId="0" borderId="39" xfId="37" applyFont="1" applyBorder="1" applyAlignment="1">
      <alignment horizontal="center" vertical="center" wrapText="1"/>
    </xf>
    <xf numFmtId="0" fontId="89" fillId="0" borderId="42" xfId="37" applyFont="1" applyBorder="1" applyAlignment="1">
      <alignment horizontal="center" vertical="center" wrapText="1"/>
    </xf>
    <xf numFmtId="0" fontId="89" fillId="0" borderId="59" xfId="37" applyFont="1" applyBorder="1" applyAlignment="1">
      <alignment horizontal="center" vertical="center" wrapText="1"/>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95" fillId="0" borderId="81" xfId="0" applyFont="1" applyBorder="1" applyAlignment="1">
      <alignment horizontal="center" wrapText="1"/>
    </xf>
    <xf numFmtId="0" fontId="95" fillId="0" borderId="11" xfId="0" applyFont="1" applyBorder="1" applyAlignment="1">
      <alignment horizontal="center" wrapText="1"/>
    </xf>
    <xf numFmtId="0" fontId="95" fillId="0" borderId="12" xfId="0" applyFont="1" applyBorder="1" applyAlignment="1">
      <alignment horizontal="center" wrapText="1"/>
    </xf>
    <xf numFmtId="0" fontId="95" fillId="0" borderId="83" xfId="0" applyFont="1" applyBorder="1" applyAlignment="1">
      <alignment horizontal="center"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CCFFFF"/>
      <color rgb="FFCC9900"/>
      <color rgb="FF0000FF"/>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653" t="s">
        <v>914</v>
      </c>
    </row>
    <row r="2" spans="1:6" ht="15" customHeight="1">
      <c r="A2" s="654">
        <f>'Part I-Project Identification'!F26</f>
        <v>0</v>
      </c>
    </row>
    <row r="3" spans="1:6" ht="15" customHeight="1">
      <c r="A3" s="654" t="str">
        <f>CONCATENATE('Part I-Project Identification'!F27,", ", 'Part I-Project Identification'!J27," County")</f>
        <v>&lt;&lt; Select from list &gt;&gt;, Select City first County</v>
      </c>
    </row>
    <row r="4" spans="1:6" ht="12" customHeight="1">
      <c r="A4" s="1062"/>
    </row>
    <row r="5" spans="1:6" ht="72" customHeight="1">
      <c r="A5" s="2907" t="s">
        <v>3977</v>
      </c>
      <c r="B5" s="2908" t="s">
        <v>3775</v>
      </c>
      <c r="C5" s="2908"/>
      <c r="D5" s="2908"/>
      <c r="E5" s="2908"/>
      <c r="F5" s="2908"/>
    </row>
    <row r="6" spans="1:6" ht="6.65" customHeight="1">
      <c r="A6" s="2907"/>
      <c r="B6" s="2908"/>
      <c r="C6" s="2908"/>
      <c r="D6" s="2908"/>
      <c r="E6" s="2908"/>
      <c r="F6" s="2908"/>
    </row>
    <row r="7" spans="1:6" ht="72" customHeight="1">
      <c r="A7" s="2907"/>
      <c r="B7" s="2908"/>
      <c r="C7" s="2908"/>
      <c r="D7" s="2908"/>
      <c r="E7" s="2908"/>
      <c r="F7" s="2908"/>
    </row>
    <row r="8" spans="1:6" ht="6.65" customHeight="1">
      <c r="A8" s="2907"/>
    </row>
    <row r="9" spans="1:6" ht="72" customHeight="1">
      <c r="A9" s="2907"/>
    </row>
    <row r="10" spans="1:6" ht="6.65" customHeight="1">
      <c r="A10" s="2907"/>
    </row>
    <row r="11" spans="1:6" ht="72" customHeight="1">
      <c r="A11" s="2907"/>
    </row>
    <row r="12" spans="1:6" ht="6.65" customHeight="1">
      <c r="A12" s="2907"/>
    </row>
    <row r="13" spans="1:6" ht="72" customHeight="1">
      <c r="A13" s="2907"/>
    </row>
    <row r="14" spans="1:6" ht="6.65" customHeight="1">
      <c r="A14" s="2907"/>
    </row>
    <row r="15" spans="1:6" ht="72" customHeight="1">
      <c r="A15" s="2907"/>
    </row>
    <row r="16" spans="1:6" ht="6.65" customHeight="1">
      <c r="A16" s="2907"/>
    </row>
    <row r="17" spans="1:1" ht="72" customHeight="1">
      <c r="A17" s="2907"/>
    </row>
    <row r="18" spans="1:1" ht="6.65" customHeight="1">
      <c r="A18" s="2907"/>
    </row>
    <row r="19" spans="1:1" ht="72" customHeight="1">
      <c r="A19" s="2907"/>
    </row>
    <row r="20" spans="1:1" ht="6.65" customHeight="1">
      <c r="A20" s="2907"/>
    </row>
    <row r="21" spans="1:1" ht="72" customHeight="1">
      <c r="A21" s="2907"/>
    </row>
    <row r="22" spans="1:1" ht="6.65" customHeight="1">
      <c r="A22" s="2907"/>
    </row>
    <row r="23" spans="1:1" ht="72" customHeight="1">
      <c r="A23" s="2907"/>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F12" sqref="F12:H12"/>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593"/>
    <col min="27" max="16384" width="9.26953125" style="145"/>
  </cols>
  <sheetData>
    <row r="1" spans="1:28" s="1617" customFormat="1" hidden="1">
      <c r="A1" s="1616"/>
      <c r="B1" s="1616" t="s">
        <v>4208</v>
      </c>
      <c r="C1" s="1616"/>
      <c r="D1" s="1616"/>
      <c r="E1" s="1616"/>
      <c r="F1" s="1616" t="s">
        <v>4209</v>
      </c>
      <c r="G1" s="1616" t="s">
        <v>4210</v>
      </c>
      <c r="H1" s="1616" t="s">
        <v>4211</v>
      </c>
      <c r="I1" s="1616" t="s">
        <v>4212</v>
      </c>
      <c r="J1" s="1616" t="s">
        <v>4213</v>
      </c>
      <c r="K1" s="1616" t="s">
        <v>4214</v>
      </c>
      <c r="L1" s="1616"/>
      <c r="M1" s="1616"/>
      <c r="N1" s="1616" t="s">
        <v>4215</v>
      </c>
      <c r="O1" s="1616" t="s">
        <v>4216</v>
      </c>
      <c r="P1" s="1616" t="s">
        <v>4217</v>
      </c>
      <c r="Z1" s="1618">
        <v>1</v>
      </c>
    </row>
    <row r="2" spans="1:28" s="144" customFormat="1" ht="14.15" customHeight="1">
      <c r="A2" s="2947" t="str">
        <f>CONCATENATE("Part I-Project Identification"," - ",$O$7," ",$F$26,", ",$F$27,", ",J27," County")</f>
        <v>Part I-Project Identification - 2024-5 , &lt;&lt; Select from list &gt;&gt;, Select City first County</v>
      </c>
      <c r="B2" s="2948"/>
      <c r="C2" s="2948"/>
      <c r="D2" s="2948"/>
      <c r="E2" s="2948"/>
      <c r="F2" s="2948"/>
      <c r="G2" s="2948"/>
      <c r="H2" s="2948"/>
      <c r="I2" s="2948"/>
      <c r="J2" s="2948"/>
      <c r="K2" s="2948"/>
      <c r="L2" s="2948"/>
      <c r="M2" s="2948"/>
      <c r="N2" s="2948"/>
      <c r="O2" s="2948"/>
      <c r="P2" s="2949"/>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50" t="s">
        <v>4643</v>
      </c>
      <c r="B4" s="2950"/>
      <c r="C4" s="2950"/>
      <c r="D4" s="2950"/>
      <c r="E4" s="2950"/>
      <c r="F4" s="2950"/>
      <c r="G4" s="2950"/>
      <c r="H4" s="2950"/>
      <c r="I4" s="2950"/>
      <c r="J4" s="2950"/>
      <c r="K4" s="2950"/>
      <c r="L4" s="2950"/>
      <c r="M4" s="2950"/>
      <c r="N4" s="2950"/>
      <c r="O4" s="2950"/>
      <c r="P4" s="2950"/>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1" t="s">
        <v>5139</v>
      </c>
      <c r="B6" s="2951"/>
      <c r="C6" s="2951"/>
      <c r="D6" s="2951"/>
      <c r="F6" s="242"/>
      <c r="G6" s="224" t="s">
        <v>3703</v>
      </c>
      <c r="L6" s="374"/>
      <c r="P6" s="1698" t="s">
        <v>3208</v>
      </c>
      <c r="Z6" s="1618">
        <v>6</v>
      </c>
      <c r="AA6" s="1729">
        <v>5</v>
      </c>
    </row>
    <row r="7" spans="1:28" s="144" customFormat="1" ht="12" customHeight="1" thickBot="1">
      <c r="A7" s="2951"/>
      <c r="B7" s="2951"/>
      <c r="C7" s="2951"/>
      <c r="D7" s="2951"/>
      <c r="E7" s="983"/>
      <c r="F7" s="244"/>
      <c r="G7" s="224" t="s">
        <v>3989</v>
      </c>
      <c r="H7" s="248"/>
      <c r="I7" s="248"/>
      <c r="J7" s="248"/>
      <c r="O7" s="2952" t="s">
        <v>5061</v>
      </c>
      <c r="P7" s="2953"/>
      <c r="Q7" s="2954" t="s">
        <v>4534</v>
      </c>
      <c r="R7" s="2954"/>
      <c r="S7" s="2955"/>
      <c r="Z7" s="1618">
        <v>7</v>
      </c>
      <c r="AA7" s="1729">
        <v>6</v>
      </c>
    </row>
    <row r="8" spans="1:28" s="144" customFormat="1" ht="12" customHeight="1">
      <c r="A8" s="2951"/>
      <c r="B8" s="2951"/>
      <c r="C8" s="2951"/>
      <c r="D8" s="2951"/>
      <c r="E8" s="983"/>
      <c r="F8" s="407"/>
      <c r="G8" s="147" t="s">
        <v>2893</v>
      </c>
      <c r="H8" s="248"/>
      <c r="I8" s="248"/>
      <c r="J8" s="248"/>
      <c r="Q8" s="2956"/>
      <c r="R8" s="2957"/>
      <c r="S8" s="2958"/>
      <c r="Z8" s="1618">
        <v>8</v>
      </c>
      <c r="AA8" s="1729">
        <v>7</v>
      </c>
    </row>
    <row r="9" spans="1:28" s="144" customFormat="1" ht="6" customHeight="1">
      <c r="A9" s="374"/>
      <c r="E9" s="248"/>
      <c r="H9" s="248"/>
      <c r="I9" s="248"/>
      <c r="M9" s="248"/>
      <c r="Q9" s="2956"/>
      <c r="R9" s="2957"/>
      <c r="S9" s="2958"/>
      <c r="Z9" s="1618">
        <v>9</v>
      </c>
      <c r="AA9" s="1729">
        <v>8</v>
      </c>
    </row>
    <row r="10" spans="1:28" s="144" customFormat="1" ht="13.4" customHeight="1">
      <c r="A10" s="243" t="s">
        <v>572</v>
      </c>
      <c r="B10" s="243" t="s">
        <v>2186</v>
      </c>
      <c r="D10" s="145"/>
      <c r="E10" s="245"/>
      <c r="F10" s="246" t="s">
        <v>3185</v>
      </c>
      <c r="I10" s="2962">
        <f>'Part III-A-Uses of Funds'!$J$191</f>
        <v>0</v>
      </c>
      <c r="J10" s="2963"/>
      <c r="L10" s="144" t="s">
        <v>3186</v>
      </c>
      <c r="O10" s="2964">
        <f>'Part II-Sources of Funds'!$I$6</f>
        <v>0</v>
      </c>
      <c r="P10" s="2965"/>
      <c r="Q10" s="2956"/>
      <c r="R10" s="2957"/>
      <c r="S10" s="2958"/>
      <c r="Z10" s="1618">
        <v>10</v>
      </c>
      <c r="AA10" s="1729">
        <v>9</v>
      </c>
    </row>
    <row r="11" spans="1:28" s="144" customFormat="1" ht="6" customHeight="1">
      <c r="A11" s="243"/>
      <c r="B11" s="243"/>
      <c r="D11" s="145"/>
      <c r="E11" s="245"/>
      <c r="F11" s="245"/>
      <c r="I11" s="222"/>
      <c r="N11" s="247"/>
      <c r="Q11" s="2956"/>
      <c r="R11" s="2957"/>
      <c r="S11" s="2958"/>
      <c r="Z11" s="1618">
        <v>11</v>
      </c>
      <c r="AA11" s="1729">
        <v>10</v>
      </c>
    </row>
    <row r="12" spans="1:28" s="144" customFormat="1">
      <c r="A12" s="222" t="s">
        <v>688</v>
      </c>
      <c r="B12" s="243" t="s">
        <v>1886</v>
      </c>
      <c r="F12" s="2966" t="s">
        <v>5037</v>
      </c>
      <c r="G12" s="2967"/>
      <c r="H12" s="2968"/>
      <c r="I12" s="1699" t="s">
        <v>4417</v>
      </c>
      <c r="J12" s="1457" t="s">
        <v>4829</v>
      </c>
      <c r="K12" s="243"/>
      <c r="L12" s="248"/>
      <c r="O12" s="2969" t="s">
        <v>2446</v>
      </c>
      <c r="P12" s="2970"/>
      <c r="Q12" s="2956"/>
      <c r="R12" s="2957"/>
      <c r="S12" s="2958"/>
      <c r="Z12" s="1618">
        <v>12</v>
      </c>
      <c r="AA12" s="1729">
        <v>11</v>
      </c>
    </row>
    <row r="13" spans="1:28" s="1990" customFormat="1" ht="14">
      <c r="A13" s="1963"/>
      <c r="C13" s="1969"/>
      <c r="D13" s="1969"/>
      <c r="E13" s="1969"/>
      <c r="F13" s="2095" t="s">
        <v>4828</v>
      </c>
      <c r="H13" s="2093"/>
      <c r="I13" s="2093"/>
      <c r="J13" s="2093"/>
      <c r="K13" s="2093"/>
      <c r="L13" s="2093"/>
      <c r="M13" s="2093"/>
      <c r="N13" s="2093"/>
      <c r="O13" s="2094"/>
      <c r="P13" s="2089"/>
      <c r="Q13" s="2956"/>
      <c r="R13" s="2957"/>
      <c r="S13" s="2958"/>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6"/>
      <c r="R14" s="2957"/>
      <c r="S14" s="2958"/>
      <c r="Z14" s="1618">
        <v>14</v>
      </c>
      <c r="AA14" s="1729">
        <v>13</v>
      </c>
    </row>
    <row r="15" spans="1:28" s="144" customFormat="1">
      <c r="A15" s="222" t="s">
        <v>690</v>
      </c>
      <c r="B15" s="243" t="s">
        <v>3555</v>
      </c>
      <c r="D15" s="246"/>
      <c r="E15" s="245"/>
      <c r="G15" s="245"/>
      <c r="H15" s="245"/>
      <c r="I15" s="738" t="s">
        <v>3213</v>
      </c>
      <c r="L15" s="247"/>
      <c r="Q15" s="2956"/>
      <c r="R15" s="2957"/>
      <c r="S15" s="2958"/>
      <c r="Z15" s="1618">
        <v>15</v>
      </c>
      <c r="AA15" s="1729">
        <v>14</v>
      </c>
    </row>
    <row r="16" spans="1:28" s="144" customFormat="1">
      <c r="B16" s="144" t="s">
        <v>3214</v>
      </c>
      <c r="F16" s="2944"/>
      <c r="G16" s="2945"/>
      <c r="H16" s="2946"/>
      <c r="I16" s="2044" t="s">
        <v>1665</v>
      </c>
      <c r="J16" s="2913"/>
      <c r="K16" s="2915"/>
      <c r="L16" s="2940"/>
      <c r="M16" s="1808" t="s">
        <v>1834</v>
      </c>
      <c r="N16" s="2944"/>
      <c r="O16" s="2945"/>
      <c r="P16" s="2946"/>
      <c r="Q16" s="2956"/>
      <c r="R16" s="2957"/>
      <c r="S16" s="2958"/>
      <c r="Z16" s="1618">
        <v>16</v>
      </c>
      <c r="AA16" s="1729">
        <v>15</v>
      </c>
    </row>
    <row r="17" spans="1:27" s="144" customFormat="1" ht="12.75" customHeight="1">
      <c r="B17" s="246" t="s">
        <v>1597</v>
      </c>
      <c r="F17" s="2909"/>
      <c r="G17" s="2910"/>
      <c r="H17" s="2911"/>
      <c r="I17" s="2045" t="s">
        <v>1596</v>
      </c>
      <c r="J17" s="810"/>
      <c r="M17" s="246" t="s">
        <v>1598</v>
      </c>
      <c r="N17" s="2909"/>
      <c r="O17" s="2910"/>
      <c r="P17" s="2911"/>
      <c r="Q17" s="2956"/>
      <c r="R17" s="2957"/>
      <c r="S17" s="2958"/>
      <c r="V17" s="738"/>
      <c r="W17" s="738"/>
      <c r="X17" s="738"/>
      <c r="Z17" s="1618">
        <v>17</v>
      </c>
      <c r="AA17" s="1729">
        <v>16</v>
      </c>
    </row>
    <row r="18" spans="1:27" s="144" customFormat="1">
      <c r="B18" s="246" t="s">
        <v>1837</v>
      </c>
      <c r="F18" s="2938"/>
      <c r="G18" s="2939"/>
      <c r="H18" s="2939"/>
      <c r="I18" s="2915"/>
      <c r="J18" s="2939"/>
      <c r="K18" s="2915"/>
      <c r="L18" s="2940"/>
      <c r="M18" s="246" t="s">
        <v>1833</v>
      </c>
      <c r="N18" s="2941"/>
      <c r="O18" s="2942"/>
      <c r="P18" s="2943"/>
      <c r="Q18" s="2956"/>
      <c r="R18" s="2957"/>
      <c r="S18" s="2958"/>
      <c r="U18" s="738"/>
      <c r="V18" s="738"/>
      <c r="W18" s="738"/>
      <c r="X18" s="738"/>
      <c r="Z18" s="1618">
        <v>18</v>
      </c>
      <c r="AA18" s="1729">
        <v>17</v>
      </c>
    </row>
    <row r="19" spans="1:27" s="144" customFormat="1">
      <c r="A19" s="374"/>
      <c r="B19" s="243" t="s">
        <v>3554</v>
      </c>
      <c r="C19" s="145"/>
      <c r="H19" s="248"/>
      <c r="J19" s="145"/>
      <c r="P19" s="248"/>
      <c r="Q19" s="2956"/>
      <c r="R19" s="2957"/>
      <c r="S19" s="2958"/>
      <c r="Z19" s="1618">
        <v>19</v>
      </c>
      <c r="AA19" s="1729">
        <v>18</v>
      </c>
    </row>
    <row r="20" spans="1:27" s="144" customFormat="1">
      <c r="B20" s="144" t="s">
        <v>3214</v>
      </c>
      <c r="F20" s="2944"/>
      <c r="G20" s="2945"/>
      <c r="H20" s="2946"/>
      <c r="I20" s="2044" t="s">
        <v>1665</v>
      </c>
      <c r="J20" s="2913"/>
      <c r="K20" s="2915"/>
      <c r="L20" s="2940"/>
      <c r="M20" s="1808" t="s">
        <v>1834</v>
      </c>
      <c r="N20" s="2944"/>
      <c r="O20" s="2945"/>
      <c r="P20" s="2946"/>
      <c r="Q20" s="2956"/>
      <c r="R20" s="2957"/>
      <c r="S20" s="2958"/>
      <c r="Z20" s="1618">
        <v>20</v>
      </c>
      <c r="AA20" s="1729">
        <v>19</v>
      </c>
    </row>
    <row r="21" spans="1:27" s="144" customFormat="1">
      <c r="B21" s="246" t="s">
        <v>1597</v>
      </c>
      <c r="F21" s="2909"/>
      <c r="G21" s="2910"/>
      <c r="H21" s="2911"/>
      <c r="I21" s="2045" t="s">
        <v>1596</v>
      </c>
      <c r="J21" s="810"/>
      <c r="M21" s="246" t="s">
        <v>1598</v>
      </c>
      <c r="N21" s="2909"/>
      <c r="O21" s="2910"/>
      <c r="P21" s="2911"/>
      <c r="Q21" s="2956"/>
      <c r="R21" s="2957"/>
      <c r="S21" s="2958"/>
      <c r="U21" s="230"/>
      <c r="V21" s="230"/>
      <c r="W21" s="230"/>
      <c r="X21" s="230"/>
      <c r="Z21" s="1618">
        <v>21</v>
      </c>
      <c r="AA21" s="1729">
        <v>20</v>
      </c>
    </row>
    <row r="22" spans="1:27" s="144" customFormat="1">
      <c r="B22" s="246" t="s">
        <v>1837</v>
      </c>
      <c r="F22" s="2938"/>
      <c r="G22" s="2939"/>
      <c r="H22" s="2939"/>
      <c r="I22" s="2915"/>
      <c r="J22" s="2939"/>
      <c r="K22" s="2915"/>
      <c r="L22" s="2940"/>
      <c r="M22" s="246" t="s">
        <v>1833</v>
      </c>
      <c r="N22" s="2941"/>
      <c r="O22" s="2942"/>
      <c r="P22" s="2943"/>
      <c r="Q22" s="2956"/>
      <c r="R22" s="2957"/>
      <c r="S22" s="2958"/>
      <c r="Z22" s="1618">
        <v>22</v>
      </c>
      <c r="AA22" s="1729">
        <v>21</v>
      </c>
    </row>
    <row r="23" spans="1:27" s="144" customFormat="1">
      <c r="I23" s="145"/>
      <c r="J23" s="145"/>
      <c r="K23" s="145"/>
      <c r="L23" s="145"/>
      <c r="M23" s="145"/>
      <c r="N23" s="145"/>
      <c r="O23" s="145"/>
      <c r="P23" s="145"/>
      <c r="Q23" s="2956"/>
      <c r="R23" s="2957"/>
      <c r="S23" s="2958"/>
      <c r="Z23" s="1618">
        <v>23</v>
      </c>
      <c r="AA23" s="1729">
        <v>22</v>
      </c>
    </row>
    <row r="24" spans="1:27" s="144" customFormat="1">
      <c r="A24" s="222" t="s">
        <v>1661</v>
      </c>
      <c r="B24" s="243" t="s">
        <v>1379</v>
      </c>
      <c r="D24" s="145"/>
      <c r="E24" s="245"/>
      <c r="F24" s="245"/>
      <c r="G24" s="246"/>
      <c r="H24" s="245"/>
      <c r="I24" s="245"/>
      <c r="J24" s="245"/>
      <c r="Q24" s="2956"/>
      <c r="R24" s="2957"/>
      <c r="S24" s="2958"/>
      <c r="Z24" s="1618">
        <v>24</v>
      </c>
      <c r="AA24" s="1729">
        <v>23</v>
      </c>
    </row>
    <row r="25" spans="1:27" s="144" customFormat="1" ht="1.5" customHeight="1">
      <c r="A25" s="222"/>
      <c r="B25" s="243"/>
      <c r="D25" s="145"/>
      <c r="E25" s="245"/>
      <c r="F25" s="245"/>
      <c r="G25" s="246"/>
      <c r="H25" s="245"/>
      <c r="I25" s="245"/>
      <c r="J25" s="245"/>
      <c r="L25" s="247"/>
      <c r="M25" s="247"/>
      <c r="Q25" s="2956"/>
      <c r="R25" s="2957"/>
      <c r="S25" s="2958"/>
      <c r="Z25" s="1618">
        <v>25</v>
      </c>
      <c r="AA25" s="1729">
        <v>24</v>
      </c>
    </row>
    <row r="26" spans="1:27" s="144" customFormat="1" ht="13.4" customHeight="1">
      <c r="A26" s="243"/>
      <c r="B26" s="144" t="s">
        <v>573</v>
      </c>
      <c r="D26" s="243"/>
      <c r="F26" s="2913"/>
      <c r="G26" s="2914"/>
      <c r="H26" s="2914"/>
      <c r="I26" s="2915"/>
      <c r="J26" s="2914"/>
      <c r="K26" s="2916"/>
      <c r="M26" s="246" t="s">
        <v>424</v>
      </c>
      <c r="P26" s="1809"/>
      <c r="Q26" s="2956"/>
      <c r="R26" s="2957"/>
      <c r="S26" s="2958"/>
      <c r="Z26" s="1618">
        <v>26</v>
      </c>
      <c r="AA26" s="1729">
        <v>25</v>
      </c>
    </row>
    <row r="27" spans="1:27" s="144" customFormat="1">
      <c r="A27" s="374"/>
      <c r="B27" s="144" t="s">
        <v>574</v>
      </c>
      <c r="F27" s="2917" t="s">
        <v>2483</v>
      </c>
      <c r="G27" s="2918"/>
      <c r="H27" s="2919"/>
      <c r="I27" s="257" t="s">
        <v>575</v>
      </c>
      <c r="J27" s="2920" t="str">
        <f>IF(F27="","",VLOOKUP(F27,'DCA Underwriting Assumptions'!$T$166:$U$795,2,FALSE))</f>
        <v>Select City first</v>
      </c>
      <c r="K27" s="2921"/>
      <c r="M27" s="246" t="s">
        <v>425</v>
      </c>
      <c r="P27" s="1866"/>
      <c r="Q27" s="2956"/>
      <c r="R27" s="2957"/>
      <c r="S27" s="2958"/>
      <c r="U27" s="374"/>
      <c r="Z27" s="1618">
        <v>27</v>
      </c>
      <c r="AA27" s="1729">
        <v>26</v>
      </c>
    </row>
    <row r="28" spans="1:27" s="144" customFormat="1">
      <c r="A28" s="374"/>
      <c r="B28" s="144" t="s">
        <v>3786</v>
      </c>
      <c r="C28" s="251"/>
      <c r="D28" s="252"/>
      <c r="E28" s="252"/>
      <c r="F28" s="2917" t="s">
        <v>2483</v>
      </c>
      <c r="G28" s="2922"/>
      <c r="H28" s="2923"/>
      <c r="I28" s="248"/>
      <c r="J28" s="391" t="s">
        <v>4622</v>
      </c>
      <c r="K28" s="248"/>
      <c r="M28" s="246" t="s">
        <v>4565</v>
      </c>
      <c r="O28" s="2924"/>
      <c r="P28" s="2925"/>
      <c r="Q28" s="2956"/>
      <c r="R28" s="2957"/>
      <c r="S28" s="2958"/>
      <c r="Z28" s="1618">
        <v>28</v>
      </c>
      <c r="AA28" s="1729">
        <v>27</v>
      </c>
    </row>
    <row r="29" spans="1:27" s="144" customFormat="1">
      <c r="A29" s="374"/>
      <c r="B29" s="144" t="s">
        <v>1453</v>
      </c>
      <c r="F29" s="1198"/>
      <c r="G29" s="807"/>
      <c r="I29" s="1865"/>
      <c r="J29" s="248" t="s">
        <v>2493</v>
      </c>
      <c r="K29" s="1867" t="str">
        <f>IF(F29="Yes","Rural","Urban")</f>
        <v>Urban</v>
      </c>
      <c r="M29" s="246" t="s">
        <v>2393</v>
      </c>
      <c r="N29" s="1868">
        <f>VLOOKUP($J$27,'DCA Underwriting Assumptions'!$G$166:$J$325,4)</f>
        <v>0</v>
      </c>
      <c r="O29" s="2920" t="str">
        <f>IF($F$27="","",VLOOKUP($J$27,'DCA Underwriting Assumptions'!$G$166:$L$325,3,FALSE))</f>
        <v>Select City first</v>
      </c>
      <c r="P29" s="2921"/>
      <c r="Q29" s="2956"/>
      <c r="R29" s="2957"/>
      <c r="S29" s="2958"/>
      <c r="Z29" s="1618">
        <v>29</v>
      </c>
      <c r="AA29" s="1729">
        <v>28</v>
      </c>
    </row>
    <row r="30" spans="1:27" s="144" customFormat="1">
      <c r="A30" s="374"/>
      <c r="B30" s="374"/>
      <c r="C30" s="251"/>
      <c r="D30" s="252"/>
      <c r="E30" s="252"/>
      <c r="F30" s="248"/>
      <c r="G30" s="248"/>
      <c r="H30" s="248"/>
      <c r="I30" s="248"/>
      <c r="J30" s="252"/>
      <c r="K30" s="248"/>
      <c r="L30" s="248"/>
      <c r="P30" s="248"/>
      <c r="Q30" s="2956"/>
      <c r="R30" s="2957"/>
      <c r="S30" s="2958"/>
      <c r="Z30" s="1618">
        <v>30</v>
      </c>
      <c r="AA30" s="1729">
        <v>29</v>
      </c>
    </row>
    <row r="31" spans="1:27" s="144" customFormat="1">
      <c r="A31" s="222" t="s">
        <v>1663</v>
      </c>
      <c r="B31" s="222" t="s">
        <v>4552</v>
      </c>
      <c r="D31" s="253"/>
      <c r="E31" s="253"/>
      <c r="F31" s="253"/>
      <c r="G31" s="248"/>
      <c r="H31" s="248"/>
      <c r="I31" s="248"/>
      <c r="J31" s="252"/>
      <c r="K31" s="248"/>
      <c r="L31" s="248"/>
      <c r="P31" s="1847"/>
      <c r="Q31" s="2956"/>
      <c r="R31" s="2957"/>
      <c r="S31" s="2958"/>
      <c r="Z31" s="1618">
        <v>31</v>
      </c>
      <c r="AA31" s="1729">
        <v>30</v>
      </c>
    </row>
    <row r="32" spans="1:27" s="144" customFormat="1" ht="2.25" customHeight="1">
      <c r="A32" s="374"/>
      <c r="B32" s="374"/>
      <c r="M32" s="246"/>
      <c r="N32" s="1155"/>
      <c r="O32" s="1155"/>
      <c r="P32" s="1466"/>
      <c r="Q32" s="2956"/>
      <c r="R32" s="2957"/>
      <c r="S32" s="2958"/>
      <c r="Z32" s="1618">
        <v>32</v>
      </c>
      <c r="AA32" s="1729">
        <v>31</v>
      </c>
    </row>
    <row r="33" spans="1:27" s="144" customFormat="1">
      <c r="A33" s="374"/>
      <c r="B33" s="222" t="s">
        <v>4551</v>
      </c>
      <c r="D33" s="804"/>
      <c r="E33" s="804"/>
      <c r="F33" s="804"/>
      <c r="G33" s="804"/>
      <c r="H33" s="248"/>
      <c r="J33" s="145"/>
      <c r="K33" s="252"/>
      <c r="P33" s="248"/>
      <c r="Q33" s="2956"/>
      <c r="R33" s="2957"/>
      <c r="S33" s="2958"/>
      <c r="Z33" s="1618">
        <v>33</v>
      </c>
      <c r="AA33" s="1729">
        <v>32</v>
      </c>
    </row>
    <row r="34" spans="1:27" s="144" customFormat="1" ht="1.5" customHeight="1">
      <c r="A34" s="374"/>
      <c r="B34" s="374"/>
      <c r="C34" s="222"/>
      <c r="D34" s="804"/>
      <c r="E34" s="804"/>
      <c r="F34" s="804"/>
      <c r="G34" s="804"/>
      <c r="H34" s="248"/>
      <c r="J34" s="145"/>
      <c r="K34" s="252"/>
      <c r="P34" s="248"/>
      <c r="Q34" s="2956"/>
      <c r="R34" s="2957"/>
      <c r="S34" s="2958"/>
      <c r="Z34" s="1618">
        <v>34</v>
      </c>
      <c r="AA34" s="1729">
        <v>33</v>
      </c>
    </row>
    <row r="35" spans="1:27" s="144" customFormat="1" ht="13.5" hidden="1" customHeight="1">
      <c r="A35" s="374"/>
      <c r="B35" s="374"/>
      <c r="C35" s="144" t="s">
        <v>1206</v>
      </c>
      <c r="D35" s="258"/>
      <c r="I35" s="1189"/>
      <c r="K35" s="243"/>
      <c r="L35" s="144" t="s">
        <v>3002</v>
      </c>
      <c r="P35" s="1802"/>
      <c r="Q35" s="2956"/>
      <c r="R35" s="2957"/>
      <c r="S35" s="2958"/>
      <c r="Z35" s="1618">
        <v>35</v>
      </c>
      <c r="AA35" s="1729">
        <v>34</v>
      </c>
    </row>
    <row r="36" spans="1:27" s="144" customFormat="1" ht="12.75" hidden="1" customHeight="1">
      <c r="A36" s="374"/>
      <c r="B36" s="243"/>
      <c r="C36" s="144" t="s">
        <v>3812</v>
      </c>
      <c r="I36" s="1796"/>
      <c r="J36" s="257" t="s">
        <v>2477</v>
      </c>
      <c r="O36" s="2926"/>
      <c r="P36" s="2927"/>
      <c r="Q36" s="2956"/>
      <c r="R36" s="2957"/>
      <c r="S36" s="2958"/>
      <c r="Z36" s="1618">
        <v>36</v>
      </c>
      <c r="AA36" s="1729">
        <v>35</v>
      </c>
    </row>
    <row r="37" spans="1:27" s="144" customFormat="1" ht="12.75" customHeight="1">
      <c r="A37" s="374"/>
      <c r="B37" s="243"/>
      <c r="C37" s="144" t="s">
        <v>1671</v>
      </c>
      <c r="I37" s="1189"/>
      <c r="J37" s="257" t="s">
        <v>2477</v>
      </c>
      <c r="O37" s="2928"/>
      <c r="P37" s="2929"/>
      <c r="Q37" s="2956"/>
      <c r="R37" s="2957"/>
      <c r="S37" s="2958"/>
      <c r="Z37" s="1618">
        <v>37</v>
      </c>
      <c r="AA37" s="1729">
        <v>36</v>
      </c>
    </row>
    <row r="38" spans="1:27" s="144" customFormat="1" ht="12.65" customHeight="1">
      <c r="A38" s="374"/>
      <c r="B38" s="374"/>
      <c r="C38" s="144" t="s">
        <v>2568</v>
      </c>
      <c r="I38" s="849"/>
      <c r="J38" s="257" t="s">
        <v>2477</v>
      </c>
      <c r="O38" s="2930"/>
      <c r="P38" s="2931"/>
      <c r="Q38" s="2959"/>
      <c r="R38" s="2960"/>
      <c r="S38" s="2961"/>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2"/>
      <c r="B43" s="2933"/>
      <c r="C43" s="2933"/>
      <c r="D43" s="2933"/>
      <c r="E43" s="2933"/>
      <c r="F43" s="2933"/>
      <c r="G43" s="2933"/>
      <c r="H43" s="2933"/>
      <c r="I43" s="2933"/>
      <c r="J43" s="2933"/>
      <c r="K43" s="2933"/>
      <c r="L43" s="2934"/>
      <c r="M43" s="2935"/>
      <c r="N43" s="2936"/>
      <c r="O43" s="2936"/>
      <c r="P43" s="2937"/>
      <c r="Q43" s="2912"/>
      <c r="R43" s="2908"/>
      <c r="S43" s="2908"/>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3209</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miU75bXnbON09a3acPoL8IEhGc85DEBLKMTbsyI7O6LPb6YCxsPDiFF2d6TehJfXsE4jBNOPVizry7AZU95SQA==" saltValue="Um4rQGkhjDTLShbXZzndtw=="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619"/>
    <col min="27" max="16384" width="9.26953125" style="145"/>
  </cols>
  <sheetData>
    <row r="1" spans="1:26" s="1651" customFormat="1" ht="13.5" hidden="1" customHeight="1">
      <c r="A1" s="1616"/>
      <c r="D1" s="1651" t="s">
        <v>4218</v>
      </c>
      <c r="E1" s="1651" t="s">
        <v>4208</v>
      </c>
      <c r="F1" s="1651" t="s">
        <v>4219</v>
      </c>
      <c r="H1" s="1651" t="s">
        <v>4220</v>
      </c>
      <c r="J1" s="1651" t="s">
        <v>4221</v>
      </c>
      <c r="K1" s="1651" t="s">
        <v>4222</v>
      </c>
      <c r="L1" s="1651" t="s">
        <v>4223</v>
      </c>
      <c r="M1" s="1651" t="s">
        <v>4224</v>
      </c>
      <c r="O1" s="1651" t="s">
        <v>4225</v>
      </c>
      <c r="Q1" s="1651" t="s">
        <v>4226</v>
      </c>
      <c r="Z1" s="1618">
        <v>1</v>
      </c>
    </row>
    <row r="2" spans="1:26" s="144" customFormat="1" ht="14.15" customHeight="1">
      <c r="A2" s="3000" t="e">
        <f>CONCATENATE("PART TWO - DEVELOPMENT TEAM INFORMATION","  -  ",#REF!," ",#REF!,", ",#REF!,", ",#REF!," County")</f>
        <v>#REF!</v>
      </c>
      <c r="B2" s="3001"/>
      <c r="C2" s="3001"/>
      <c r="D2" s="3001"/>
      <c r="E2" s="3001"/>
      <c r="F2" s="3001"/>
      <c r="G2" s="3001"/>
      <c r="H2" s="3001"/>
      <c r="I2" s="3001"/>
      <c r="J2" s="3001"/>
      <c r="K2" s="3001"/>
      <c r="L2" s="3001"/>
      <c r="M2" s="3001"/>
      <c r="N2" s="3001"/>
      <c r="O2" s="3001"/>
      <c r="P2" s="3001"/>
      <c r="Q2" s="3001"/>
      <c r="R2" s="3001"/>
      <c r="S2" s="3002"/>
      <c r="Z2" s="1618">
        <v>2</v>
      </c>
    </row>
    <row r="3" spans="1:26" ht="12" customHeight="1" thickBot="1">
      <c r="A3" s="730" t="s">
        <v>3541</v>
      </c>
      <c r="B3" s="731"/>
      <c r="C3" s="731"/>
      <c r="D3" s="731"/>
      <c r="E3" s="731"/>
      <c r="F3" s="731"/>
      <c r="G3" s="731"/>
      <c r="H3" s="731"/>
      <c r="I3" s="731"/>
      <c r="J3" s="731"/>
      <c r="K3" s="731"/>
      <c r="L3" s="731"/>
      <c r="M3" s="731"/>
      <c r="N3" s="731"/>
      <c r="O3" s="731"/>
      <c r="P3" s="731"/>
      <c r="Q3" s="731"/>
      <c r="R3" s="731"/>
      <c r="S3" s="731"/>
      <c r="Z3" s="1618">
        <v>3</v>
      </c>
    </row>
    <row r="4" spans="1:26" s="144" customFormat="1" ht="13.4" customHeight="1" thickBot="1">
      <c r="A4" s="243" t="s">
        <v>572</v>
      </c>
      <c r="B4" s="222" t="s">
        <v>1717</v>
      </c>
      <c r="C4" s="222"/>
      <c r="E4" s="222"/>
      <c r="F4" s="222"/>
      <c r="G4" s="222"/>
      <c r="H4" s="932" t="s">
        <v>3374</v>
      </c>
      <c r="O4" s="3004" t="e">
        <f>#REF!</f>
        <v>#REF!</v>
      </c>
      <c r="P4" s="3005"/>
      <c r="Q4" s="3005"/>
      <c r="R4" s="3005"/>
      <c r="S4" s="3006"/>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44" t="s">
        <v>87</v>
      </c>
      <c r="I6" s="2988"/>
      <c r="J6" s="2988"/>
      <c r="K6" s="2988"/>
      <c r="L6" s="2988"/>
      <c r="M6" s="2988"/>
      <c r="N6" s="2989"/>
      <c r="O6" s="259" t="s">
        <v>1842</v>
      </c>
      <c r="P6" s="259"/>
      <c r="Q6" s="2944"/>
      <c r="R6" s="2988"/>
      <c r="S6" s="2989"/>
      <c r="Y6" s="826"/>
      <c r="Z6" s="1618">
        <v>6</v>
      </c>
    </row>
    <row r="7" spans="1:26" s="144" customFormat="1" ht="11.25" customHeight="1">
      <c r="D7" s="260"/>
      <c r="E7" s="246" t="s">
        <v>956</v>
      </c>
      <c r="F7" s="247"/>
      <c r="H7" s="2917"/>
      <c r="I7" s="2991"/>
      <c r="J7" s="2991"/>
      <c r="K7" s="2992"/>
      <c r="L7" s="2991"/>
      <c r="M7" s="2991"/>
      <c r="N7" s="2993"/>
      <c r="O7" s="259" t="s">
        <v>1621</v>
      </c>
      <c r="P7" s="261"/>
      <c r="Q7" s="2994"/>
      <c r="R7" s="2995"/>
      <c r="S7" s="2996"/>
      <c r="V7" s="826"/>
      <c r="W7" s="826"/>
      <c r="X7" s="826"/>
      <c r="Y7" s="826"/>
      <c r="Z7" s="1618">
        <v>7</v>
      </c>
    </row>
    <row r="8" spans="1:26" s="144" customFormat="1" ht="11.25" customHeight="1">
      <c r="D8" s="260"/>
      <c r="E8" s="246" t="s">
        <v>574</v>
      </c>
      <c r="H8" s="2917"/>
      <c r="I8" s="2992"/>
      <c r="J8" s="2997"/>
      <c r="K8" s="334" t="s">
        <v>709</v>
      </c>
      <c r="L8" s="3003"/>
      <c r="M8" s="2991"/>
      <c r="N8" s="2993"/>
      <c r="O8" s="259" t="s">
        <v>1598</v>
      </c>
      <c r="P8" s="261"/>
      <c r="Q8" s="2909"/>
      <c r="R8" s="2910"/>
      <c r="S8" s="2911"/>
      <c r="Z8" s="1618">
        <v>8</v>
      </c>
    </row>
    <row r="9" spans="1:26" s="144" customFormat="1" ht="11.25" customHeight="1">
      <c r="D9" s="260"/>
      <c r="E9" s="246" t="s">
        <v>1666</v>
      </c>
      <c r="H9" s="981"/>
      <c r="I9" s="664" t="s">
        <v>2056</v>
      </c>
      <c r="J9" s="2980"/>
      <c r="K9" s="2981"/>
      <c r="L9" s="261" t="s">
        <v>3111</v>
      </c>
      <c r="M9" s="2982"/>
      <c r="N9" s="2983"/>
      <c r="O9" s="259" t="s">
        <v>1833</v>
      </c>
      <c r="P9" s="261"/>
      <c r="Q9" s="2909"/>
      <c r="R9" s="2910"/>
      <c r="S9" s="2911"/>
      <c r="Z9" s="1618">
        <v>9</v>
      </c>
    </row>
    <row r="10" spans="1:26" s="144" customFormat="1" ht="11.25" customHeight="1">
      <c r="D10" s="260"/>
      <c r="E10" s="246" t="s">
        <v>3375</v>
      </c>
      <c r="H10" s="2984"/>
      <c r="I10" s="2985"/>
      <c r="J10" s="699"/>
      <c r="K10" s="262" t="s">
        <v>1837</v>
      </c>
      <c r="L10" s="2986"/>
      <c r="M10" s="2939"/>
      <c r="N10" s="2939"/>
      <c r="O10" s="2915"/>
      <c r="P10" s="2915"/>
      <c r="Q10" s="2939"/>
      <c r="R10" s="2939"/>
      <c r="S10" s="2987"/>
      <c r="Z10" s="1618">
        <v>10</v>
      </c>
    </row>
    <row r="11" spans="1:26" s="144" customFormat="1" ht="11.25" customHeight="1">
      <c r="D11" s="260"/>
      <c r="E11" s="932" t="s">
        <v>3374</v>
      </c>
      <c r="H11" s="263"/>
      <c r="I11" s="261"/>
      <c r="J11" s="261"/>
      <c r="K11" s="304"/>
      <c r="L11" s="261"/>
      <c r="M11" s="261"/>
      <c r="N11" s="335" t="s">
        <v>3053</v>
      </c>
      <c r="O11" s="261"/>
      <c r="P11" s="261"/>
      <c r="Q11" s="262"/>
      <c r="R11" s="261"/>
      <c r="S11" s="261"/>
      <c r="T11" s="261"/>
      <c r="Z11" s="161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4"/>
      <c r="I15" s="2988"/>
      <c r="J15" s="2988"/>
      <c r="K15" s="2988"/>
      <c r="L15" s="2988"/>
      <c r="M15" s="2988"/>
      <c r="N15" s="2989"/>
      <c r="O15" s="259" t="s">
        <v>1842</v>
      </c>
      <c r="P15" s="259"/>
      <c r="Q15" s="2944"/>
      <c r="R15" s="2988"/>
      <c r="S15" s="2989"/>
      <c r="Z15" s="1618">
        <v>15</v>
      </c>
    </row>
    <row r="16" spans="1:26" s="144" customFormat="1" ht="11.25" customHeight="1">
      <c r="D16" s="260"/>
      <c r="E16" s="246" t="s">
        <v>956</v>
      </c>
      <c r="F16" s="247"/>
      <c r="H16" s="2917"/>
      <c r="I16" s="2991"/>
      <c r="J16" s="2991"/>
      <c r="K16" s="2992"/>
      <c r="L16" s="2991"/>
      <c r="M16" s="2991"/>
      <c r="N16" s="2993"/>
      <c r="O16" s="259" t="s">
        <v>1621</v>
      </c>
      <c r="P16" s="261"/>
      <c r="Q16" s="2994"/>
      <c r="R16" s="2995"/>
      <c r="S16" s="2996"/>
      <c r="Z16" s="1618">
        <v>16</v>
      </c>
    </row>
    <row r="17" spans="4:26" s="144" customFormat="1" ht="11.25" customHeight="1">
      <c r="D17" s="260"/>
      <c r="E17" s="246" t="s">
        <v>574</v>
      </c>
      <c r="H17" s="2917"/>
      <c r="I17" s="2992"/>
      <c r="J17" s="2997"/>
      <c r="K17" s="262" t="s">
        <v>2452</v>
      </c>
      <c r="L17" s="2917"/>
      <c r="M17" s="2991"/>
      <c r="N17" s="2997"/>
      <c r="O17" s="259" t="s">
        <v>1598</v>
      </c>
      <c r="P17" s="261"/>
      <c r="Q17" s="2909"/>
      <c r="R17" s="2910"/>
      <c r="S17" s="2911"/>
      <c r="Z17" s="1618">
        <v>17</v>
      </c>
    </row>
    <row r="18" spans="4:26" s="144" customFormat="1" ht="11.25" customHeight="1">
      <c r="D18" s="243"/>
      <c r="E18" s="246" t="s">
        <v>1666</v>
      </c>
      <c r="H18" s="981"/>
      <c r="I18" s="261"/>
      <c r="J18" s="261"/>
      <c r="K18" s="664" t="s">
        <v>2056</v>
      </c>
      <c r="L18" s="2998"/>
      <c r="M18" s="2999"/>
      <c r="N18" s="261"/>
      <c r="O18" s="259" t="s">
        <v>1833</v>
      </c>
      <c r="P18" s="261"/>
      <c r="Q18" s="2909"/>
      <c r="R18" s="2910"/>
      <c r="S18" s="2911"/>
      <c r="Z18" s="1618">
        <v>18</v>
      </c>
    </row>
    <row r="19" spans="4:26" s="144" customFormat="1" ht="11.25" customHeight="1">
      <c r="D19" s="260"/>
      <c r="E19" s="246" t="s">
        <v>3375</v>
      </c>
      <c r="H19" s="2984"/>
      <c r="I19" s="2990"/>
      <c r="J19" s="255"/>
      <c r="K19" s="262" t="s">
        <v>1837</v>
      </c>
      <c r="L19" s="2938"/>
      <c r="M19" s="2939"/>
      <c r="N19" s="2915"/>
      <c r="O19" s="2915"/>
      <c r="P19" s="2915"/>
      <c r="Q19" s="2939"/>
      <c r="R19" s="2939"/>
      <c r="S19" s="2987"/>
      <c r="Z19" s="1618">
        <v>19</v>
      </c>
    </row>
    <row r="20" spans="4:26" ht="4.4000000000000004"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4"/>
      <c r="I21" s="2988"/>
      <c r="J21" s="2988"/>
      <c r="K21" s="2988"/>
      <c r="L21" s="2988"/>
      <c r="M21" s="2988"/>
      <c r="N21" s="2989"/>
      <c r="O21" s="259" t="s">
        <v>1842</v>
      </c>
      <c r="P21" s="259"/>
      <c r="Q21" s="2944"/>
      <c r="R21" s="2988"/>
      <c r="S21" s="2989"/>
      <c r="Z21" s="1618">
        <v>21</v>
      </c>
    </row>
    <row r="22" spans="4:26" s="144" customFormat="1" ht="11.25" customHeight="1">
      <c r="D22" s="260"/>
      <c r="E22" s="246" t="s">
        <v>956</v>
      </c>
      <c r="F22" s="247"/>
      <c r="H22" s="2917"/>
      <c r="I22" s="2991"/>
      <c r="J22" s="2991"/>
      <c r="K22" s="2992"/>
      <c r="L22" s="2991"/>
      <c r="M22" s="2991"/>
      <c r="N22" s="2993"/>
      <c r="O22" s="259" t="s">
        <v>1621</v>
      </c>
      <c r="P22" s="261"/>
      <c r="Q22" s="2994"/>
      <c r="R22" s="2995"/>
      <c r="S22" s="2996"/>
      <c r="Z22" s="1618">
        <v>22</v>
      </c>
    </row>
    <row r="23" spans="4:26" s="144" customFormat="1" ht="11.25" customHeight="1">
      <c r="D23" s="260"/>
      <c r="E23" s="246" t="s">
        <v>574</v>
      </c>
      <c r="H23" s="2917"/>
      <c r="I23" s="2992"/>
      <c r="J23" s="2997"/>
      <c r="K23" s="262" t="s">
        <v>2452</v>
      </c>
      <c r="L23" s="2917"/>
      <c r="M23" s="2991"/>
      <c r="N23" s="2997"/>
      <c r="O23" s="259" t="s">
        <v>1598</v>
      </c>
      <c r="P23" s="261"/>
      <c r="Q23" s="2909"/>
      <c r="R23" s="2910"/>
      <c r="S23" s="2911"/>
      <c r="Z23" s="1618">
        <v>23</v>
      </c>
    </row>
    <row r="24" spans="4:26" s="144" customFormat="1" ht="11.25" customHeight="1">
      <c r="E24" s="246" t="s">
        <v>1666</v>
      </c>
      <c r="H24" s="981"/>
      <c r="I24" s="261"/>
      <c r="J24" s="261"/>
      <c r="K24" s="664" t="s">
        <v>2056</v>
      </c>
      <c r="L24" s="2998"/>
      <c r="M24" s="2999"/>
      <c r="N24" s="261"/>
      <c r="O24" s="259" t="s">
        <v>1833</v>
      </c>
      <c r="P24" s="261"/>
      <c r="Q24" s="2909"/>
      <c r="R24" s="2910"/>
      <c r="S24" s="2911"/>
      <c r="Z24" s="1618">
        <v>24</v>
      </c>
    </row>
    <row r="25" spans="4:26" s="144" customFormat="1" ht="11.25" customHeight="1">
      <c r="D25" s="260"/>
      <c r="E25" s="246" t="s">
        <v>3375</v>
      </c>
      <c r="H25" s="2984"/>
      <c r="I25" s="2990"/>
      <c r="J25" s="255"/>
      <c r="K25" s="262" t="s">
        <v>1837</v>
      </c>
      <c r="L25" s="2938"/>
      <c r="M25" s="2939"/>
      <c r="N25" s="2915"/>
      <c r="O25" s="2915"/>
      <c r="P25" s="2915"/>
      <c r="Q25" s="2939"/>
      <c r="R25" s="2939"/>
      <c r="S25" s="2987"/>
      <c r="Z25" s="1618">
        <v>25</v>
      </c>
    </row>
    <row r="26" spans="4:26" s="144" customFormat="1" ht="4.4000000000000004"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4"/>
      <c r="I27" s="2988"/>
      <c r="J27" s="2988"/>
      <c r="K27" s="2988"/>
      <c r="L27" s="2988"/>
      <c r="M27" s="2988"/>
      <c r="N27" s="2989"/>
      <c r="O27" s="259" t="s">
        <v>1842</v>
      </c>
      <c r="P27" s="259"/>
      <c r="Q27" s="2944"/>
      <c r="R27" s="2988"/>
      <c r="S27" s="2989"/>
      <c r="Z27" s="1618">
        <v>27</v>
      </c>
    </row>
    <row r="28" spans="4:26" s="144" customFormat="1" ht="11.25" customHeight="1">
      <c r="D28" s="260"/>
      <c r="E28" s="246" t="s">
        <v>956</v>
      </c>
      <c r="F28" s="247"/>
      <c r="H28" s="2917"/>
      <c r="I28" s="2991"/>
      <c r="J28" s="2991"/>
      <c r="K28" s="2992"/>
      <c r="L28" s="2991"/>
      <c r="M28" s="2991"/>
      <c r="N28" s="2993"/>
      <c r="O28" s="259" t="s">
        <v>1621</v>
      </c>
      <c r="P28" s="261"/>
      <c r="Q28" s="2994"/>
      <c r="R28" s="2995"/>
      <c r="S28" s="2996"/>
      <c r="Z28" s="1618">
        <v>28</v>
      </c>
    </row>
    <row r="29" spans="4:26" s="144" customFormat="1" ht="11.25" customHeight="1">
      <c r="D29" s="260"/>
      <c r="E29" s="246" t="s">
        <v>574</v>
      </c>
      <c r="H29" s="2917"/>
      <c r="I29" s="2992"/>
      <c r="J29" s="2997"/>
      <c r="K29" s="262" t="s">
        <v>2452</v>
      </c>
      <c r="L29" s="2917"/>
      <c r="M29" s="2991"/>
      <c r="N29" s="2997"/>
      <c r="O29" s="259" t="s">
        <v>1598</v>
      </c>
      <c r="P29" s="261"/>
      <c r="Q29" s="2909"/>
      <c r="R29" s="2910"/>
      <c r="S29" s="2911"/>
      <c r="Z29" s="1618">
        <v>29</v>
      </c>
    </row>
    <row r="30" spans="4:26" s="144" customFormat="1" ht="11.25" customHeight="1">
      <c r="E30" s="246" t="s">
        <v>1666</v>
      </c>
      <c r="H30" s="981"/>
      <c r="I30" s="261"/>
      <c r="J30" s="261"/>
      <c r="K30" s="664" t="s">
        <v>2056</v>
      </c>
      <c r="L30" s="2998"/>
      <c r="M30" s="2999"/>
      <c r="N30" s="261"/>
      <c r="O30" s="259" t="s">
        <v>1833</v>
      </c>
      <c r="P30" s="261"/>
      <c r="Q30" s="2909"/>
      <c r="R30" s="2910"/>
      <c r="S30" s="2911"/>
      <c r="Z30" s="1618">
        <v>30</v>
      </c>
    </row>
    <row r="31" spans="4:26" s="144" customFormat="1" ht="11.25" customHeight="1">
      <c r="D31" s="260"/>
      <c r="E31" s="246" t="s">
        <v>3375</v>
      </c>
      <c r="H31" s="2984"/>
      <c r="I31" s="2990"/>
      <c r="J31" s="255"/>
      <c r="K31" s="262" t="s">
        <v>1837</v>
      </c>
      <c r="L31" s="2938"/>
      <c r="M31" s="2939"/>
      <c r="N31" s="2915"/>
      <c r="O31" s="2915"/>
      <c r="P31" s="2915"/>
      <c r="Q31" s="2939"/>
      <c r="R31" s="2939"/>
      <c r="S31" s="2987"/>
      <c r="Z31" s="1618">
        <v>31</v>
      </c>
    </row>
    <row r="32" spans="4:26" ht="4.4000000000000004"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3374</v>
      </c>
      <c r="L33" s="261"/>
      <c r="M33" s="261"/>
      <c r="N33" s="261"/>
      <c r="O33" s="261"/>
      <c r="P33" s="261"/>
      <c r="Q33" s="261"/>
      <c r="R33" s="261"/>
      <c r="S33" s="261"/>
      <c r="Z33" s="1618">
        <v>33</v>
      </c>
    </row>
    <row r="34" spans="3:26" s="144" customFormat="1" ht="11.25" customHeight="1">
      <c r="D34" s="243" t="s">
        <v>1958</v>
      </c>
      <c r="E34" s="144" t="s">
        <v>698</v>
      </c>
      <c r="H34" s="2944"/>
      <c r="I34" s="2988"/>
      <c r="J34" s="2988"/>
      <c r="K34" s="2988"/>
      <c r="L34" s="2988"/>
      <c r="M34" s="2988"/>
      <c r="N34" s="2989"/>
      <c r="O34" s="259" t="s">
        <v>1842</v>
      </c>
      <c r="P34" s="259"/>
      <c r="Q34" s="2944"/>
      <c r="R34" s="2988"/>
      <c r="S34" s="2989"/>
      <c r="Z34" s="1618">
        <v>34</v>
      </c>
    </row>
    <row r="35" spans="3:26" s="144" customFormat="1" ht="11.25" customHeight="1">
      <c r="D35" s="260"/>
      <c r="E35" s="246" t="s">
        <v>956</v>
      </c>
      <c r="F35" s="247"/>
      <c r="H35" s="2917"/>
      <c r="I35" s="2991"/>
      <c r="J35" s="2991"/>
      <c r="K35" s="2992"/>
      <c r="L35" s="2991"/>
      <c r="M35" s="2991"/>
      <c r="N35" s="2993"/>
      <c r="O35" s="259" t="s">
        <v>1621</v>
      </c>
      <c r="P35" s="261"/>
      <c r="Q35" s="2994"/>
      <c r="R35" s="2995"/>
      <c r="S35" s="2996"/>
      <c r="Z35" s="1618">
        <v>35</v>
      </c>
    </row>
    <row r="36" spans="3:26" s="144" customFormat="1" ht="11.25" customHeight="1">
      <c r="D36" s="260"/>
      <c r="E36" s="246" t="s">
        <v>574</v>
      </c>
      <c r="H36" s="2917"/>
      <c r="I36" s="2992"/>
      <c r="J36" s="2997"/>
      <c r="K36" s="262" t="s">
        <v>2452</v>
      </c>
      <c r="L36" s="2917"/>
      <c r="M36" s="2991"/>
      <c r="N36" s="2997"/>
      <c r="O36" s="259" t="s">
        <v>1598</v>
      </c>
      <c r="P36" s="261"/>
      <c r="Q36" s="2909"/>
      <c r="R36" s="2910"/>
      <c r="S36" s="2911"/>
      <c r="Z36" s="1618">
        <v>36</v>
      </c>
    </row>
    <row r="37" spans="3:26" s="144" customFormat="1" ht="11.25" customHeight="1">
      <c r="E37" s="246" t="s">
        <v>1666</v>
      </c>
      <c r="H37" s="981"/>
      <c r="I37" s="261"/>
      <c r="J37" s="261"/>
      <c r="K37" s="664" t="s">
        <v>2056</v>
      </c>
      <c r="L37" s="2998"/>
      <c r="M37" s="2999"/>
      <c r="N37" s="261"/>
      <c r="O37" s="259" t="s">
        <v>1833</v>
      </c>
      <c r="P37" s="261"/>
      <c r="Q37" s="2909"/>
      <c r="R37" s="2910"/>
      <c r="S37" s="2911"/>
      <c r="Z37" s="1618">
        <v>37</v>
      </c>
    </row>
    <row r="38" spans="3:26" s="144" customFormat="1" ht="11.25" customHeight="1">
      <c r="D38" s="260"/>
      <c r="E38" s="246" t="s">
        <v>3375</v>
      </c>
      <c r="H38" s="2984"/>
      <c r="I38" s="2990"/>
      <c r="J38" s="255"/>
      <c r="K38" s="262" t="s">
        <v>1837</v>
      </c>
      <c r="L38" s="2938"/>
      <c r="M38" s="2939"/>
      <c r="N38" s="2915"/>
      <c r="O38" s="2915"/>
      <c r="P38" s="2915"/>
      <c r="Q38" s="2939"/>
      <c r="R38" s="2939"/>
      <c r="S38" s="2987"/>
      <c r="Z38" s="1618">
        <v>38</v>
      </c>
    </row>
    <row r="39" spans="3:26" ht="4.4000000000000004"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4"/>
      <c r="I40" s="2988"/>
      <c r="J40" s="2988"/>
      <c r="K40" s="2988"/>
      <c r="L40" s="2988"/>
      <c r="M40" s="2988"/>
      <c r="N40" s="2989"/>
      <c r="O40" s="259" t="s">
        <v>1842</v>
      </c>
      <c r="P40" s="259"/>
      <c r="Q40" s="2944"/>
      <c r="R40" s="2988"/>
      <c r="S40" s="2989"/>
      <c r="Z40" s="1618">
        <v>40</v>
      </c>
    </row>
    <row r="41" spans="3:26" s="144" customFormat="1" ht="11.25" customHeight="1">
      <c r="D41" s="260"/>
      <c r="E41" s="246" t="s">
        <v>956</v>
      </c>
      <c r="F41" s="247"/>
      <c r="H41" s="2917"/>
      <c r="I41" s="2991"/>
      <c r="J41" s="2991"/>
      <c r="K41" s="2992"/>
      <c r="L41" s="2991"/>
      <c r="M41" s="2991"/>
      <c r="N41" s="2993"/>
      <c r="O41" s="259" t="s">
        <v>1621</v>
      </c>
      <c r="P41" s="261"/>
      <c r="Q41" s="2994"/>
      <c r="R41" s="2995"/>
      <c r="S41" s="2996"/>
      <c r="Z41" s="1618">
        <v>41</v>
      </c>
    </row>
    <row r="42" spans="3:26" s="144" customFormat="1" ht="11.25" customHeight="1">
      <c r="D42" s="260"/>
      <c r="E42" s="246" t="s">
        <v>574</v>
      </c>
      <c r="H42" s="2917"/>
      <c r="I42" s="2992"/>
      <c r="J42" s="2997"/>
      <c r="K42" s="262" t="s">
        <v>2452</v>
      </c>
      <c r="L42" s="2917"/>
      <c r="M42" s="2991"/>
      <c r="N42" s="2997"/>
      <c r="O42" s="259" t="s">
        <v>1598</v>
      </c>
      <c r="P42" s="261"/>
      <c r="Q42" s="2909"/>
      <c r="R42" s="2910"/>
      <c r="S42" s="2911"/>
      <c r="Z42" s="1618">
        <v>42</v>
      </c>
    </row>
    <row r="43" spans="3:26" s="144" customFormat="1" ht="11.25" customHeight="1">
      <c r="D43" s="243"/>
      <c r="E43" s="246" t="s">
        <v>1666</v>
      </c>
      <c r="H43" s="981"/>
      <c r="I43" s="261"/>
      <c r="J43" s="261"/>
      <c r="K43" s="664" t="s">
        <v>2056</v>
      </c>
      <c r="L43" s="2998"/>
      <c r="M43" s="2999"/>
      <c r="N43" s="261"/>
      <c r="O43" s="259" t="s">
        <v>1833</v>
      </c>
      <c r="P43" s="261"/>
      <c r="Q43" s="2909"/>
      <c r="R43" s="2910"/>
      <c r="S43" s="2911"/>
      <c r="Z43" s="1618">
        <v>43</v>
      </c>
    </row>
    <row r="44" spans="3:26" s="144" customFormat="1" ht="11.25" customHeight="1">
      <c r="D44" s="260"/>
      <c r="E44" s="246" t="s">
        <v>3375</v>
      </c>
      <c r="H44" s="2984"/>
      <c r="I44" s="2990"/>
      <c r="J44" s="255"/>
      <c r="K44" s="262" t="s">
        <v>1837</v>
      </c>
      <c r="L44" s="2938"/>
      <c r="M44" s="2939"/>
      <c r="N44" s="2915"/>
      <c r="O44" s="2915"/>
      <c r="P44" s="2915"/>
      <c r="Q44" s="2939"/>
      <c r="R44" s="2939"/>
      <c r="S44" s="2987"/>
      <c r="Z44" s="1618">
        <v>44</v>
      </c>
    </row>
    <row r="45" spans="3:26" s="144" customFormat="1" ht="4.4000000000000004"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3374</v>
      </c>
      <c r="L46" s="261"/>
      <c r="M46" s="261"/>
      <c r="N46" s="261"/>
      <c r="O46" s="261"/>
      <c r="P46" s="261"/>
      <c r="Q46" s="261"/>
      <c r="R46" s="261"/>
      <c r="S46" s="261"/>
      <c r="Z46" s="1618">
        <v>46</v>
      </c>
    </row>
    <row r="47" spans="3:26" s="144" customFormat="1" ht="11.25" customHeight="1">
      <c r="E47" s="144" t="s">
        <v>88</v>
      </c>
      <c r="H47" s="2944"/>
      <c r="I47" s="2988"/>
      <c r="J47" s="2988"/>
      <c r="K47" s="2988"/>
      <c r="L47" s="2988"/>
      <c r="M47" s="2988"/>
      <c r="N47" s="2989"/>
      <c r="O47" s="259" t="s">
        <v>1842</v>
      </c>
      <c r="P47" s="259"/>
      <c r="Q47" s="2944"/>
      <c r="R47" s="2988"/>
      <c r="S47" s="2989"/>
      <c r="Z47" s="1618">
        <v>47</v>
      </c>
    </row>
    <row r="48" spans="3:26" s="144" customFormat="1" ht="11.25" customHeight="1">
      <c r="D48" s="260"/>
      <c r="E48" s="246" t="s">
        <v>956</v>
      </c>
      <c r="F48" s="247"/>
      <c r="H48" s="2917"/>
      <c r="I48" s="2991"/>
      <c r="J48" s="2991"/>
      <c r="K48" s="2992"/>
      <c r="L48" s="2991"/>
      <c r="M48" s="2991"/>
      <c r="N48" s="2993"/>
      <c r="O48" s="259" t="s">
        <v>1621</v>
      </c>
      <c r="P48" s="261"/>
      <c r="Q48" s="2994"/>
      <c r="R48" s="2995"/>
      <c r="S48" s="2996"/>
      <c r="Z48" s="1618">
        <v>48</v>
      </c>
    </row>
    <row r="49" spans="1:26" s="144" customFormat="1" ht="11.25" customHeight="1">
      <c r="D49" s="260"/>
      <c r="E49" s="246" t="s">
        <v>574</v>
      </c>
      <c r="H49" s="2917"/>
      <c r="I49" s="2992"/>
      <c r="J49" s="2997"/>
      <c r="K49" s="262" t="s">
        <v>2452</v>
      </c>
      <c r="L49" s="2917"/>
      <c r="M49" s="2991"/>
      <c r="N49" s="2997"/>
      <c r="O49" s="259" t="s">
        <v>1598</v>
      </c>
      <c r="P49" s="261"/>
      <c r="Q49" s="2909"/>
      <c r="R49" s="2910"/>
      <c r="S49" s="2911"/>
      <c r="Z49" s="1618">
        <v>49</v>
      </c>
    </row>
    <row r="50" spans="1:26" s="144" customFormat="1" ht="11.25" customHeight="1">
      <c r="E50" s="246" t="s">
        <v>1666</v>
      </c>
      <c r="H50" s="981"/>
      <c r="I50" s="261"/>
      <c r="J50" s="261"/>
      <c r="K50" s="664" t="s">
        <v>2056</v>
      </c>
      <c r="L50" s="2998"/>
      <c r="M50" s="2999"/>
      <c r="N50" s="261"/>
      <c r="O50" s="259" t="s">
        <v>1833</v>
      </c>
      <c r="P50" s="261"/>
      <c r="Q50" s="2909"/>
      <c r="R50" s="2910"/>
      <c r="S50" s="2911"/>
      <c r="Z50" s="1618">
        <v>50</v>
      </c>
    </row>
    <row r="51" spans="1:26" s="144" customFormat="1" ht="11.25" customHeight="1">
      <c r="D51" s="260"/>
      <c r="E51" s="246" t="s">
        <v>3375</v>
      </c>
      <c r="H51" s="2984"/>
      <c r="I51" s="2990"/>
      <c r="J51" s="255"/>
      <c r="K51" s="262" t="s">
        <v>1837</v>
      </c>
      <c r="L51" s="2938"/>
      <c r="M51" s="2939"/>
      <c r="N51" s="2915"/>
      <c r="O51" s="2915"/>
      <c r="P51" s="2915"/>
      <c r="Q51" s="2939"/>
      <c r="R51" s="2939"/>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4" customHeight="1">
      <c r="A53" s="243" t="s">
        <v>688</v>
      </c>
      <c r="B53" s="243" t="s">
        <v>605</v>
      </c>
      <c r="F53" s="243"/>
      <c r="G53" s="248"/>
      <c r="H53" s="262"/>
      <c r="I53" s="262"/>
      <c r="J53" s="261"/>
      <c r="K53" s="1226" t="s">
        <v>3374</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4"/>
      <c r="I55" s="2988"/>
      <c r="J55" s="2988"/>
      <c r="K55" s="2988"/>
      <c r="L55" s="2988"/>
      <c r="M55" s="2988"/>
      <c r="N55" s="2989"/>
      <c r="O55" s="259" t="s">
        <v>1842</v>
      </c>
      <c r="P55" s="259"/>
      <c r="Q55" s="2944"/>
      <c r="R55" s="2988"/>
      <c r="S55" s="2989"/>
      <c r="Z55" s="1618">
        <v>55</v>
      </c>
    </row>
    <row r="56" spans="1:26" s="144" customFormat="1" ht="11.25" customHeight="1">
      <c r="D56" s="260"/>
      <c r="E56" s="246" t="s">
        <v>956</v>
      </c>
      <c r="F56" s="247"/>
      <c r="H56" s="2917"/>
      <c r="I56" s="2991"/>
      <c r="J56" s="2991"/>
      <c r="K56" s="2992"/>
      <c r="L56" s="2991"/>
      <c r="M56" s="2991"/>
      <c r="N56" s="2993"/>
      <c r="O56" s="259" t="s">
        <v>1621</v>
      </c>
      <c r="P56" s="261"/>
      <c r="Q56" s="2994"/>
      <c r="R56" s="2995"/>
      <c r="S56" s="2996"/>
      <c r="Z56" s="1618">
        <v>56</v>
      </c>
    </row>
    <row r="57" spans="1:26" s="144" customFormat="1" ht="11.25" customHeight="1">
      <c r="D57" s="260"/>
      <c r="E57" s="246" t="s">
        <v>574</v>
      </c>
      <c r="H57" s="2917"/>
      <c r="I57" s="2992"/>
      <c r="J57" s="2997"/>
      <c r="K57" s="262" t="s">
        <v>2452</v>
      </c>
      <c r="L57" s="2917"/>
      <c r="M57" s="2991"/>
      <c r="N57" s="2997"/>
      <c r="O57" s="259" t="s">
        <v>1598</v>
      </c>
      <c r="P57" s="261"/>
      <c r="Q57" s="2909"/>
      <c r="R57" s="2910"/>
      <c r="S57" s="2911"/>
      <c r="Z57" s="1618">
        <v>57</v>
      </c>
    </row>
    <row r="58" spans="1:26" s="144" customFormat="1" ht="11.25" customHeight="1">
      <c r="E58" s="246" t="s">
        <v>1666</v>
      </c>
      <c r="H58" s="981"/>
      <c r="I58" s="261"/>
      <c r="J58" s="261"/>
      <c r="K58" s="664" t="s">
        <v>2056</v>
      </c>
      <c r="L58" s="2998"/>
      <c r="M58" s="2999"/>
      <c r="N58" s="261"/>
      <c r="O58" s="259" t="s">
        <v>1833</v>
      </c>
      <c r="P58" s="261"/>
      <c r="Q58" s="2909"/>
      <c r="R58" s="2910"/>
      <c r="S58" s="2911"/>
      <c r="Z58" s="1618">
        <v>58</v>
      </c>
    </row>
    <row r="59" spans="1:26" s="144" customFormat="1" ht="11.25" customHeight="1">
      <c r="D59" s="260"/>
      <c r="E59" s="246" t="s">
        <v>3375</v>
      </c>
      <c r="H59" s="2984"/>
      <c r="I59" s="2990"/>
      <c r="J59" s="255"/>
      <c r="K59" s="262" t="s">
        <v>1837</v>
      </c>
      <c r="L59" s="2938"/>
      <c r="M59" s="2939"/>
      <c r="N59" s="2915"/>
      <c r="O59" s="2915"/>
      <c r="P59" s="2915"/>
      <c r="Q59" s="2939"/>
      <c r="R59" s="2939"/>
      <c r="S59" s="2987"/>
      <c r="Z59" s="1618">
        <v>59</v>
      </c>
    </row>
    <row r="60" spans="1:26" s="144" customFormat="1" ht="6.65"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4"/>
      <c r="I61" s="2988"/>
      <c r="J61" s="2988"/>
      <c r="K61" s="2988"/>
      <c r="L61" s="2988"/>
      <c r="M61" s="2988"/>
      <c r="N61" s="2989"/>
      <c r="O61" s="259" t="s">
        <v>1842</v>
      </c>
      <c r="P61" s="259"/>
      <c r="Q61" s="2944"/>
      <c r="R61" s="2988"/>
      <c r="S61" s="2989"/>
      <c r="Z61" s="1618">
        <v>61</v>
      </c>
    </row>
    <row r="62" spans="1:26" s="144" customFormat="1" ht="11.25" customHeight="1">
      <c r="D62" s="260"/>
      <c r="E62" s="246" t="s">
        <v>956</v>
      </c>
      <c r="F62" s="247"/>
      <c r="H62" s="2917"/>
      <c r="I62" s="2991"/>
      <c r="J62" s="2991"/>
      <c r="K62" s="2992"/>
      <c r="L62" s="2991"/>
      <c r="M62" s="2991"/>
      <c r="N62" s="2993"/>
      <c r="O62" s="259" t="s">
        <v>1621</v>
      </c>
      <c r="P62" s="261"/>
      <c r="Q62" s="2994"/>
      <c r="R62" s="2995"/>
      <c r="S62" s="2996"/>
      <c r="Z62" s="1618">
        <v>62</v>
      </c>
    </row>
    <row r="63" spans="1:26" s="144" customFormat="1" ht="11.25" customHeight="1">
      <c r="D63" s="260"/>
      <c r="E63" s="246" t="s">
        <v>574</v>
      </c>
      <c r="H63" s="2917"/>
      <c r="I63" s="2992"/>
      <c r="J63" s="2997"/>
      <c r="K63" s="262" t="s">
        <v>2452</v>
      </c>
      <c r="L63" s="2917"/>
      <c r="M63" s="2991"/>
      <c r="N63" s="2997"/>
      <c r="O63" s="259" t="s">
        <v>1598</v>
      </c>
      <c r="P63" s="261"/>
      <c r="Q63" s="2909"/>
      <c r="R63" s="2910"/>
      <c r="S63" s="2911"/>
      <c r="Z63" s="1618">
        <v>63</v>
      </c>
    </row>
    <row r="64" spans="1:26" s="144" customFormat="1" ht="11.25" customHeight="1">
      <c r="E64" s="246" t="s">
        <v>1666</v>
      </c>
      <c r="H64" s="981"/>
      <c r="I64" s="261"/>
      <c r="J64" s="261"/>
      <c r="K64" s="664" t="s">
        <v>2056</v>
      </c>
      <c r="L64" s="2998"/>
      <c r="M64" s="2999"/>
      <c r="N64" s="261"/>
      <c r="O64" s="259" t="s">
        <v>1833</v>
      </c>
      <c r="P64" s="261"/>
      <c r="Q64" s="2909"/>
      <c r="R64" s="2910"/>
      <c r="S64" s="2911"/>
      <c r="Z64" s="1618">
        <v>64</v>
      </c>
    </row>
    <row r="65" spans="1:26" s="144" customFormat="1" ht="11.25" customHeight="1">
      <c r="D65" s="260"/>
      <c r="E65" s="246" t="s">
        <v>3375</v>
      </c>
      <c r="H65" s="2984"/>
      <c r="I65" s="2990"/>
      <c r="J65" s="255"/>
      <c r="K65" s="262" t="s">
        <v>1837</v>
      </c>
      <c r="L65" s="2938"/>
      <c r="M65" s="2939"/>
      <c r="N65" s="2915"/>
      <c r="O65" s="2915"/>
      <c r="P65" s="2915"/>
      <c r="Q65" s="2939"/>
      <c r="R65" s="2939"/>
      <c r="S65" s="2987"/>
      <c r="Z65" s="1618">
        <v>65</v>
      </c>
    </row>
    <row r="66" spans="1:26" s="144" customFormat="1" ht="6.65"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4"/>
      <c r="I67" s="2988"/>
      <c r="J67" s="2988"/>
      <c r="K67" s="2988"/>
      <c r="L67" s="2988"/>
      <c r="M67" s="2988"/>
      <c r="N67" s="2989"/>
      <c r="O67" s="259" t="s">
        <v>1842</v>
      </c>
      <c r="P67" s="259"/>
      <c r="Q67" s="2944"/>
      <c r="R67" s="2988"/>
      <c r="S67" s="2989"/>
      <c r="Z67" s="1618">
        <v>67</v>
      </c>
    </row>
    <row r="68" spans="1:26" s="144" customFormat="1" ht="11.25" customHeight="1">
      <c r="D68" s="260"/>
      <c r="E68" s="246" t="s">
        <v>956</v>
      </c>
      <c r="F68" s="247"/>
      <c r="H68" s="2917"/>
      <c r="I68" s="2991"/>
      <c r="J68" s="2991"/>
      <c r="K68" s="2992"/>
      <c r="L68" s="2991"/>
      <c r="M68" s="2991"/>
      <c r="N68" s="2993"/>
      <c r="O68" s="259" t="s">
        <v>1621</v>
      </c>
      <c r="P68" s="261"/>
      <c r="Q68" s="2994"/>
      <c r="R68" s="2995"/>
      <c r="S68" s="2996"/>
      <c r="Z68" s="1618">
        <v>68</v>
      </c>
    </row>
    <row r="69" spans="1:26" s="144" customFormat="1" ht="11.25" customHeight="1">
      <c r="D69" s="260"/>
      <c r="E69" s="246" t="s">
        <v>574</v>
      </c>
      <c r="H69" s="2917"/>
      <c r="I69" s="2992"/>
      <c r="J69" s="2997"/>
      <c r="K69" s="262" t="s">
        <v>2452</v>
      </c>
      <c r="L69" s="2917"/>
      <c r="M69" s="2991"/>
      <c r="N69" s="2997"/>
      <c r="O69" s="259" t="s">
        <v>1598</v>
      </c>
      <c r="P69" s="261"/>
      <c r="Q69" s="2909"/>
      <c r="R69" s="2910"/>
      <c r="S69" s="2911"/>
      <c r="Z69" s="1618">
        <v>69</v>
      </c>
    </row>
    <row r="70" spans="1:26" s="144" customFormat="1" ht="11.25" customHeight="1">
      <c r="E70" s="246" t="s">
        <v>1666</v>
      </c>
      <c r="H70" s="981"/>
      <c r="I70" s="261"/>
      <c r="J70" s="261"/>
      <c r="K70" s="664" t="s">
        <v>2056</v>
      </c>
      <c r="L70" s="2998"/>
      <c r="M70" s="2999"/>
      <c r="N70" s="261"/>
      <c r="O70" s="259" t="s">
        <v>1833</v>
      </c>
      <c r="P70" s="261"/>
      <c r="Q70" s="2909"/>
      <c r="R70" s="2910"/>
      <c r="S70" s="2911"/>
      <c r="Z70" s="1618">
        <v>70</v>
      </c>
    </row>
    <row r="71" spans="1:26" s="144" customFormat="1" ht="11.25" customHeight="1">
      <c r="D71" s="260"/>
      <c r="E71" s="246" t="s">
        <v>3375</v>
      </c>
      <c r="H71" s="2984"/>
      <c r="I71" s="2990"/>
      <c r="J71" s="255"/>
      <c r="K71" s="262" t="s">
        <v>1837</v>
      </c>
      <c r="L71" s="2938"/>
      <c r="M71" s="2939"/>
      <c r="N71" s="2915"/>
      <c r="O71" s="2915"/>
      <c r="P71" s="2915"/>
      <c r="Q71" s="2939"/>
      <c r="R71" s="2939"/>
      <c r="S71" s="2987"/>
      <c r="Z71" s="1618">
        <v>71</v>
      </c>
    </row>
    <row r="72" spans="1:26" ht="6.65"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4"/>
      <c r="I73" s="2988"/>
      <c r="J73" s="2988"/>
      <c r="K73" s="2988"/>
      <c r="L73" s="2988"/>
      <c r="M73" s="2988"/>
      <c r="N73" s="2989"/>
      <c r="O73" s="259" t="s">
        <v>1842</v>
      </c>
      <c r="P73" s="259"/>
      <c r="Q73" s="2944"/>
      <c r="R73" s="2988"/>
      <c r="S73" s="2989"/>
      <c r="Z73" s="1618">
        <v>73</v>
      </c>
    </row>
    <row r="74" spans="1:26" s="144" customFormat="1" ht="11.25" customHeight="1">
      <c r="D74" s="260"/>
      <c r="E74" s="246" t="s">
        <v>956</v>
      </c>
      <c r="F74" s="247"/>
      <c r="H74" s="2917"/>
      <c r="I74" s="2991"/>
      <c r="J74" s="2991"/>
      <c r="K74" s="2992"/>
      <c r="L74" s="2991"/>
      <c r="M74" s="2991"/>
      <c r="N74" s="2993"/>
      <c r="O74" s="259" t="s">
        <v>1621</v>
      </c>
      <c r="P74" s="261"/>
      <c r="Q74" s="2994"/>
      <c r="R74" s="2995"/>
      <c r="S74" s="2996"/>
      <c r="Z74" s="1618">
        <v>74</v>
      </c>
    </row>
    <row r="75" spans="1:26" s="144" customFormat="1" ht="11.25" customHeight="1">
      <c r="D75" s="260"/>
      <c r="E75" s="246" t="s">
        <v>574</v>
      </c>
      <c r="H75" s="2917"/>
      <c r="I75" s="2992"/>
      <c r="J75" s="2997"/>
      <c r="K75" s="262" t="s">
        <v>2452</v>
      </c>
      <c r="L75" s="2917"/>
      <c r="M75" s="2991"/>
      <c r="N75" s="2997"/>
      <c r="O75" s="259" t="s">
        <v>1598</v>
      </c>
      <c r="P75" s="261"/>
      <c r="Q75" s="2909"/>
      <c r="R75" s="2910"/>
      <c r="S75" s="2911"/>
      <c r="Z75" s="1618">
        <v>75</v>
      </c>
    </row>
    <row r="76" spans="1:26" s="144" customFormat="1" ht="11.25" customHeight="1">
      <c r="E76" s="246" t="s">
        <v>1666</v>
      </c>
      <c r="H76" s="981"/>
      <c r="I76" s="261"/>
      <c r="J76" s="261"/>
      <c r="K76" s="664" t="s">
        <v>2056</v>
      </c>
      <c r="L76" s="2998"/>
      <c r="M76" s="2999"/>
      <c r="N76" s="261"/>
      <c r="O76" s="259" t="s">
        <v>1833</v>
      </c>
      <c r="P76" s="261"/>
      <c r="Q76" s="2909"/>
      <c r="R76" s="2910"/>
      <c r="S76" s="2911"/>
      <c r="Z76" s="1618">
        <v>76</v>
      </c>
    </row>
    <row r="77" spans="1:26" s="144" customFormat="1" ht="11.25" customHeight="1">
      <c r="D77" s="260"/>
      <c r="E77" s="246" t="s">
        <v>3375</v>
      </c>
      <c r="H77" s="2984"/>
      <c r="I77" s="2990"/>
      <c r="J77" s="255"/>
      <c r="K77" s="262" t="s">
        <v>1837</v>
      </c>
      <c r="L77" s="2938"/>
      <c r="M77" s="2939"/>
      <c r="N77" s="2915"/>
      <c r="O77" s="2915"/>
      <c r="P77" s="2915"/>
      <c r="Q77" s="2939"/>
      <c r="R77" s="2939"/>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4" customHeight="1">
      <c r="A79" s="222" t="s">
        <v>690</v>
      </c>
      <c r="B79" s="222" t="s">
        <v>273</v>
      </c>
      <c r="D79" s="222"/>
      <c r="F79" s="222"/>
      <c r="G79" s="222"/>
      <c r="H79" s="264"/>
      <c r="I79" s="264"/>
      <c r="J79" s="264"/>
      <c r="K79" s="1226" t="s">
        <v>3374</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4"/>
      <c r="I81" s="2988"/>
      <c r="J81" s="2988"/>
      <c r="K81" s="2988"/>
      <c r="L81" s="2988"/>
      <c r="M81" s="2988"/>
      <c r="N81" s="2989"/>
      <c r="O81" s="259" t="s">
        <v>1842</v>
      </c>
      <c r="P81" s="259"/>
      <c r="Q81" s="2944"/>
      <c r="R81" s="2988"/>
      <c r="S81" s="2989"/>
      <c r="Z81" s="1618">
        <v>81</v>
      </c>
    </row>
    <row r="82" spans="2:26" s="144" customFormat="1" ht="11.25" customHeight="1">
      <c r="D82" s="260"/>
      <c r="E82" s="246" t="s">
        <v>956</v>
      </c>
      <c r="F82" s="247"/>
      <c r="H82" s="2917"/>
      <c r="I82" s="2991"/>
      <c r="J82" s="2991"/>
      <c r="K82" s="2992"/>
      <c r="L82" s="2991"/>
      <c r="M82" s="2991"/>
      <c r="N82" s="2993"/>
      <c r="O82" s="259" t="s">
        <v>1621</v>
      </c>
      <c r="P82" s="261"/>
      <c r="Q82" s="2994"/>
      <c r="R82" s="2995"/>
      <c r="S82" s="2996"/>
      <c r="Z82" s="1618">
        <v>82</v>
      </c>
    </row>
    <row r="83" spans="2:26" s="144" customFormat="1" ht="11.25" customHeight="1">
      <c r="D83" s="260"/>
      <c r="E83" s="246" t="s">
        <v>574</v>
      </c>
      <c r="H83" s="2917"/>
      <c r="I83" s="2992"/>
      <c r="J83" s="2997"/>
      <c r="K83" s="262" t="s">
        <v>2452</v>
      </c>
      <c r="L83" s="2917"/>
      <c r="M83" s="2991"/>
      <c r="N83" s="2997"/>
      <c r="O83" s="259" t="s">
        <v>1598</v>
      </c>
      <c r="P83" s="261"/>
      <c r="Q83" s="2909"/>
      <c r="R83" s="2910"/>
      <c r="S83" s="2911"/>
      <c r="Z83" s="1618">
        <v>83</v>
      </c>
    </row>
    <row r="84" spans="2:26" s="144" customFormat="1" ht="11.25" customHeight="1">
      <c r="E84" s="246" t="s">
        <v>1666</v>
      </c>
      <c r="H84" s="981"/>
      <c r="I84" s="261"/>
      <c r="J84" s="261"/>
      <c r="K84" s="664" t="s">
        <v>2056</v>
      </c>
      <c r="L84" s="2998"/>
      <c r="M84" s="2999"/>
      <c r="N84" s="261"/>
      <c r="O84" s="259" t="s">
        <v>1833</v>
      </c>
      <c r="P84" s="261"/>
      <c r="Q84" s="2909"/>
      <c r="R84" s="2910"/>
      <c r="S84" s="2911"/>
      <c r="Z84" s="1618">
        <v>84</v>
      </c>
    </row>
    <row r="85" spans="2:26" s="144" customFormat="1" ht="11.25" customHeight="1">
      <c r="D85" s="260"/>
      <c r="E85" s="246" t="s">
        <v>3375</v>
      </c>
      <c r="H85" s="2984"/>
      <c r="I85" s="2990"/>
      <c r="J85" s="255"/>
      <c r="K85" s="262" t="s">
        <v>1837</v>
      </c>
      <c r="L85" s="2938"/>
      <c r="M85" s="2939"/>
      <c r="N85" s="2915"/>
      <c r="O85" s="2915"/>
      <c r="P85" s="2915"/>
      <c r="Q85" s="2939"/>
      <c r="R85" s="2939"/>
      <c r="S85" s="2987"/>
      <c r="Z85" s="1618">
        <v>85</v>
      </c>
    </row>
    <row r="86" spans="2:26" ht="6.65"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4"/>
      <c r="I87" s="2988"/>
      <c r="J87" s="2988"/>
      <c r="K87" s="2988"/>
      <c r="L87" s="2988"/>
      <c r="M87" s="2988"/>
      <c r="N87" s="2989"/>
      <c r="O87" s="259" t="s">
        <v>1842</v>
      </c>
      <c r="P87" s="259"/>
      <c r="Q87" s="2944"/>
      <c r="R87" s="2988"/>
      <c r="S87" s="2989"/>
      <c r="Z87" s="1618">
        <v>87</v>
      </c>
    </row>
    <row r="88" spans="2:26" s="144" customFormat="1" ht="11.25" customHeight="1">
      <c r="D88" s="260"/>
      <c r="E88" s="246" t="s">
        <v>956</v>
      </c>
      <c r="F88" s="247"/>
      <c r="H88" s="2917"/>
      <c r="I88" s="2991"/>
      <c r="J88" s="2991"/>
      <c r="K88" s="2992"/>
      <c r="L88" s="2991"/>
      <c r="M88" s="2991"/>
      <c r="N88" s="2993"/>
      <c r="O88" s="259" t="s">
        <v>1621</v>
      </c>
      <c r="P88" s="261"/>
      <c r="Q88" s="2994"/>
      <c r="R88" s="2995"/>
      <c r="S88" s="2996"/>
      <c r="Z88" s="1618">
        <v>88</v>
      </c>
    </row>
    <row r="89" spans="2:26" s="144" customFormat="1" ht="11.25" customHeight="1">
      <c r="D89" s="260"/>
      <c r="E89" s="246" t="s">
        <v>574</v>
      </c>
      <c r="H89" s="2917"/>
      <c r="I89" s="2992"/>
      <c r="J89" s="2997"/>
      <c r="K89" s="262" t="s">
        <v>2452</v>
      </c>
      <c r="L89" s="2917"/>
      <c r="M89" s="2991"/>
      <c r="N89" s="2997"/>
      <c r="O89" s="259" t="s">
        <v>1598</v>
      </c>
      <c r="P89" s="261"/>
      <c r="Q89" s="2909"/>
      <c r="R89" s="2910"/>
      <c r="S89" s="2911"/>
      <c r="Z89" s="1618">
        <v>89</v>
      </c>
    </row>
    <row r="90" spans="2:26" s="144" customFormat="1" ht="11.25" customHeight="1">
      <c r="E90" s="246" t="s">
        <v>1666</v>
      </c>
      <c r="H90" s="981"/>
      <c r="I90" s="261"/>
      <c r="J90" s="261"/>
      <c r="K90" s="664" t="s">
        <v>2056</v>
      </c>
      <c r="L90" s="2998"/>
      <c r="M90" s="2999"/>
      <c r="N90" s="261"/>
      <c r="O90" s="259" t="s">
        <v>1833</v>
      </c>
      <c r="P90" s="261"/>
      <c r="Q90" s="2909"/>
      <c r="R90" s="2910"/>
      <c r="S90" s="2911"/>
      <c r="Z90" s="1618">
        <v>90</v>
      </c>
    </row>
    <row r="91" spans="2:26" s="144" customFormat="1" ht="11.25" customHeight="1">
      <c r="D91" s="260"/>
      <c r="E91" s="246" t="s">
        <v>3375</v>
      </c>
      <c r="H91" s="2984"/>
      <c r="I91" s="2990"/>
      <c r="J91" s="255"/>
      <c r="K91" s="262" t="s">
        <v>1837</v>
      </c>
      <c r="L91" s="2938"/>
      <c r="M91" s="2939"/>
      <c r="N91" s="2915"/>
      <c r="O91" s="2915"/>
      <c r="P91" s="2915"/>
      <c r="Q91" s="2939"/>
      <c r="R91" s="2939"/>
      <c r="S91" s="2987"/>
      <c r="Z91" s="1618">
        <v>91</v>
      </c>
    </row>
    <row r="92" spans="2:26" ht="6.65"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4"/>
      <c r="I93" s="2988"/>
      <c r="J93" s="2988"/>
      <c r="K93" s="2988"/>
      <c r="L93" s="2988"/>
      <c r="M93" s="2988"/>
      <c r="N93" s="2989"/>
      <c r="O93" s="259" t="s">
        <v>1842</v>
      </c>
      <c r="P93" s="259"/>
      <c r="Q93" s="2944"/>
      <c r="R93" s="2988"/>
      <c r="S93" s="2989"/>
      <c r="Z93" s="1618">
        <v>93</v>
      </c>
    </row>
    <row r="94" spans="2:26" s="144" customFormat="1" ht="11.25" customHeight="1">
      <c r="D94" s="260"/>
      <c r="E94" s="246" t="s">
        <v>956</v>
      </c>
      <c r="F94" s="247"/>
      <c r="H94" s="2917"/>
      <c r="I94" s="2991"/>
      <c r="J94" s="2991"/>
      <c r="K94" s="2992"/>
      <c r="L94" s="2991"/>
      <c r="M94" s="2991"/>
      <c r="N94" s="2993"/>
      <c r="O94" s="259" t="s">
        <v>1621</v>
      </c>
      <c r="P94" s="261"/>
      <c r="Q94" s="2994"/>
      <c r="R94" s="2995"/>
      <c r="S94" s="2996"/>
      <c r="Z94" s="1618">
        <v>94</v>
      </c>
    </row>
    <row r="95" spans="2:26" s="144" customFormat="1" ht="11.25" customHeight="1">
      <c r="D95" s="260"/>
      <c r="E95" s="246" t="s">
        <v>574</v>
      </c>
      <c r="H95" s="2917"/>
      <c r="I95" s="2992"/>
      <c r="J95" s="2997"/>
      <c r="K95" s="262" t="s">
        <v>2452</v>
      </c>
      <c r="L95" s="2917"/>
      <c r="M95" s="2991"/>
      <c r="N95" s="2997"/>
      <c r="O95" s="259" t="s">
        <v>1598</v>
      </c>
      <c r="P95" s="261"/>
      <c r="Q95" s="2909"/>
      <c r="R95" s="2910"/>
      <c r="S95" s="2911"/>
      <c r="Z95" s="1618">
        <v>95</v>
      </c>
    </row>
    <row r="96" spans="2:26" s="144" customFormat="1" ht="11.25" customHeight="1">
      <c r="D96" s="260"/>
      <c r="E96" s="246" t="s">
        <v>1666</v>
      </c>
      <c r="H96" s="981"/>
      <c r="I96" s="261"/>
      <c r="J96" s="261"/>
      <c r="K96" s="664" t="s">
        <v>2056</v>
      </c>
      <c r="L96" s="2998"/>
      <c r="M96" s="2999"/>
      <c r="N96" s="261"/>
      <c r="O96" s="259" t="s">
        <v>1833</v>
      </c>
      <c r="P96" s="261"/>
      <c r="Q96" s="2909"/>
      <c r="R96" s="2910"/>
      <c r="S96" s="2911"/>
      <c r="Z96" s="1618">
        <v>96</v>
      </c>
    </row>
    <row r="97" spans="2:26" s="144" customFormat="1" ht="11.25" customHeight="1">
      <c r="D97" s="260"/>
      <c r="E97" s="246" t="s">
        <v>3375</v>
      </c>
      <c r="H97" s="2984"/>
      <c r="I97" s="2990"/>
      <c r="J97" s="255"/>
      <c r="K97" s="262" t="s">
        <v>1837</v>
      </c>
      <c r="L97" s="2938"/>
      <c r="M97" s="2939"/>
      <c r="N97" s="2915"/>
      <c r="O97" s="2915"/>
      <c r="P97" s="2915"/>
      <c r="Q97" s="2939"/>
      <c r="R97" s="2939"/>
      <c r="S97" s="2987"/>
      <c r="Z97" s="1618">
        <v>97</v>
      </c>
    </row>
    <row r="98" spans="2:26" ht="6.65"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4"/>
      <c r="I99" s="2988"/>
      <c r="J99" s="2988"/>
      <c r="K99" s="2988"/>
      <c r="L99" s="2988"/>
      <c r="M99" s="2988"/>
      <c r="N99" s="2989"/>
      <c r="O99" s="259" t="s">
        <v>1842</v>
      </c>
      <c r="P99" s="259"/>
      <c r="Q99" s="2944"/>
      <c r="R99" s="2988"/>
      <c r="S99" s="2989"/>
      <c r="Z99" s="1618">
        <v>99</v>
      </c>
    </row>
    <row r="100" spans="2:26" s="144" customFormat="1" ht="11.25" customHeight="1">
      <c r="D100" s="260"/>
      <c r="E100" s="246" t="s">
        <v>956</v>
      </c>
      <c r="F100" s="247"/>
      <c r="H100" s="2917"/>
      <c r="I100" s="2991"/>
      <c r="J100" s="2991"/>
      <c r="K100" s="2992"/>
      <c r="L100" s="2991"/>
      <c r="M100" s="2991"/>
      <c r="N100" s="2993"/>
      <c r="O100" s="259" t="s">
        <v>1621</v>
      </c>
      <c r="P100" s="261"/>
      <c r="Q100" s="2994"/>
      <c r="R100" s="2995"/>
      <c r="S100" s="2996"/>
      <c r="Z100" s="1618">
        <v>100</v>
      </c>
    </row>
    <row r="101" spans="2:26" s="144" customFormat="1" ht="11.25" customHeight="1">
      <c r="D101" s="260"/>
      <c r="E101" s="246" t="s">
        <v>574</v>
      </c>
      <c r="H101" s="2917"/>
      <c r="I101" s="2992"/>
      <c r="J101" s="2997"/>
      <c r="K101" s="262" t="s">
        <v>2452</v>
      </c>
      <c r="L101" s="2917"/>
      <c r="M101" s="2991"/>
      <c r="N101" s="2997"/>
      <c r="O101" s="259" t="s">
        <v>1598</v>
      </c>
      <c r="P101" s="261"/>
      <c r="Q101" s="2909"/>
      <c r="R101" s="2910"/>
      <c r="S101" s="2911"/>
      <c r="Z101" s="1618">
        <v>101</v>
      </c>
    </row>
    <row r="102" spans="2:26" s="144" customFormat="1" ht="11.25" customHeight="1">
      <c r="D102" s="260"/>
      <c r="E102" s="246" t="s">
        <v>1666</v>
      </c>
      <c r="H102" s="981"/>
      <c r="I102" s="261"/>
      <c r="J102" s="261"/>
      <c r="K102" s="664" t="s">
        <v>2056</v>
      </c>
      <c r="L102" s="2998"/>
      <c r="M102" s="2999"/>
      <c r="N102" s="261"/>
      <c r="O102" s="259" t="s">
        <v>1833</v>
      </c>
      <c r="P102" s="261"/>
      <c r="Q102" s="2909"/>
      <c r="R102" s="2910"/>
      <c r="S102" s="2911"/>
      <c r="Z102" s="1618">
        <v>102</v>
      </c>
    </row>
    <row r="103" spans="2:26" ht="11.25" customHeight="1">
      <c r="E103" s="246" t="s">
        <v>3375</v>
      </c>
      <c r="F103" s="144"/>
      <c r="G103" s="144"/>
      <c r="H103" s="2984"/>
      <c r="I103" s="2990"/>
      <c r="J103" s="255"/>
      <c r="K103" s="262" t="s">
        <v>1837</v>
      </c>
      <c r="L103" s="2938"/>
      <c r="M103" s="2939"/>
      <c r="N103" s="2915"/>
      <c r="O103" s="2915"/>
      <c r="P103" s="2915"/>
      <c r="Q103" s="2939"/>
      <c r="R103" s="2939"/>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4"/>
      <c r="I105" s="2988"/>
      <c r="J105" s="2988"/>
      <c r="K105" s="2988"/>
      <c r="L105" s="2988"/>
      <c r="M105" s="2988"/>
      <c r="N105" s="2989"/>
      <c r="O105" s="259" t="s">
        <v>1842</v>
      </c>
      <c r="P105" s="259"/>
      <c r="Q105" s="2944"/>
      <c r="R105" s="2988"/>
      <c r="S105" s="2989"/>
      <c r="Z105" s="1618">
        <v>105</v>
      </c>
    </row>
    <row r="106" spans="2:26" s="144" customFormat="1" ht="11.25" customHeight="1">
      <c r="D106" s="260"/>
      <c r="E106" s="246" t="s">
        <v>956</v>
      </c>
      <c r="F106" s="247"/>
      <c r="H106" s="2917"/>
      <c r="I106" s="2991"/>
      <c r="J106" s="2991"/>
      <c r="K106" s="2992"/>
      <c r="L106" s="2991"/>
      <c r="M106" s="2991"/>
      <c r="N106" s="2993"/>
      <c r="O106" s="259" t="s">
        <v>1621</v>
      </c>
      <c r="P106" s="261"/>
      <c r="Q106" s="2994"/>
      <c r="R106" s="2995"/>
      <c r="S106" s="2996"/>
      <c r="Z106" s="1618">
        <v>106</v>
      </c>
    </row>
    <row r="107" spans="2:26" s="144" customFormat="1" ht="11.25" customHeight="1">
      <c r="D107" s="260"/>
      <c r="E107" s="246" t="s">
        <v>574</v>
      </c>
      <c r="H107" s="2917"/>
      <c r="I107" s="2992"/>
      <c r="J107" s="2997"/>
      <c r="K107" s="262" t="s">
        <v>2452</v>
      </c>
      <c r="L107" s="2917"/>
      <c r="M107" s="2991"/>
      <c r="N107" s="2997"/>
      <c r="O107" s="259" t="s">
        <v>1598</v>
      </c>
      <c r="P107" s="261"/>
      <c r="Q107" s="2909"/>
      <c r="R107" s="2910"/>
      <c r="S107" s="2911"/>
      <c r="Z107" s="1618">
        <v>107</v>
      </c>
    </row>
    <row r="108" spans="2:26" s="144" customFormat="1" ht="11.25" customHeight="1">
      <c r="D108" s="260"/>
      <c r="E108" s="246" t="s">
        <v>1666</v>
      </c>
      <c r="H108" s="981"/>
      <c r="I108" s="261"/>
      <c r="J108" s="261"/>
      <c r="K108" s="664" t="s">
        <v>2056</v>
      </c>
      <c r="L108" s="2998"/>
      <c r="M108" s="2999"/>
      <c r="N108" s="261"/>
      <c r="O108" s="259" t="s">
        <v>1833</v>
      </c>
      <c r="P108" s="261"/>
      <c r="Q108" s="2909"/>
      <c r="R108" s="2910"/>
      <c r="S108" s="2911"/>
      <c r="Z108" s="1618">
        <v>108</v>
      </c>
    </row>
    <row r="109" spans="2:26" ht="11.25" customHeight="1">
      <c r="E109" s="246" t="s">
        <v>3375</v>
      </c>
      <c r="F109" s="144"/>
      <c r="G109" s="144"/>
      <c r="H109" s="2984"/>
      <c r="I109" s="2990"/>
      <c r="J109" s="255"/>
      <c r="K109" s="262" t="s">
        <v>1837</v>
      </c>
      <c r="L109" s="2938"/>
      <c r="M109" s="2939"/>
      <c r="N109" s="2915"/>
      <c r="O109" s="2915"/>
      <c r="P109" s="2915"/>
      <c r="Q109" s="2939"/>
      <c r="R109" s="2939"/>
      <c r="S109" s="2987"/>
      <c r="Z109" s="1618">
        <v>109</v>
      </c>
    </row>
    <row r="110" spans="2:26" ht="6.65"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4"/>
      <c r="I111" s="2988"/>
      <c r="J111" s="2988"/>
      <c r="K111" s="2988"/>
      <c r="L111" s="2988"/>
      <c r="M111" s="2988"/>
      <c r="N111" s="2989"/>
      <c r="O111" s="259" t="s">
        <v>1842</v>
      </c>
      <c r="P111" s="259"/>
      <c r="Q111" s="2944"/>
      <c r="R111" s="2988"/>
      <c r="S111" s="2989"/>
      <c r="Z111" s="1618">
        <v>111</v>
      </c>
    </row>
    <row r="112" spans="2:26" s="144" customFormat="1" ht="11.25" customHeight="1">
      <c r="D112" s="260"/>
      <c r="E112" s="246" t="s">
        <v>956</v>
      </c>
      <c r="F112" s="247"/>
      <c r="H112" s="2917"/>
      <c r="I112" s="2991"/>
      <c r="J112" s="2991"/>
      <c r="K112" s="2992"/>
      <c r="L112" s="2991"/>
      <c r="M112" s="2991"/>
      <c r="N112" s="2993"/>
      <c r="O112" s="259" t="s">
        <v>1621</v>
      </c>
      <c r="P112" s="261"/>
      <c r="Q112" s="2994"/>
      <c r="R112" s="2995"/>
      <c r="S112" s="2996"/>
      <c r="Z112" s="1618">
        <v>112</v>
      </c>
    </row>
    <row r="113" spans="1:26" s="144" customFormat="1" ht="11.25" customHeight="1">
      <c r="D113" s="260"/>
      <c r="E113" s="246" t="s">
        <v>574</v>
      </c>
      <c r="H113" s="2917"/>
      <c r="I113" s="2992"/>
      <c r="J113" s="2997"/>
      <c r="K113" s="262" t="s">
        <v>2452</v>
      </c>
      <c r="L113" s="2917"/>
      <c r="M113" s="2991"/>
      <c r="N113" s="2997"/>
      <c r="O113" s="259" t="s">
        <v>1598</v>
      </c>
      <c r="P113" s="261"/>
      <c r="Q113" s="2909"/>
      <c r="R113" s="2910"/>
      <c r="S113" s="2911"/>
      <c r="Z113" s="1618">
        <v>113</v>
      </c>
    </row>
    <row r="114" spans="1:26" s="144" customFormat="1" ht="11.25" customHeight="1">
      <c r="D114" s="260"/>
      <c r="E114" s="246" t="s">
        <v>1666</v>
      </c>
      <c r="H114" s="981"/>
      <c r="I114" s="261"/>
      <c r="J114" s="261"/>
      <c r="K114" s="664" t="s">
        <v>2056</v>
      </c>
      <c r="L114" s="2998"/>
      <c r="M114" s="2999"/>
      <c r="N114" s="261"/>
      <c r="O114" s="259" t="s">
        <v>1833</v>
      </c>
      <c r="P114" s="261"/>
      <c r="Q114" s="2909"/>
      <c r="R114" s="2910"/>
      <c r="S114" s="2911"/>
      <c r="Z114" s="1618">
        <v>114</v>
      </c>
    </row>
    <row r="115" spans="1:26" s="144" customFormat="1" ht="11.25" customHeight="1">
      <c r="D115" s="260"/>
      <c r="E115" s="246" t="s">
        <v>3375</v>
      </c>
      <c r="H115" s="2984"/>
      <c r="I115" s="2990"/>
      <c r="J115" s="255"/>
      <c r="K115" s="262" t="s">
        <v>1837</v>
      </c>
      <c r="L115" s="2938"/>
      <c r="M115" s="2939"/>
      <c r="N115" s="2915"/>
      <c r="O115" s="2915"/>
      <c r="P115" s="2915"/>
      <c r="Q115" s="2939"/>
      <c r="R115" s="2939"/>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4123</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4370</v>
      </c>
      <c r="H120" s="2944"/>
      <c r="I120" s="2945"/>
      <c r="J120" s="2946"/>
      <c r="K120" s="262" t="s">
        <v>1665</v>
      </c>
      <c r="L120" s="2944"/>
      <c r="M120" s="2988"/>
      <c r="N120" s="2989"/>
      <c r="O120" s="259" t="s">
        <v>3057</v>
      </c>
      <c r="P120" s="261"/>
      <c r="Q120" s="3007"/>
      <c r="R120" s="3008"/>
      <c r="S120" s="3009"/>
      <c r="Z120" s="1618">
        <v>120</v>
      </c>
    </row>
    <row r="121" spans="1:26" s="144" customFormat="1" ht="11.25" customHeight="1">
      <c r="C121" s="243"/>
      <c r="D121" s="260"/>
      <c r="E121" s="246" t="s">
        <v>4124</v>
      </c>
      <c r="F121" s="247"/>
      <c r="H121" s="3010"/>
      <c r="I121" s="3011"/>
      <c r="J121" s="3012"/>
      <c r="K121" s="3013"/>
      <c r="L121" s="3011"/>
      <c r="M121" s="3011"/>
      <c r="N121" s="3014"/>
      <c r="O121" s="259" t="s">
        <v>574</v>
      </c>
      <c r="P121" s="261"/>
      <c r="Q121" s="3015"/>
      <c r="R121" s="3016"/>
      <c r="S121" s="3017"/>
      <c r="Z121" s="1618">
        <v>121</v>
      </c>
    </row>
    <row r="122" spans="1:26" s="144" customFormat="1" ht="11.25" customHeight="1">
      <c r="C122" s="243"/>
      <c r="D122" s="260"/>
      <c r="E122" s="246" t="s">
        <v>1666</v>
      </c>
      <c r="H122" s="1198"/>
      <c r="I122" s="664" t="s">
        <v>2056</v>
      </c>
      <c r="J122" s="3018"/>
      <c r="K122" s="2997"/>
      <c r="L122" s="262" t="s">
        <v>1837</v>
      </c>
      <c r="M122" s="2986"/>
      <c r="N122" s="2915"/>
      <c r="O122" s="2915"/>
      <c r="P122" s="2915"/>
      <c r="Q122" s="2939"/>
      <c r="R122" s="2939"/>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4371</v>
      </c>
      <c r="H124" s="2944"/>
      <c r="I124" s="2945"/>
      <c r="J124" s="2946"/>
      <c r="K124" s="262" t="s">
        <v>1665</v>
      </c>
      <c r="L124" s="2944"/>
      <c r="M124" s="2988"/>
      <c r="N124" s="2989"/>
      <c r="O124" s="259" t="s">
        <v>3057</v>
      </c>
      <c r="P124" s="261"/>
      <c r="Q124" s="3007"/>
      <c r="R124" s="3008"/>
      <c r="S124" s="3009"/>
      <c r="Z124" s="1618">
        <v>124</v>
      </c>
    </row>
    <row r="125" spans="1:26" s="144" customFormat="1" ht="11.25" hidden="1" customHeight="1">
      <c r="C125" s="243"/>
      <c r="D125" s="260"/>
      <c r="E125" s="246" t="s">
        <v>4124</v>
      </c>
      <c r="F125" s="247"/>
      <c r="H125" s="3010"/>
      <c r="I125" s="3011"/>
      <c r="J125" s="3012"/>
      <c r="K125" s="3013"/>
      <c r="L125" s="3011"/>
      <c r="M125" s="3011"/>
      <c r="N125" s="3014"/>
      <c r="O125" s="259" t="s">
        <v>574</v>
      </c>
      <c r="P125" s="261"/>
      <c r="Q125" s="3015"/>
      <c r="R125" s="3016"/>
      <c r="S125" s="3017"/>
      <c r="Z125" s="1618">
        <v>125</v>
      </c>
    </row>
    <row r="126" spans="1:26" s="144" customFormat="1" ht="11.25" hidden="1" customHeight="1">
      <c r="C126" s="243"/>
      <c r="D126" s="260"/>
      <c r="E126" s="246" t="s">
        <v>1666</v>
      </c>
      <c r="H126" s="1198"/>
      <c r="I126" s="664" t="s">
        <v>2056</v>
      </c>
      <c r="J126" s="3018"/>
      <c r="K126" s="2997"/>
      <c r="L126" s="262" t="s">
        <v>1837</v>
      </c>
      <c r="M126" s="2986"/>
      <c r="N126" s="2915"/>
      <c r="O126" s="2915"/>
      <c r="P126" s="2915"/>
      <c r="Q126" s="2939"/>
      <c r="R126" s="2939"/>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4204</v>
      </c>
      <c r="H128" s="2944"/>
      <c r="I128" s="2945"/>
      <c r="J128" s="2946"/>
      <c r="K128" s="262" t="s">
        <v>1665</v>
      </c>
      <c r="L128" s="2944"/>
      <c r="M128" s="2988"/>
      <c r="N128" s="2989"/>
      <c r="O128" s="259" t="s">
        <v>3057</v>
      </c>
      <c r="P128" s="261"/>
      <c r="Q128" s="3007"/>
      <c r="R128" s="3008"/>
      <c r="S128" s="3009"/>
      <c r="Z128" s="1618">
        <v>128</v>
      </c>
    </row>
    <row r="129" spans="3:26" s="144" customFormat="1" ht="11.25" hidden="1" customHeight="1">
      <c r="C129" s="243"/>
      <c r="D129" s="260"/>
      <c r="E129" s="246" t="s">
        <v>4124</v>
      </c>
      <c r="F129" s="247"/>
      <c r="H129" s="3010"/>
      <c r="I129" s="3011"/>
      <c r="J129" s="3012"/>
      <c r="K129" s="3013"/>
      <c r="L129" s="3011"/>
      <c r="M129" s="3011"/>
      <c r="N129" s="3014"/>
      <c r="O129" s="259" t="s">
        <v>574</v>
      </c>
      <c r="P129" s="261"/>
      <c r="Q129" s="3015"/>
      <c r="R129" s="3016"/>
      <c r="S129" s="3017"/>
      <c r="Z129" s="1618">
        <v>129</v>
      </c>
    </row>
    <row r="130" spans="3:26" s="144" customFormat="1" ht="11.25" hidden="1" customHeight="1">
      <c r="C130" s="243"/>
      <c r="D130" s="260"/>
      <c r="E130" s="246" t="s">
        <v>1666</v>
      </c>
      <c r="H130" s="1198"/>
      <c r="I130" s="664" t="s">
        <v>2056</v>
      </c>
      <c r="J130" s="3018"/>
      <c r="K130" s="2997"/>
      <c r="L130" s="262" t="s">
        <v>1837</v>
      </c>
      <c r="M130" s="2986"/>
      <c r="N130" s="2915"/>
      <c r="O130" s="2915"/>
      <c r="P130" s="2915"/>
      <c r="Q130" s="2939"/>
      <c r="R130" s="2939"/>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4372</v>
      </c>
      <c r="H132" s="2944"/>
      <c r="I132" s="2945"/>
      <c r="J132" s="2946"/>
      <c r="K132" s="262" t="s">
        <v>1665</v>
      </c>
      <c r="L132" s="2944"/>
      <c r="M132" s="2988"/>
      <c r="N132" s="2989"/>
      <c r="O132" s="259" t="s">
        <v>3057</v>
      </c>
      <c r="P132" s="261"/>
      <c r="Q132" s="3007"/>
      <c r="R132" s="3008"/>
      <c r="S132" s="3009"/>
      <c r="Z132" s="1618">
        <v>132</v>
      </c>
    </row>
    <row r="133" spans="3:26" s="144" customFormat="1" ht="11.25" hidden="1" customHeight="1">
      <c r="C133" s="243"/>
      <c r="D133" s="260"/>
      <c r="E133" s="246" t="s">
        <v>4124</v>
      </c>
      <c r="F133" s="247"/>
      <c r="H133" s="3010"/>
      <c r="I133" s="3011"/>
      <c r="J133" s="3012"/>
      <c r="K133" s="3013"/>
      <c r="L133" s="3011"/>
      <c r="M133" s="3011"/>
      <c r="N133" s="3014"/>
      <c r="O133" s="259" t="s">
        <v>574</v>
      </c>
      <c r="P133" s="261"/>
      <c r="Q133" s="3015"/>
      <c r="R133" s="3016"/>
      <c r="S133" s="3017"/>
      <c r="Z133" s="1618">
        <v>133</v>
      </c>
    </row>
    <row r="134" spans="3:26" s="144" customFormat="1" ht="11.25" hidden="1" customHeight="1">
      <c r="C134" s="243"/>
      <c r="D134" s="260"/>
      <c r="E134" s="246" t="s">
        <v>1666</v>
      </c>
      <c r="H134" s="1198"/>
      <c r="I134" s="664" t="s">
        <v>2056</v>
      </c>
      <c r="J134" s="3018"/>
      <c r="K134" s="2997"/>
      <c r="L134" s="262" t="s">
        <v>1837</v>
      </c>
      <c r="M134" s="2986"/>
      <c r="N134" s="2915"/>
      <c r="O134" s="2915"/>
      <c r="P134" s="2915"/>
      <c r="Q134" s="2939"/>
      <c r="R134" s="2939"/>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4373</v>
      </c>
      <c r="H136" s="2944"/>
      <c r="I136" s="2945"/>
      <c r="J136" s="2946"/>
      <c r="K136" s="262" t="s">
        <v>1665</v>
      </c>
      <c r="L136" s="2944"/>
      <c r="M136" s="2988"/>
      <c r="N136" s="2989"/>
      <c r="O136" s="259" t="s">
        <v>3057</v>
      </c>
      <c r="P136" s="261"/>
      <c r="Q136" s="3007"/>
      <c r="R136" s="3008"/>
      <c r="S136" s="3009"/>
      <c r="Z136" s="1618">
        <v>136</v>
      </c>
    </row>
    <row r="137" spans="3:26" s="144" customFormat="1" ht="11.25" hidden="1" customHeight="1">
      <c r="C137" s="243"/>
      <c r="D137" s="260"/>
      <c r="E137" s="246" t="s">
        <v>4124</v>
      </c>
      <c r="F137" s="247"/>
      <c r="H137" s="3010"/>
      <c r="I137" s="3011"/>
      <c r="J137" s="3012"/>
      <c r="K137" s="3013"/>
      <c r="L137" s="3011"/>
      <c r="M137" s="3011"/>
      <c r="N137" s="3014"/>
      <c r="O137" s="259" t="s">
        <v>574</v>
      </c>
      <c r="P137" s="261"/>
      <c r="Q137" s="3015"/>
      <c r="R137" s="3016"/>
      <c r="S137" s="3017"/>
      <c r="Z137" s="1618">
        <v>137</v>
      </c>
    </row>
    <row r="138" spans="3:26" s="144" customFormat="1" ht="11.25" hidden="1" customHeight="1">
      <c r="C138" s="243"/>
      <c r="D138" s="260"/>
      <c r="E138" s="246" t="s">
        <v>1666</v>
      </c>
      <c r="H138" s="1198"/>
      <c r="I138" s="664" t="s">
        <v>2056</v>
      </c>
      <c r="J138" s="3018"/>
      <c r="K138" s="2997"/>
      <c r="L138" s="262" t="s">
        <v>1837</v>
      </c>
      <c r="M138" s="2986"/>
      <c r="N138" s="2915"/>
      <c r="O138" s="2915"/>
      <c r="P138" s="2915"/>
      <c r="Q138" s="2939"/>
      <c r="R138" s="2939"/>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4374</v>
      </c>
      <c r="H140" s="2944"/>
      <c r="I140" s="2945"/>
      <c r="J140" s="2946"/>
      <c r="K140" s="262" t="s">
        <v>1665</v>
      </c>
      <c r="L140" s="2944"/>
      <c r="M140" s="2988"/>
      <c r="N140" s="2989"/>
      <c r="O140" s="259" t="s">
        <v>3057</v>
      </c>
      <c r="P140" s="261"/>
      <c r="Q140" s="3007"/>
      <c r="R140" s="3008"/>
      <c r="S140" s="3009"/>
      <c r="Z140" s="1618">
        <v>140</v>
      </c>
    </row>
    <row r="141" spans="3:26" s="144" customFormat="1" ht="11.25" hidden="1" customHeight="1">
      <c r="C141" s="243"/>
      <c r="D141" s="260"/>
      <c r="E141" s="246" t="s">
        <v>4124</v>
      </c>
      <c r="F141" s="247"/>
      <c r="H141" s="3010"/>
      <c r="I141" s="3011"/>
      <c r="J141" s="3012"/>
      <c r="K141" s="3013"/>
      <c r="L141" s="3011"/>
      <c r="M141" s="3011"/>
      <c r="N141" s="3014"/>
      <c r="O141" s="259" t="s">
        <v>574</v>
      </c>
      <c r="P141" s="261"/>
      <c r="Q141" s="3015"/>
      <c r="R141" s="3016"/>
      <c r="S141" s="3017"/>
      <c r="Z141" s="1618">
        <v>141</v>
      </c>
    </row>
    <row r="142" spans="3:26" s="144" customFormat="1" ht="11.25" hidden="1" customHeight="1">
      <c r="C142" s="243"/>
      <c r="D142" s="260"/>
      <c r="E142" s="246" t="s">
        <v>1666</v>
      </c>
      <c r="H142" s="1198"/>
      <c r="I142" s="664" t="s">
        <v>2056</v>
      </c>
      <c r="J142" s="3018"/>
      <c r="K142" s="2997"/>
      <c r="L142" s="262" t="s">
        <v>1837</v>
      </c>
      <c r="M142" s="2986"/>
      <c r="N142" s="2915"/>
      <c r="O142" s="2915"/>
      <c r="P142" s="2915"/>
      <c r="Q142" s="2939"/>
      <c r="R142" s="2939"/>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4368</v>
      </c>
      <c r="H144" s="2944"/>
      <c r="I144" s="2945"/>
      <c r="J144" s="2946"/>
      <c r="K144" s="262" t="s">
        <v>1665</v>
      </c>
      <c r="L144" s="2944"/>
      <c r="M144" s="2988"/>
      <c r="N144" s="2989"/>
      <c r="O144" s="259" t="s">
        <v>3057</v>
      </c>
      <c r="P144" s="261"/>
      <c r="Q144" s="3007"/>
      <c r="R144" s="3008"/>
      <c r="S144" s="3009"/>
      <c r="Z144" s="1618">
        <v>144</v>
      </c>
    </row>
    <row r="145" spans="1:26" s="144" customFormat="1" ht="11.25" customHeight="1">
      <c r="C145" s="243"/>
      <c r="D145" s="260"/>
      <c r="E145" s="246" t="s">
        <v>4124</v>
      </c>
      <c r="F145" s="247"/>
      <c r="H145" s="3010"/>
      <c r="I145" s="3011"/>
      <c r="J145" s="3012"/>
      <c r="K145" s="3013"/>
      <c r="L145" s="3011"/>
      <c r="M145" s="3011"/>
      <c r="N145" s="3014"/>
      <c r="O145" s="259" t="s">
        <v>574</v>
      </c>
      <c r="P145" s="261"/>
      <c r="Q145" s="3015"/>
      <c r="R145" s="3016"/>
      <c r="S145" s="3017"/>
      <c r="Z145" s="1618">
        <v>145</v>
      </c>
    </row>
    <row r="146" spans="1:26" s="144" customFormat="1" ht="11.25" customHeight="1">
      <c r="C146" s="243"/>
      <c r="D146" s="260"/>
      <c r="E146" s="246" t="s">
        <v>1666</v>
      </c>
      <c r="H146" s="1198"/>
      <c r="I146" s="664" t="s">
        <v>2056</v>
      </c>
      <c r="J146" s="3018"/>
      <c r="K146" s="2997"/>
      <c r="L146" s="262" t="s">
        <v>1837</v>
      </c>
      <c r="M146" s="2986"/>
      <c r="N146" s="2915"/>
      <c r="O146" s="2915"/>
      <c r="P146" s="2915"/>
      <c r="Q146" s="2939"/>
      <c r="R146" s="2939"/>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4369</v>
      </c>
      <c r="H148" s="2944"/>
      <c r="I148" s="2945"/>
      <c r="J148" s="2946"/>
      <c r="K148" s="262" t="s">
        <v>1665</v>
      </c>
      <c r="L148" s="2944"/>
      <c r="M148" s="2988"/>
      <c r="N148" s="2989"/>
      <c r="O148" s="259" t="s">
        <v>3057</v>
      </c>
      <c r="P148" s="261"/>
      <c r="Q148" s="3007"/>
      <c r="R148" s="3008"/>
      <c r="S148" s="3009"/>
      <c r="Z148" s="1618">
        <v>148</v>
      </c>
    </row>
    <row r="149" spans="1:26" s="144" customFormat="1" ht="11.25" customHeight="1">
      <c r="D149" s="260"/>
      <c r="E149" s="246" t="s">
        <v>4124</v>
      </c>
      <c r="F149" s="247"/>
      <c r="H149" s="3010"/>
      <c r="I149" s="3011"/>
      <c r="J149" s="3012"/>
      <c r="K149" s="3013"/>
      <c r="L149" s="3011"/>
      <c r="M149" s="3011"/>
      <c r="N149" s="3014"/>
      <c r="O149" s="259" t="s">
        <v>574</v>
      </c>
      <c r="P149" s="261"/>
      <c r="Q149" s="3015"/>
      <c r="R149" s="3016"/>
      <c r="S149" s="3017"/>
      <c r="Z149" s="1618">
        <v>149</v>
      </c>
    </row>
    <row r="150" spans="1:26" s="144" customFormat="1" ht="11.25" customHeight="1">
      <c r="D150" s="260"/>
      <c r="E150" s="246" t="s">
        <v>1666</v>
      </c>
      <c r="H150" s="1198"/>
      <c r="I150" s="664" t="s">
        <v>2056</v>
      </c>
      <c r="J150" s="3018"/>
      <c r="K150" s="2997"/>
      <c r="L150" s="262" t="s">
        <v>1837</v>
      </c>
      <c r="M150" s="2986"/>
      <c r="N150" s="2915"/>
      <c r="O150" s="2915"/>
      <c r="P150" s="2915"/>
      <c r="Q150" s="2939"/>
      <c r="R150" s="2939"/>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3760</v>
      </c>
      <c r="H152" s="479"/>
      <c r="I152" s="479"/>
      <c r="J152" s="479"/>
      <c r="K152" s="479"/>
      <c r="L152" s="479"/>
      <c r="M152" s="479"/>
      <c r="N152" s="479"/>
      <c r="O152" s="479"/>
      <c r="P152" s="479"/>
      <c r="Q152" s="479"/>
      <c r="R152" s="479"/>
      <c r="S152" s="479"/>
      <c r="Z152" s="1618">
        <v>152</v>
      </c>
    </row>
    <row r="153" spans="1:26" ht="13.5" thickBot="1">
      <c r="A153" s="3078" t="s">
        <v>3215</v>
      </c>
      <c r="B153" s="3078"/>
      <c r="C153" s="3078"/>
      <c r="D153" s="3078"/>
      <c r="E153" s="3078"/>
      <c r="H153" s="1200" t="s">
        <v>2302</v>
      </c>
      <c r="I153" s="3072" t="s">
        <v>4416</v>
      </c>
      <c r="J153" s="3073"/>
      <c r="K153" s="3073"/>
      <c r="L153" s="3073"/>
      <c r="M153" s="3073"/>
      <c r="N153" s="3073"/>
      <c r="O153" s="3073"/>
      <c r="P153" s="3073"/>
      <c r="Q153" s="3073"/>
      <c r="R153" s="3073"/>
      <c r="S153" s="3074"/>
      <c r="Z153" s="1618">
        <v>153</v>
      </c>
    </row>
    <row r="154" spans="1:26" s="144" customFormat="1" ht="15" customHeight="1" thickBot="1">
      <c r="B154" s="475" t="s">
        <v>1839</v>
      </c>
      <c r="C154" s="256" t="s">
        <v>2514</v>
      </c>
      <c r="E154" s="256"/>
      <c r="H154" s="1157" t="s">
        <v>3718</v>
      </c>
      <c r="I154" s="2977"/>
      <c r="J154" s="2978"/>
      <c r="K154" s="2978"/>
      <c r="L154" s="2978"/>
      <c r="M154" s="2978"/>
      <c r="N154" s="2978"/>
      <c r="O154" s="2978"/>
      <c r="P154" s="2978"/>
      <c r="Q154" s="2978"/>
      <c r="R154" s="2978"/>
      <c r="S154" s="2979"/>
      <c r="U154" s="2908" t="s">
        <v>1878</v>
      </c>
      <c r="V154" s="2908"/>
      <c r="Z154" s="1618">
        <v>154</v>
      </c>
    </row>
    <row r="155" spans="1:26" s="144" customFormat="1" ht="15" customHeight="1" thickBot="1">
      <c r="B155" s="475" t="s">
        <v>1841</v>
      </c>
      <c r="C155" s="256" t="s">
        <v>4122</v>
      </c>
      <c r="E155" s="256"/>
      <c r="H155" s="1157" t="s">
        <v>3718</v>
      </c>
      <c r="I155" s="2974"/>
      <c r="J155" s="2975"/>
      <c r="K155" s="2975"/>
      <c r="L155" s="2975"/>
      <c r="M155" s="2975"/>
      <c r="N155" s="2975"/>
      <c r="O155" s="2975"/>
      <c r="P155" s="2975"/>
      <c r="Q155" s="2975"/>
      <c r="R155" s="2975"/>
      <c r="S155" s="2976"/>
      <c r="U155" s="2908"/>
      <c r="V155" s="2908"/>
      <c r="Z155" s="1618">
        <v>155</v>
      </c>
    </row>
    <row r="156" spans="1:26" s="144" customFormat="1" ht="15" customHeight="1" thickBot="1">
      <c r="B156" s="475" t="s">
        <v>2326</v>
      </c>
      <c r="C156" s="256" t="s">
        <v>2550</v>
      </c>
      <c r="E156" s="256"/>
      <c r="H156" s="1157" t="s">
        <v>3718</v>
      </c>
      <c r="I156" s="2974"/>
      <c r="J156" s="2975"/>
      <c r="K156" s="2975"/>
      <c r="L156" s="2975"/>
      <c r="M156" s="2975"/>
      <c r="N156" s="2975"/>
      <c r="O156" s="2975"/>
      <c r="P156" s="2975"/>
      <c r="Q156" s="2975"/>
      <c r="R156" s="2975"/>
      <c r="S156" s="2976"/>
      <c r="U156" s="2908"/>
      <c r="V156" s="2908"/>
      <c r="Z156" s="1618">
        <v>156</v>
      </c>
    </row>
    <row r="157" spans="1:26" s="144" customFormat="1" ht="15" customHeight="1" thickBot="1">
      <c r="B157" s="475" t="s">
        <v>1149</v>
      </c>
      <c r="C157" s="256" t="s">
        <v>2515</v>
      </c>
      <c r="E157" s="256"/>
      <c r="H157" s="1157" t="s">
        <v>3718</v>
      </c>
      <c r="I157" s="2974"/>
      <c r="J157" s="2975"/>
      <c r="K157" s="2975"/>
      <c r="L157" s="2975"/>
      <c r="M157" s="2975"/>
      <c r="N157" s="2975"/>
      <c r="O157" s="2975"/>
      <c r="P157" s="2975"/>
      <c r="Q157" s="2975"/>
      <c r="R157" s="2975"/>
      <c r="S157" s="2976"/>
      <c r="U157" s="2908"/>
      <c r="V157" s="2908"/>
      <c r="Z157" s="1618">
        <v>157</v>
      </c>
    </row>
    <row r="158" spans="1:26" s="144" customFormat="1" ht="15" customHeight="1" thickBot="1">
      <c r="B158" s="475" t="s">
        <v>1150</v>
      </c>
      <c r="C158" s="256" t="s">
        <v>2991</v>
      </c>
      <c r="E158" s="256"/>
      <c r="H158" s="1157" t="s">
        <v>3718</v>
      </c>
      <c r="I158" s="2974"/>
      <c r="J158" s="2975"/>
      <c r="K158" s="2975"/>
      <c r="L158" s="2975"/>
      <c r="M158" s="2975"/>
      <c r="N158" s="2975"/>
      <c r="O158" s="2975"/>
      <c r="P158" s="2975"/>
      <c r="Q158" s="2975"/>
      <c r="R158" s="2975"/>
      <c r="S158" s="2976"/>
      <c r="U158" s="2908"/>
      <c r="V158" s="2908"/>
      <c r="Z158" s="1618">
        <v>158</v>
      </c>
    </row>
    <row r="159" spans="1:26" s="144" customFormat="1" ht="15" customHeight="1" thickBot="1">
      <c r="B159" s="475" t="s">
        <v>1737</v>
      </c>
      <c r="C159" s="256" t="s">
        <v>2992</v>
      </c>
      <c r="E159" s="256"/>
      <c r="H159" s="1157" t="s">
        <v>3718</v>
      </c>
      <c r="I159" s="2974"/>
      <c r="J159" s="2975"/>
      <c r="K159" s="2975"/>
      <c r="L159" s="2975"/>
      <c r="M159" s="2975"/>
      <c r="N159" s="2975"/>
      <c r="O159" s="2975"/>
      <c r="P159" s="2975"/>
      <c r="Q159" s="2975"/>
      <c r="R159" s="2975"/>
      <c r="S159" s="2976"/>
      <c r="U159" s="2908"/>
      <c r="V159" s="2908"/>
      <c r="Z159" s="1618">
        <v>159</v>
      </c>
    </row>
    <row r="160" spans="1:26" s="144" customFormat="1" ht="15" customHeight="1" thickBot="1">
      <c r="B160" s="475" t="s">
        <v>472</v>
      </c>
      <c r="C160" s="256" t="s">
        <v>2516</v>
      </c>
      <c r="E160" s="256"/>
      <c r="H160" s="1157" t="s">
        <v>3718</v>
      </c>
      <c r="I160" s="2974"/>
      <c r="J160" s="2975"/>
      <c r="K160" s="2975"/>
      <c r="L160" s="2975"/>
      <c r="M160" s="2975"/>
      <c r="N160" s="2975"/>
      <c r="O160" s="2975"/>
      <c r="P160" s="2975"/>
      <c r="Q160" s="2975"/>
      <c r="R160" s="2975"/>
      <c r="S160" s="2976"/>
      <c r="Z160" s="1618">
        <v>160</v>
      </c>
    </row>
    <row r="161" spans="1:26" s="144" customFormat="1" ht="15" customHeight="1" thickBot="1">
      <c r="B161" s="475" t="s">
        <v>473</v>
      </c>
      <c r="C161" s="256" t="s">
        <v>3769</v>
      </c>
      <c r="E161" s="256"/>
      <c r="H161" s="1157" t="s">
        <v>3718</v>
      </c>
      <c r="I161" s="2974"/>
      <c r="J161" s="2975"/>
      <c r="K161" s="2975"/>
      <c r="L161" s="2975"/>
      <c r="M161" s="2975"/>
      <c r="N161" s="2975"/>
      <c r="O161" s="2975"/>
      <c r="P161" s="2975"/>
      <c r="Q161" s="2975"/>
      <c r="R161" s="2975"/>
      <c r="S161" s="2976"/>
      <c r="Z161" s="1618">
        <v>161</v>
      </c>
    </row>
    <row r="162" spans="1:26" s="144" customFormat="1" ht="15" customHeight="1" thickBot="1">
      <c r="B162" s="475" t="s">
        <v>3768</v>
      </c>
      <c r="C162" s="3075" t="s">
        <v>4375</v>
      </c>
      <c r="D162" s="3076"/>
      <c r="E162" s="3076"/>
      <c r="F162" s="3076"/>
      <c r="G162" s="3077"/>
      <c r="H162" s="1157" t="s">
        <v>3718</v>
      </c>
      <c r="I162" s="2971"/>
      <c r="J162" s="2972"/>
      <c r="K162" s="2972"/>
      <c r="L162" s="2972"/>
      <c r="M162" s="2972"/>
      <c r="N162" s="2972"/>
      <c r="O162" s="2972"/>
      <c r="P162" s="2972"/>
      <c r="Q162" s="2972"/>
      <c r="R162" s="2972"/>
      <c r="S162" s="2973"/>
      <c r="Z162" s="1618">
        <v>162</v>
      </c>
    </row>
    <row r="163" spans="1:26" s="144" customFormat="1" ht="13.4"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4" customHeight="1">
      <c r="B165" s="243" t="s">
        <v>697</v>
      </c>
      <c r="C165" s="243" t="s">
        <v>3761</v>
      </c>
      <c r="Z165" s="1618">
        <v>165</v>
      </c>
    </row>
    <row r="166" spans="1:26" s="144" customFormat="1" ht="12.75" customHeight="1">
      <c r="A166" s="3040" t="s">
        <v>593</v>
      </c>
      <c r="B166" s="3041"/>
      <c r="C166" s="3041"/>
      <c r="D166" s="3041"/>
      <c r="E166" s="3046" t="s">
        <v>2980</v>
      </c>
      <c r="F166" s="3047"/>
      <c r="G166" s="3047"/>
      <c r="H166" s="3047"/>
      <c r="I166" s="3048"/>
      <c r="J166" s="3052" t="s">
        <v>2981</v>
      </c>
      <c r="K166" s="3055" t="s">
        <v>2572</v>
      </c>
      <c r="L166" s="3055" t="s">
        <v>2573</v>
      </c>
      <c r="M166" s="3058" t="s">
        <v>4376</v>
      </c>
      <c r="N166" s="3059"/>
      <c r="O166" s="3059"/>
      <c r="P166" s="3059"/>
      <c r="Q166" s="3059"/>
      <c r="R166" s="3059"/>
      <c r="S166" s="3060"/>
      <c r="Z166" s="1618">
        <v>166</v>
      </c>
    </row>
    <row r="167" spans="1:26" s="144" customFormat="1" ht="12.75" customHeight="1">
      <c r="A167" s="3042"/>
      <c r="B167" s="3043"/>
      <c r="C167" s="3043"/>
      <c r="D167" s="3043"/>
      <c r="E167" s="3049"/>
      <c r="F167" s="3050"/>
      <c r="G167" s="3050"/>
      <c r="H167" s="3050"/>
      <c r="I167" s="3051"/>
      <c r="J167" s="3053"/>
      <c r="K167" s="3056"/>
      <c r="L167" s="3056"/>
      <c r="M167" s="3061"/>
      <c r="N167" s="3062"/>
      <c r="O167" s="3062"/>
      <c r="P167" s="3062"/>
      <c r="Q167" s="3062"/>
      <c r="R167" s="3062"/>
      <c r="S167" s="3063"/>
      <c r="Z167" s="1618">
        <v>167</v>
      </c>
    </row>
    <row r="168" spans="1:26" s="144" customFormat="1" ht="12.75" customHeight="1">
      <c r="A168" s="3042"/>
      <c r="B168" s="3043"/>
      <c r="C168" s="3043"/>
      <c r="D168" s="3043"/>
      <c r="E168" s="3049"/>
      <c r="F168" s="3050"/>
      <c r="G168" s="3050"/>
      <c r="H168" s="3050"/>
      <c r="I168" s="3051"/>
      <c r="J168" s="3053"/>
      <c r="K168" s="3056"/>
      <c r="L168" s="3056"/>
      <c r="M168" s="3061"/>
      <c r="N168" s="3062"/>
      <c r="O168" s="3062"/>
      <c r="P168" s="3062"/>
      <c r="Q168" s="3062"/>
      <c r="R168" s="3062"/>
      <c r="S168" s="3063"/>
      <c r="Z168" s="1618">
        <v>168</v>
      </c>
    </row>
    <row r="169" spans="1:26" s="144" customFormat="1" ht="12.75" customHeight="1">
      <c r="A169" s="3042"/>
      <c r="B169" s="3043"/>
      <c r="C169" s="3043"/>
      <c r="D169" s="3043"/>
      <c r="E169" s="3064" t="s">
        <v>3134</v>
      </c>
      <c r="F169" s="3065"/>
      <c r="G169" s="3065"/>
      <c r="H169" s="3066"/>
      <c r="I169" s="480"/>
      <c r="J169" s="3053"/>
      <c r="K169" s="3056"/>
      <c r="L169" s="3056"/>
      <c r="M169" s="3061"/>
      <c r="N169" s="3062"/>
      <c r="O169" s="3062"/>
      <c r="P169" s="3062"/>
      <c r="Q169" s="3062"/>
      <c r="R169" s="3062"/>
      <c r="S169" s="3063"/>
      <c r="Z169" s="1618">
        <v>169</v>
      </c>
    </row>
    <row r="170" spans="1:26" s="144" customFormat="1" ht="13.5" customHeight="1">
      <c r="A170" s="3044"/>
      <c r="B170" s="3045"/>
      <c r="C170" s="3045"/>
      <c r="D170" s="3045"/>
      <c r="E170" s="3067"/>
      <c r="F170" s="3068"/>
      <c r="G170" s="3068"/>
      <c r="H170" s="3069"/>
      <c r="I170" s="1158" t="s">
        <v>2302</v>
      </c>
      <c r="J170" s="3054"/>
      <c r="K170" s="3057"/>
      <c r="L170" s="3056"/>
      <c r="M170" s="1159" t="s">
        <v>2302</v>
      </c>
      <c r="N170" s="3070" t="s">
        <v>2571</v>
      </c>
      <c r="O170" s="3070"/>
      <c r="P170" s="3070"/>
      <c r="Q170" s="3070"/>
      <c r="R170" s="3070"/>
      <c r="S170" s="3071"/>
      <c r="Z170" s="1618">
        <v>170</v>
      </c>
    </row>
    <row r="171" spans="1:26" s="144" customFormat="1" ht="23.25" customHeight="1">
      <c r="A171" s="3035" t="s">
        <v>2975</v>
      </c>
      <c r="B171" s="3036"/>
      <c r="C171" s="3036"/>
      <c r="D171" s="3037"/>
      <c r="E171" s="3038"/>
      <c r="F171" s="2978"/>
      <c r="G171" s="2978"/>
      <c r="H171" s="2978"/>
      <c r="I171" s="634" t="s">
        <v>3718</v>
      </c>
      <c r="J171" s="476" t="s">
        <v>3718</v>
      </c>
      <c r="K171" s="476"/>
      <c r="L171" s="637"/>
      <c r="M171" s="481" t="s">
        <v>3718</v>
      </c>
      <c r="N171" s="3039"/>
      <c r="O171" s="2978"/>
      <c r="P171" s="2978"/>
      <c r="Q171" s="2978"/>
      <c r="R171" s="2978"/>
      <c r="S171" s="2979"/>
      <c r="Z171" s="1618">
        <v>171</v>
      </c>
    </row>
    <row r="172" spans="1:26" s="144" customFormat="1" ht="23.25" customHeight="1">
      <c r="A172" s="3030" t="s">
        <v>2976</v>
      </c>
      <c r="B172" s="3031"/>
      <c r="C172" s="3031"/>
      <c r="D172" s="3032"/>
      <c r="E172" s="3033"/>
      <c r="F172" s="2975"/>
      <c r="G172" s="2975"/>
      <c r="H172" s="2975"/>
      <c r="I172" s="635" t="s">
        <v>3718</v>
      </c>
      <c r="J172" s="477" t="s">
        <v>3718</v>
      </c>
      <c r="K172" s="477"/>
      <c r="L172" s="638"/>
      <c r="M172" s="482" t="s">
        <v>3718</v>
      </c>
      <c r="N172" s="3034"/>
      <c r="O172" s="2975"/>
      <c r="P172" s="2975"/>
      <c r="Q172" s="2975"/>
      <c r="R172" s="2975"/>
      <c r="S172" s="2976"/>
      <c r="U172" s="2908" t="s">
        <v>1878</v>
      </c>
      <c r="V172" s="2908"/>
      <c r="Z172" s="1618">
        <v>172</v>
      </c>
    </row>
    <row r="173" spans="1:26" s="144" customFormat="1" ht="23.25" customHeight="1">
      <c r="A173" s="3030" t="s">
        <v>2977</v>
      </c>
      <c r="B173" s="3031"/>
      <c r="C173" s="3031"/>
      <c r="D173" s="3032"/>
      <c r="E173" s="3033"/>
      <c r="F173" s="2975"/>
      <c r="G173" s="2975"/>
      <c r="H173" s="2975"/>
      <c r="I173" s="635" t="s">
        <v>3718</v>
      </c>
      <c r="J173" s="477" t="s">
        <v>3718</v>
      </c>
      <c r="K173" s="477"/>
      <c r="L173" s="638"/>
      <c r="M173" s="482" t="s">
        <v>3718</v>
      </c>
      <c r="N173" s="3034"/>
      <c r="O173" s="2975"/>
      <c r="P173" s="2975"/>
      <c r="Q173" s="2975"/>
      <c r="R173" s="2975"/>
      <c r="S173" s="2976"/>
      <c r="U173" s="2908"/>
      <c r="V173" s="2908"/>
      <c r="Z173" s="1618">
        <v>173</v>
      </c>
    </row>
    <row r="174" spans="1:26" s="144" customFormat="1" ht="23.25" customHeight="1">
      <c r="A174" s="3030" t="s">
        <v>2978</v>
      </c>
      <c r="B174" s="3031"/>
      <c r="C174" s="3031"/>
      <c r="D174" s="3032"/>
      <c r="E174" s="3033"/>
      <c r="F174" s="2975"/>
      <c r="G174" s="2975"/>
      <c r="H174" s="2975"/>
      <c r="I174" s="635" t="s">
        <v>3718</v>
      </c>
      <c r="J174" s="477" t="s">
        <v>3718</v>
      </c>
      <c r="K174" s="477"/>
      <c r="L174" s="638"/>
      <c r="M174" s="482" t="s">
        <v>3718</v>
      </c>
      <c r="N174" s="3034"/>
      <c r="O174" s="2975"/>
      <c r="P174" s="2975"/>
      <c r="Q174" s="2975"/>
      <c r="R174" s="2975"/>
      <c r="S174" s="2976"/>
      <c r="U174" s="2908"/>
      <c r="V174" s="2908"/>
      <c r="Z174" s="1618">
        <v>174</v>
      </c>
    </row>
    <row r="175" spans="1:26" s="144" customFormat="1" ht="23.25" customHeight="1">
      <c r="A175" s="3030" t="s">
        <v>2979</v>
      </c>
      <c r="B175" s="3031"/>
      <c r="C175" s="3031"/>
      <c r="D175" s="3032"/>
      <c r="E175" s="3033"/>
      <c r="F175" s="2975"/>
      <c r="G175" s="2975"/>
      <c r="H175" s="2975"/>
      <c r="I175" s="635" t="s">
        <v>3718</v>
      </c>
      <c r="J175" s="477" t="s">
        <v>3718</v>
      </c>
      <c r="K175" s="477"/>
      <c r="L175" s="638"/>
      <c r="M175" s="482" t="s">
        <v>3718</v>
      </c>
      <c r="N175" s="3034"/>
      <c r="O175" s="2975"/>
      <c r="P175" s="2975"/>
      <c r="Q175" s="2975"/>
      <c r="R175" s="2975"/>
      <c r="S175" s="2976"/>
      <c r="U175" s="2908"/>
      <c r="V175" s="2908"/>
      <c r="Z175" s="1618">
        <v>175</v>
      </c>
    </row>
    <row r="176" spans="1:26" s="144" customFormat="1" ht="23.25" customHeight="1">
      <c r="A176" s="3030" t="s">
        <v>2562</v>
      </c>
      <c r="B176" s="3031"/>
      <c r="C176" s="3031"/>
      <c r="D176" s="3032"/>
      <c r="E176" s="3033"/>
      <c r="F176" s="2975"/>
      <c r="G176" s="2975"/>
      <c r="H176" s="2975"/>
      <c r="I176" s="635" t="s">
        <v>3718</v>
      </c>
      <c r="J176" s="477" t="s">
        <v>3718</v>
      </c>
      <c r="K176" s="477"/>
      <c r="L176" s="638"/>
      <c r="M176" s="482" t="s">
        <v>3718</v>
      </c>
      <c r="N176" s="3034"/>
      <c r="O176" s="2975"/>
      <c r="P176" s="2975"/>
      <c r="Q176" s="2975"/>
      <c r="R176" s="2975"/>
      <c r="S176" s="2976"/>
      <c r="U176" s="2908"/>
      <c r="V176" s="2908"/>
      <c r="Z176" s="1618">
        <v>176</v>
      </c>
    </row>
    <row r="177" spans="1:26" s="144" customFormat="1" ht="23.25" customHeight="1">
      <c r="A177" s="3030" t="s">
        <v>606</v>
      </c>
      <c r="B177" s="3031"/>
      <c r="C177" s="3031"/>
      <c r="D177" s="3032"/>
      <c r="E177" s="3033"/>
      <c r="F177" s="2975"/>
      <c r="G177" s="2975"/>
      <c r="H177" s="2975"/>
      <c r="I177" s="635" t="s">
        <v>3718</v>
      </c>
      <c r="J177" s="477" t="s">
        <v>3718</v>
      </c>
      <c r="K177" s="477"/>
      <c r="L177" s="638"/>
      <c r="M177" s="482" t="s">
        <v>3718</v>
      </c>
      <c r="N177" s="3034"/>
      <c r="O177" s="2975"/>
      <c r="P177" s="2975"/>
      <c r="Q177" s="2975"/>
      <c r="R177" s="2975"/>
      <c r="S177" s="2976"/>
      <c r="U177" s="2908"/>
      <c r="V177" s="2908"/>
      <c r="Z177" s="1618">
        <v>177</v>
      </c>
    </row>
    <row r="178" spans="1:26" s="144" customFormat="1" ht="23.25" customHeight="1">
      <c r="A178" s="3030" t="s">
        <v>2563</v>
      </c>
      <c r="B178" s="3031"/>
      <c r="C178" s="3031"/>
      <c r="D178" s="3032"/>
      <c r="E178" s="3033"/>
      <c r="F178" s="2975"/>
      <c r="G178" s="2975"/>
      <c r="H178" s="2975"/>
      <c r="I178" s="635" t="s">
        <v>3718</v>
      </c>
      <c r="J178" s="477" t="s">
        <v>3718</v>
      </c>
      <c r="K178" s="477"/>
      <c r="L178" s="638"/>
      <c r="M178" s="482" t="s">
        <v>3718</v>
      </c>
      <c r="N178" s="3034"/>
      <c r="O178" s="2975"/>
      <c r="P178" s="2975"/>
      <c r="Q178" s="2975"/>
      <c r="R178" s="2975"/>
      <c r="S178" s="2976"/>
      <c r="Z178" s="1618">
        <v>178</v>
      </c>
    </row>
    <row r="179" spans="1:26" s="144" customFormat="1" ht="23.25" customHeight="1">
      <c r="A179" s="3030" t="s">
        <v>2564</v>
      </c>
      <c r="B179" s="3031"/>
      <c r="C179" s="3031"/>
      <c r="D179" s="3032"/>
      <c r="E179" s="3033"/>
      <c r="F179" s="2975"/>
      <c r="G179" s="2975"/>
      <c r="H179" s="2975"/>
      <c r="I179" s="635" t="s">
        <v>3718</v>
      </c>
      <c r="J179" s="477" t="s">
        <v>3718</v>
      </c>
      <c r="K179" s="477"/>
      <c r="L179" s="638"/>
      <c r="M179" s="482" t="s">
        <v>3718</v>
      </c>
      <c r="N179" s="3034"/>
      <c r="O179" s="2975"/>
      <c r="P179" s="2975"/>
      <c r="Q179" s="2975"/>
      <c r="R179" s="2975"/>
      <c r="S179" s="2976"/>
      <c r="Z179" s="1618">
        <v>179</v>
      </c>
    </row>
    <row r="180" spans="1:26" s="144" customFormat="1" ht="23.25" customHeight="1">
      <c r="A180" s="3030" t="s">
        <v>2566</v>
      </c>
      <c r="B180" s="3031"/>
      <c r="C180" s="3031"/>
      <c r="D180" s="3032"/>
      <c r="E180" s="3033"/>
      <c r="F180" s="2975"/>
      <c r="G180" s="2975"/>
      <c r="H180" s="2975"/>
      <c r="I180" s="635" t="s">
        <v>3718</v>
      </c>
      <c r="J180" s="477" t="s">
        <v>3718</v>
      </c>
      <c r="K180" s="477"/>
      <c r="L180" s="638"/>
      <c r="M180" s="482" t="s">
        <v>3718</v>
      </c>
      <c r="N180" s="3034"/>
      <c r="O180" s="2975"/>
      <c r="P180" s="2975"/>
      <c r="Q180" s="2975"/>
      <c r="R180" s="2975"/>
      <c r="S180" s="2976"/>
      <c r="Z180" s="1618">
        <v>180</v>
      </c>
    </row>
    <row r="181" spans="1:26" s="144" customFormat="1" ht="23.25" customHeight="1">
      <c r="A181" s="3030" t="s">
        <v>2565</v>
      </c>
      <c r="B181" s="3031"/>
      <c r="C181" s="3031"/>
      <c r="D181" s="3032"/>
      <c r="E181" s="3033"/>
      <c r="F181" s="2975"/>
      <c r="G181" s="2975"/>
      <c r="H181" s="2975"/>
      <c r="I181" s="635" t="s">
        <v>3718</v>
      </c>
      <c r="J181" s="477" t="s">
        <v>3718</v>
      </c>
      <c r="K181" s="477"/>
      <c r="L181" s="638"/>
      <c r="M181" s="482" t="s">
        <v>3718</v>
      </c>
      <c r="N181" s="3034"/>
      <c r="O181" s="2975"/>
      <c r="P181" s="2975"/>
      <c r="Q181" s="2975"/>
      <c r="R181" s="2975"/>
      <c r="S181" s="2976"/>
      <c r="Z181" s="1618">
        <v>181</v>
      </c>
    </row>
    <row r="182" spans="1:26" s="144" customFormat="1" ht="23.25" customHeight="1">
      <c r="A182" s="3030" t="s">
        <v>1429</v>
      </c>
      <c r="B182" s="3031"/>
      <c r="C182" s="3031"/>
      <c r="D182" s="3032"/>
      <c r="E182" s="3033"/>
      <c r="F182" s="2975"/>
      <c r="G182" s="2975"/>
      <c r="H182" s="2975"/>
      <c r="I182" s="635" t="s">
        <v>3718</v>
      </c>
      <c r="J182" s="477" t="s">
        <v>3718</v>
      </c>
      <c r="K182" s="477"/>
      <c r="L182" s="638"/>
      <c r="M182" s="482" t="s">
        <v>3718</v>
      </c>
      <c r="N182" s="3034"/>
      <c r="O182" s="2975"/>
      <c r="P182" s="2975"/>
      <c r="Q182" s="2975"/>
      <c r="R182" s="2975"/>
      <c r="S182" s="2976"/>
      <c r="Z182" s="1618">
        <v>182</v>
      </c>
    </row>
    <row r="183" spans="1:26" s="144" customFormat="1" ht="23.25" customHeight="1">
      <c r="A183" s="3019" t="s">
        <v>2567</v>
      </c>
      <c r="B183" s="3020"/>
      <c r="C183" s="3020"/>
      <c r="D183" s="3021"/>
      <c r="E183" s="3022"/>
      <c r="F183" s="2972"/>
      <c r="G183" s="2972"/>
      <c r="H183" s="2972"/>
      <c r="I183" s="636" t="s">
        <v>3718</v>
      </c>
      <c r="J183" s="478" t="s">
        <v>3718</v>
      </c>
      <c r="K183" s="478"/>
      <c r="L183" s="639"/>
      <c r="M183" s="483" t="s">
        <v>3718</v>
      </c>
      <c r="N183" s="3023"/>
      <c r="O183" s="2972"/>
      <c r="P183" s="2972"/>
      <c r="Q183" s="2972"/>
      <c r="R183" s="2972"/>
      <c r="S183" s="2973"/>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4"/>
      <c r="B186" s="3025"/>
      <c r="C186" s="3025"/>
      <c r="D186" s="3025"/>
      <c r="E186" s="3025"/>
      <c r="F186" s="3025"/>
      <c r="G186" s="3025"/>
      <c r="H186" s="3025"/>
      <c r="I186" s="3025"/>
      <c r="J186" s="3025"/>
      <c r="K186" s="3025"/>
      <c r="L186" s="3025"/>
      <c r="M186" s="3026"/>
      <c r="N186" s="3027"/>
      <c r="O186" s="3028"/>
      <c r="P186" s="3028"/>
      <c r="Q186" s="3028"/>
      <c r="R186" s="3028"/>
      <c r="S186" s="3029"/>
      <c r="T186" s="2908" t="s">
        <v>2445</v>
      </c>
      <c r="U186" s="2908"/>
      <c r="V186" s="2908"/>
      <c r="W186" s="2908"/>
      <c r="X186" s="2908"/>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8"/>
      <c r="U187" s="2908"/>
      <c r="V187" s="2908"/>
      <c r="W187" s="2908"/>
      <c r="X187" s="2908"/>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B6" sqref="B6"/>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2473" bestFit="1" customWidth="1"/>
    <col min="26" max="26" width="9.26953125" style="1653"/>
    <col min="27" max="51" width="9.26953125" style="142"/>
    <col min="52" max="52" width="9.26953125" style="1587"/>
    <col min="53" max="16384" width="9.26953125" style="142"/>
  </cols>
  <sheetData>
    <row r="1" spans="1:52" s="1653" customFormat="1" ht="12" hidden="1" customHeight="1">
      <c r="A1" s="1651"/>
      <c r="B1" s="1651" t="s">
        <v>4208</v>
      </c>
      <c r="C1" s="1651"/>
      <c r="D1" s="1651"/>
      <c r="E1" s="1651" t="s">
        <v>4227</v>
      </c>
      <c r="F1" s="1651"/>
      <c r="G1" s="1652"/>
      <c r="H1" s="1652" t="s">
        <v>4228</v>
      </c>
      <c r="I1" s="1652" t="s">
        <v>4229</v>
      </c>
      <c r="J1" s="1652"/>
      <c r="K1" s="1652" t="s">
        <v>4230</v>
      </c>
      <c r="L1" s="1652" t="s">
        <v>4231</v>
      </c>
      <c r="M1" s="1653" t="s">
        <v>4232</v>
      </c>
      <c r="N1" s="1653" t="s">
        <v>4233</v>
      </c>
      <c r="P1" s="1653" t="s">
        <v>4234</v>
      </c>
      <c r="Y1" s="2473"/>
      <c r="Z1" s="1618">
        <v>1</v>
      </c>
    </row>
    <row r="2" spans="1:52" s="223" customFormat="1" ht="14.15" customHeight="1">
      <c r="A2" s="3000" t="str">
        <f>CONCATENATE("PART TWO - SOURCES OF FUNDS (Proposed)","  -  ",'Part I-Project Identification'!$O$7," ",'Part I-Project Identification'!$F$26,", ",'Part I-Project Identification'!$F$27,", ",'Part I-Project Identification'!$J$27," County")</f>
        <v>PART TWO - SOURCES OF FUNDS (Proposed)  -  2024-5 , &lt;&lt; Select from list &gt;&gt;, Select City first County</v>
      </c>
      <c r="B2" s="3001"/>
      <c r="C2" s="3001"/>
      <c r="D2" s="3001"/>
      <c r="E2" s="3001"/>
      <c r="F2" s="3001"/>
      <c r="G2" s="3001"/>
      <c r="H2" s="3001"/>
      <c r="I2" s="3001"/>
      <c r="J2" s="3001"/>
      <c r="K2" s="3001"/>
      <c r="L2" s="3001"/>
      <c r="M2" s="3001"/>
      <c r="N2" s="3001"/>
      <c r="O2" s="3001"/>
      <c r="P2" s="3001"/>
      <c r="Q2" s="3002"/>
      <c r="S2" s="3201" t="str">
        <f>$A$2</f>
        <v>PART TWO - SOURCES OF FUNDS (Proposed)  -  2024-5 , &lt;&lt; Select from list &gt;&gt;, Select City first County</v>
      </c>
      <c r="T2" s="3201"/>
      <c r="Y2" s="2474"/>
      <c r="Z2" s="1618">
        <v>2</v>
      </c>
      <c r="AZ2" s="1588"/>
    </row>
    <row r="3" spans="1:52" ht="17.649999999999999" customHeight="1">
      <c r="A3" s="145"/>
      <c r="B3" s="145"/>
      <c r="C3" s="145"/>
      <c r="D3" s="145"/>
      <c r="E3" s="145"/>
      <c r="F3" s="145"/>
      <c r="G3" s="984"/>
      <c r="H3" s="984"/>
      <c r="I3" s="984"/>
      <c r="J3" s="984"/>
      <c r="K3" s="984"/>
      <c r="L3" s="984"/>
      <c r="Y3" s="2474"/>
      <c r="Z3" s="1618">
        <v>3</v>
      </c>
      <c r="AZ3" s="1588"/>
    </row>
    <row r="4" spans="1:52" s="223" customFormat="1" ht="13.4" customHeight="1">
      <c r="A4" s="243" t="s">
        <v>572</v>
      </c>
      <c r="B4" s="243" t="s">
        <v>2288</v>
      </c>
      <c r="C4" s="144"/>
      <c r="D4" s="144"/>
      <c r="E4" s="144"/>
      <c r="F4" s="144"/>
      <c r="G4" s="144"/>
      <c r="L4" s="3202" t="str">
        <f>'Part I-Project Identification'!$A$6</f>
        <v>4% Credit Core
Sept 26, 2024</v>
      </c>
      <c r="M4" s="3203"/>
      <c r="N4" s="3203"/>
      <c r="O4" s="3203"/>
      <c r="P4" s="3204"/>
      <c r="S4" s="258" t="str">
        <f>B4</f>
        <v>GOVERNMENT FUNDING SOURCES  (check all that apply)</v>
      </c>
      <c r="Y4" s="2474"/>
      <c r="Z4" s="1618">
        <v>4</v>
      </c>
      <c r="AZ4" s="1588"/>
    </row>
    <row r="5" spans="1:52" s="223" customFormat="1" ht="15.75" customHeight="1">
      <c r="A5" s="253"/>
      <c r="B5" s="374"/>
      <c r="C5" s="253"/>
      <c r="D5" s="144"/>
      <c r="E5" s="144"/>
      <c r="F5" s="144"/>
      <c r="G5" s="144"/>
      <c r="S5" s="3154" t="s">
        <v>2441</v>
      </c>
      <c r="T5" s="3154"/>
      <c r="Y5" s="2474"/>
      <c r="Z5" s="1618">
        <v>5</v>
      </c>
      <c r="AZ5" s="1588"/>
    </row>
    <row r="6" spans="1:52" s="223" customFormat="1" ht="16.5" customHeight="1">
      <c r="A6" s="374"/>
      <c r="B6" s="1173"/>
      <c r="C6" s="224" t="s">
        <v>2213</v>
      </c>
      <c r="D6" s="144"/>
      <c r="E6" s="1173"/>
      <c r="F6" s="224" t="s">
        <v>3985</v>
      </c>
      <c r="G6" s="144"/>
      <c r="I6" s="3205"/>
      <c r="J6" s="3206"/>
      <c r="L6" s="1173"/>
      <c r="M6" s="224" t="s">
        <v>1435</v>
      </c>
      <c r="Q6" s="1532"/>
      <c r="S6" s="3111"/>
      <c r="T6" s="3112"/>
      <c r="Y6" s="2474"/>
      <c r="Z6" s="1618">
        <v>6</v>
      </c>
      <c r="AZ6" s="1588"/>
    </row>
    <row r="7" spans="1:52" s="223" customFormat="1" ht="16.5" customHeight="1">
      <c r="A7" s="374"/>
      <c r="B7" s="810"/>
      <c r="C7" s="224" t="s">
        <v>3756</v>
      </c>
      <c r="D7" s="144"/>
      <c r="E7" s="805"/>
      <c r="F7" s="224" t="s">
        <v>3986</v>
      </c>
      <c r="I7" s="3207"/>
      <c r="J7" s="3208"/>
      <c r="L7" s="810"/>
      <c r="M7" s="224" t="s">
        <v>513</v>
      </c>
      <c r="P7" s="1532"/>
      <c r="Q7" s="1532"/>
      <c r="S7" s="3097"/>
      <c r="T7" s="3098"/>
      <c r="Y7" s="2474"/>
      <c r="Z7" s="1618">
        <v>7</v>
      </c>
      <c r="AZ7" s="1588"/>
    </row>
    <row r="8" spans="1:52" s="223" customFormat="1" ht="16.5" customHeight="1">
      <c r="A8" s="144"/>
      <c r="B8" s="810"/>
      <c r="C8" s="224" t="s">
        <v>4559</v>
      </c>
      <c r="F8" s="223" t="s">
        <v>4562</v>
      </c>
      <c r="H8" s="3209" t="s">
        <v>2982</v>
      </c>
      <c r="I8" s="3210"/>
      <c r="J8" s="3211"/>
      <c r="L8" s="810"/>
      <c r="M8" s="224" t="s">
        <v>4564</v>
      </c>
      <c r="P8" s="1532"/>
      <c r="Q8" s="1532"/>
      <c r="S8" s="3097"/>
      <c r="T8" s="3098"/>
      <c r="Y8" s="2474"/>
      <c r="Z8" s="1618">
        <v>8</v>
      </c>
      <c r="AZ8" s="1588"/>
    </row>
    <row r="9" spans="1:52" s="223" customFormat="1" ht="16.5" customHeight="1">
      <c r="A9" s="374"/>
      <c r="B9" s="810"/>
      <c r="C9" s="223" t="s">
        <v>3219</v>
      </c>
      <c r="E9" s="1176"/>
      <c r="F9" s="3212" t="s">
        <v>4558</v>
      </c>
      <c r="G9" s="3213"/>
      <c r="H9" s="3192"/>
      <c r="I9" s="3192"/>
      <c r="J9" s="3193"/>
      <c r="L9" s="810"/>
      <c r="M9" s="224" t="s">
        <v>3757</v>
      </c>
      <c r="Q9" s="1532"/>
      <c r="S9" s="3099"/>
      <c r="T9" s="3100"/>
      <c r="Y9" s="2474"/>
      <c r="Z9" s="1618">
        <v>9</v>
      </c>
      <c r="AZ9" s="1588"/>
    </row>
    <row r="10" spans="1:52" s="223" customFormat="1" ht="16.5" customHeight="1">
      <c r="A10" s="374"/>
      <c r="B10" s="810"/>
      <c r="C10" s="224" t="s">
        <v>2388</v>
      </c>
      <c r="F10" s="3189" t="s">
        <v>3652</v>
      </c>
      <c r="G10" s="3190"/>
      <c r="H10" s="3190"/>
      <c r="I10" s="3190"/>
      <c r="J10" s="3191"/>
      <c r="L10" s="810"/>
      <c r="M10" s="224" t="s">
        <v>3109</v>
      </c>
      <c r="P10" s="1532"/>
      <c r="Q10" s="1532"/>
      <c r="S10" s="3111"/>
      <c r="T10" s="3112"/>
      <c r="Y10" s="2474"/>
      <c r="Z10" s="1618">
        <v>10</v>
      </c>
      <c r="AZ10" s="1588"/>
    </row>
    <row r="11" spans="1:52" s="223" customFormat="1" ht="16.5" customHeight="1">
      <c r="A11" s="374"/>
      <c r="B11" s="810"/>
      <c r="C11" s="224" t="s">
        <v>2389</v>
      </c>
      <c r="E11" s="1176"/>
      <c r="F11" s="3192" t="s">
        <v>4560</v>
      </c>
      <c r="G11" s="3192"/>
      <c r="H11" s="3192"/>
      <c r="I11" s="3192"/>
      <c r="J11" s="3193"/>
      <c r="L11" s="810"/>
      <c r="M11" s="223" t="s">
        <v>2392</v>
      </c>
      <c r="S11" s="3097"/>
      <c r="T11" s="3098"/>
      <c r="Y11" s="2474"/>
      <c r="Z11" s="1618">
        <v>11</v>
      </c>
      <c r="AZ11" s="1588"/>
    </row>
    <row r="12" spans="1:52" s="223" customFormat="1" ht="16.5" customHeight="1">
      <c r="A12" s="374"/>
      <c r="B12" s="810"/>
      <c r="C12" s="224" t="s">
        <v>3110</v>
      </c>
      <c r="F12" s="3194" t="s">
        <v>3653</v>
      </c>
      <c r="G12" s="3195"/>
      <c r="H12" s="3196"/>
      <c r="I12" s="3196"/>
      <c r="J12" s="3197"/>
      <c r="L12" s="810"/>
      <c r="M12" s="223" t="s">
        <v>3136</v>
      </c>
      <c r="S12" s="3097"/>
      <c r="T12" s="3098"/>
      <c r="Y12" s="2474"/>
      <c r="Z12" s="1618">
        <v>12</v>
      </c>
      <c r="AZ12" s="1588"/>
    </row>
    <row r="13" spans="1:52" s="223" customFormat="1" ht="16.5" customHeight="1">
      <c r="A13" s="374"/>
      <c r="B13" s="810"/>
      <c r="C13" s="224" t="s">
        <v>4561</v>
      </c>
      <c r="E13" s="1173"/>
      <c r="F13" s="224" t="s">
        <v>4563</v>
      </c>
      <c r="H13" s="3194" t="s">
        <v>3210</v>
      </c>
      <c r="I13" s="3195"/>
      <c r="J13" s="3198"/>
      <c r="L13" s="810"/>
      <c r="M13" s="223" t="s">
        <v>3984</v>
      </c>
      <c r="S13" s="3097"/>
      <c r="T13" s="3098"/>
      <c r="Y13" s="2474"/>
      <c r="Z13" s="1618">
        <v>13</v>
      </c>
      <c r="AZ13" s="1588"/>
    </row>
    <row r="14" spans="1:52" s="223" customFormat="1" ht="16.5" customHeight="1">
      <c r="A14" s="374"/>
      <c r="B14" s="810"/>
      <c r="C14" s="223" t="s">
        <v>2391</v>
      </c>
      <c r="E14" s="810"/>
      <c r="F14" s="224" t="s">
        <v>3218</v>
      </c>
      <c r="L14" s="810"/>
      <c r="M14" s="223" t="s">
        <v>4609</v>
      </c>
      <c r="S14" s="3099"/>
      <c r="T14" s="3100"/>
      <c r="Y14" s="2474"/>
      <c r="Z14" s="1618">
        <v>14</v>
      </c>
      <c r="AZ14" s="1588"/>
    </row>
    <row r="15" spans="1:52" s="223" customFormat="1" ht="16.5" customHeight="1">
      <c r="A15" s="374"/>
      <c r="B15" s="810"/>
      <c r="C15" s="223" t="s">
        <v>3135</v>
      </c>
      <c r="E15" s="810"/>
      <c r="F15" s="224" t="s">
        <v>3987</v>
      </c>
      <c r="L15" s="810"/>
      <c r="M15" s="1533" t="s">
        <v>3988</v>
      </c>
      <c r="Y15" s="2474"/>
      <c r="Z15" s="1618">
        <v>15</v>
      </c>
      <c r="AZ15" s="1588"/>
    </row>
    <row r="16" spans="1:52" s="223" customFormat="1" ht="16.5" customHeight="1">
      <c r="A16" s="374"/>
      <c r="B16" s="805"/>
      <c r="C16" s="224" t="s">
        <v>1668</v>
      </c>
      <c r="E16" s="805"/>
      <c r="F16" s="224" t="s">
        <v>4401</v>
      </c>
      <c r="I16" s="3199"/>
      <c r="J16" s="3200"/>
      <c r="L16" s="805"/>
      <c r="M16" s="1533" t="s">
        <v>3983</v>
      </c>
      <c r="Y16" s="2474"/>
      <c r="Z16" s="1618">
        <v>16</v>
      </c>
      <c r="AZ16" s="1588"/>
    </row>
    <row r="17" spans="1:52" s="223" customFormat="1" ht="17.149999999999999" customHeight="1">
      <c r="A17" s="374"/>
      <c r="B17" s="223" t="s">
        <v>3758</v>
      </c>
      <c r="C17" s="144"/>
      <c r="D17" s="144"/>
      <c r="E17" s="144"/>
      <c r="F17" s="144"/>
      <c r="G17" s="144"/>
      <c r="H17" s="144"/>
      <c r="I17" s="144"/>
      <c r="J17" s="144"/>
      <c r="K17" s="144"/>
      <c r="L17" s="144"/>
      <c r="M17" s="142"/>
      <c r="N17" s="144"/>
      <c r="O17" s="144"/>
      <c r="P17" s="144"/>
      <c r="Q17" s="144"/>
      <c r="Y17" s="2474"/>
      <c r="Z17" s="1618">
        <v>17</v>
      </c>
      <c r="AZ17" s="1588"/>
    </row>
    <row r="18" spans="1:52" s="223" customFormat="1" ht="12" customHeight="1">
      <c r="A18" s="374"/>
      <c r="L18" s="144"/>
      <c r="M18" s="145"/>
      <c r="N18" s="144"/>
      <c r="O18" s="144"/>
      <c r="P18" s="144"/>
      <c r="Q18" s="144"/>
      <c r="Y18" s="2475"/>
      <c r="Z18" s="1618">
        <v>18</v>
      </c>
      <c r="AZ18" s="1589"/>
    </row>
    <row r="19" spans="1:52" s="258" customFormat="1" ht="15" customHeight="1">
      <c r="A19" s="243" t="s">
        <v>688</v>
      </c>
      <c r="B19" s="222" t="s">
        <v>2159</v>
      </c>
      <c r="C19" s="144"/>
      <c r="D19" s="144"/>
      <c r="E19" s="144"/>
      <c r="F19" s="144"/>
      <c r="G19" s="144"/>
      <c r="L19" s="144"/>
      <c r="M19" s="144"/>
      <c r="N19" s="3149"/>
      <c r="O19" s="3149"/>
      <c r="P19" s="144"/>
      <c r="Q19" s="144"/>
      <c r="S19" s="258" t="str">
        <f>B19</f>
        <v>CONSTRUCTION FINANCING</v>
      </c>
      <c r="Y19" s="2475"/>
      <c r="Z19" s="1618">
        <v>19</v>
      </c>
      <c r="AZ19" s="1589"/>
    </row>
    <row r="20" spans="1:52" s="258" customFormat="1" ht="5.25" customHeight="1">
      <c r="A20" s="243"/>
      <c r="B20" s="222"/>
      <c r="C20" s="144"/>
      <c r="K20" s="144"/>
      <c r="L20" s="144"/>
      <c r="M20" s="144"/>
      <c r="N20" s="248"/>
      <c r="O20" s="248"/>
      <c r="P20" s="144"/>
      <c r="Q20" s="144"/>
      <c r="Y20" s="2475"/>
      <c r="Z20" s="1618">
        <v>20</v>
      </c>
      <c r="AZ20" s="1588"/>
    </row>
    <row r="21" spans="1:52" s="223" customFormat="1" ht="17.149999999999999" customHeight="1">
      <c r="A21" s="144"/>
      <c r="B21" s="246" t="s">
        <v>1729</v>
      </c>
      <c r="C21" s="144"/>
      <c r="D21" s="144"/>
      <c r="E21" s="144"/>
      <c r="F21" s="144"/>
      <c r="G21" s="144"/>
      <c r="H21" s="3174" t="s">
        <v>1218</v>
      </c>
      <c r="I21" s="3174"/>
      <c r="J21" s="3174"/>
      <c r="K21" s="3174"/>
      <c r="L21" s="3153" t="s">
        <v>3724</v>
      </c>
      <c r="M21" s="3153"/>
      <c r="N21" s="3153" t="s">
        <v>1408</v>
      </c>
      <c r="O21" s="3153"/>
      <c r="P21" s="3153" t="s">
        <v>1521</v>
      </c>
      <c r="Q21" s="3153"/>
      <c r="S21" s="3154" t="s">
        <v>2441</v>
      </c>
      <c r="T21" s="3154"/>
      <c r="Y21" s="2474"/>
      <c r="Z21" s="1618">
        <v>21</v>
      </c>
      <c r="AZ21" s="1588" t="s">
        <v>4242</v>
      </c>
    </row>
    <row r="22" spans="1:52" s="223" customFormat="1" ht="15.75" customHeight="1">
      <c r="A22" s="144"/>
      <c r="B22" s="3143" t="s">
        <v>1484</v>
      </c>
      <c r="C22" s="3144"/>
      <c r="D22" s="3144"/>
      <c r="E22" s="808"/>
      <c r="F22" s="808"/>
      <c r="G22" s="808"/>
      <c r="H22" s="3106"/>
      <c r="I22" s="3107"/>
      <c r="J22" s="3107"/>
      <c r="K22" s="3108"/>
      <c r="L22" s="3183"/>
      <c r="M22" s="3184"/>
      <c r="N22" s="3185"/>
      <c r="O22" s="3186"/>
      <c r="P22" s="3187"/>
      <c r="Q22" s="3188"/>
      <c r="S22" s="3111"/>
      <c r="T22" s="3112"/>
      <c r="Y22" s="2474" t="s">
        <v>4242</v>
      </c>
      <c r="Z22" s="1618">
        <v>22</v>
      </c>
      <c r="AZ22" s="1588" t="s">
        <v>4243</v>
      </c>
    </row>
    <row r="23" spans="1:52" s="223" customFormat="1" ht="15.75" customHeight="1">
      <c r="A23" s="144"/>
      <c r="B23" s="3113" t="s">
        <v>1485</v>
      </c>
      <c r="C23" s="3114"/>
      <c r="D23" s="3114"/>
      <c r="E23" s="144"/>
      <c r="F23" s="144"/>
      <c r="G23" s="144"/>
      <c r="H23" s="3079"/>
      <c r="I23" s="3080"/>
      <c r="J23" s="3080"/>
      <c r="K23" s="3081"/>
      <c r="L23" s="3163"/>
      <c r="M23" s="3164"/>
      <c r="N23" s="3172"/>
      <c r="O23" s="3173"/>
      <c r="P23" s="3175"/>
      <c r="Q23" s="3176"/>
      <c r="S23" s="3097"/>
      <c r="T23" s="3098"/>
      <c r="Y23" s="2474" t="s">
        <v>4243</v>
      </c>
      <c r="Z23" s="1618">
        <v>23</v>
      </c>
      <c r="AZ23" s="1588" t="s">
        <v>4244</v>
      </c>
    </row>
    <row r="24" spans="1:52" s="223" customFormat="1" ht="15.75" customHeight="1">
      <c r="A24" s="144"/>
      <c r="B24" s="3177" t="s">
        <v>1486</v>
      </c>
      <c r="C24" s="3178"/>
      <c r="D24" s="3178"/>
      <c r="E24" s="813"/>
      <c r="F24" s="813"/>
      <c r="G24" s="813"/>
      <c r="H24" s="3087"/>
      <c r="I24" s="3088"/>
      <c r="J24" s="3088"/>
      <c r="K24" s="3089"/>
      <c r="L24" s="3155"/>
      <c r="M24" s="3156"/>
      <c r="N24" s="3179"/>
      <c r="O24" s="3180"/>
      <c r="P24" s="3181"/>
      <c r="Q24" s="3182"/>
      <c r="S24" s="3097"/>
      <c r="T24" s="3098"/>
      <c r="Y24" s="2474" t="s">
        <v>4244</v>
      </c>
      <c r="Z24" s="1618">
        <v>24</v>
      </c>
      <c r="AZ24" s="1588" t="s">
        <v>4245</v>
      </c>
    </row>
    <row r="25" spans="1:52" s="223" customFormat="1" ht="15.75" customHeight="1">
      <c r="A25" s="144"/>
      <c r="B25" s="3143" t="s">
        <v>2042</v>
      </c>
      <c r="C25" s="3144"/>
      <c r="D25" s="3144"/>
      <c r="E25" s="144"/>
      <c r="F25" s="144"/>
      <c r="G25" s="144"/>
      <c r="H25" s="3167"/>
      <c r="I25" s="3168"/>
      <c r="J25" s="3168"/>
      <c r="K25" s="3169"/>
      <c r="L25" s="3170"/>
      <c r="M25" s="3171"/>
      <c r="N25" s="3165"/>
      <c r="O25" s="3166"/>
      <c r="P25" s="3149"/>
      <c r="Q25" s="3149"/>
      <c r="S25" s="3097"/>
      <c r="T25" s="3098"/>
      <c r="Y25" s="2474" t="s">
        <v>4245</v>
      </c>
      <c r="Z25" s="1618">
        <v>25</v>
      </c>
      <c r="AZ25" s="1588" t="s">
        <v>4246</v>
      </c>
    </row>
    <row r="26" spans="1:52" s="223" customFormat="1" ht="15.75" customHeight="1">
      <c r="A26" s="144"/>
      <c r="B26" s="3113" t="s">
        <v>744</v>
      </c>
      <c r="C26" s="3114"/>
      <c r="D26" s="3114"/>
      <c r="E26" s="144"/>
      <c r="H26" s="3079"/>
      <c r="I26" s="3080"/>
      <c r="J26" s="3080"/>
      <c r="K26" s="3081"/>
      <c r="L26" s="3163"/>
      <c r="M26" s="3164"/>
      <c r="N26" s="3165"/>
      <c r="O26" s="3166"/>
      <c r="P26" s="3149"/>
      <c r="Q26" s="3149"/>
      <c r="S26" s="3097"/>
      <c r="T26" s="3098"/>
      <c r="Y26" s="2474" t="s">
        <v>4246</v>
      </c>
      <c r="Z26" s="1618">
        <v>26</v>
      </c>
      <c r="AZ26" s="1588" t="s">
        <v>4247</v>
      </c>
    </row>
    <row r="27" spans="1:52" s="223" customFormat="1" ht="15.75" customHeight="1">
      <c r="A27" s="144"/>
      <c r="B27" s="3113" t="s">
        <v>594</v>
      </c>
      <c r="C27" s="3114"/>
      <c r="D27" s="3114"/>
      <c r="E27" s="144"/>
      <c r="H27" s="3079"/>
      <c r="I27" s="3080"/>
      <c r="J27" s="3080"/>
      <c r="K27" s="3081"/>
      <c r="L27" s="3163"/>
      <c r="M27" s="3164"/>
      <c r="N27" s="3165"/>
      <c r="O27" s="3166"/>
      <c r="P27" s="3149"/>
      <c r="Q27" s="3149"/>
      <c r="S27" s="3097"/>
      <c r="T27" s="3098"/>
      <c r="Y27" s="2474" t="s">
        <v>4247</v>
      </c>
      <c r="Z27" s="1618">
        <v>27</v>
      </c>
      <c r="AZ27" s="1588" t="s">
        <v>4248</v>
      </c>
    </row>
    <row r="28" spans="1:52" s="223" customFormat="1" ht="15.75" customHeight="1">
      <c r="A28" s="144"/>
      <c r="B28" s="3113" t="s">
        <v>745</v>
      </c>
      <c r="C28" s="3114"/>
      <c r="D28" s="3114"/>
      <c r="E28" s="144"/>
      <c r="H28" s="3079"/>
      <c r="I28" s="3080"/>
      <c r="J28" s="3080"/>
      <c r="K28" s="3081"/>
      <c r="L28" s="3163"/>
      <c r="M28" s="3164"/>
      <c r="N28" s="144"/>
      <c r="Q28" s="144"/>
      <c r="S28" s="3099"/>
      <c r="T28" s="3100"/>
      <c r="Y28" s="2474" t="s">
        <v>4248</v>
      </c>
      <c r="Z28" s="1618">
        <v>28</v>
      </c>
      <c r="AZ28" s="1588" t="s">
        <v>4249</v>
      </c>
    </row>
    <row r="29" spans="1:52" s="223" customFormat="1" ht="15.75" customHeight="1">
      <c r="A29" s="144"/>
      <c r="B29" s="3113" t="s">
        <v>746</v>
      </c>
      <c r="C29" s="3114"/>
      <c r="D29" s="3114"/>
      <c r="E29" s="144"/>
      <c r="H29" s="3079"/>
      <c r="I29" s="3080"/>
      <c r="J29" s="3080"/>
      <c r="K29" s="3081"/>
      <c r="L29" s="3163"/>
      <c r="M29" s="3164"/>
      <c r="N29" s="144"/>
      <c r="Q29" s="144"/>
      <c r="S29" s="3111"/>
      <c r="T29" s="3112"/>
      <c r="Y29" s="2474" t="s">
        <v>4249</v>
      </c>
      <c r="Z29" s="1618">
        <v>29</v>
      </c>
      <c r="AZ29" s="1588" t="s">
        <v>4250</v>
      </c>
    </row>
    <row r="30" spans="1:52" s="223" customFormat="1" ht="15.75" customHeight="1">
      <c r="A30" s="144"/>
      <c r="B30" s="807" t="s">
        <v>232</v>
      </c>
      <c r="C30" s="144"/>
      <c r="D30" s="3101"/>
      <c r="E30" s="3101"/>
      <c r="F30" s="3101"/>
      <c r="G30" s="3101"/>
      <c r="H30" s="3079"/>
      <c r="I30" s="3080"/>
      <c r="J30" s="3080"/>
      <c r="K30" s="3081"/>
      <c r="L30" s="3163"/>
      <c r="M30" s="3164"/>
      <c r="N30" s="144"/>
      <c r="Q30" s="144"/>
      <c r="S30" s="3097"/>
      <c r="T30" s="3098"/>
      <c r="Y30" s="2474" t="s">
        <v>4250</v>
      </c>
      <c r="Z30" s="1618">
        <v>30</v>
      </c>
      <c r="AZ30" s="1588" t="s">
        <v>4251</v>
      </c>
    </row>
    <row r="31" spans="1:52" s="223" customFormat="1" ht="15.75" customHeight="1">
      <c r="A31" s="144"/>
      <c r="B31" s="807" t="s">
        <v>232</v>
      </c>
      <c r="C31" s="144"/>
      <c r="D31" s="3102"/>
      <c r="E31" s="3102"/>
      <c r="F31" s="3102"/>
      <c r="G31" s="3102"/>
      <c r="H31" s="3079"/>
      <c r="I31" s="3080"/>
      <c r="J31" s="3080"/>
      <c r="K31" s="3081"/>
      <c r="L31" s="3163"/>
      <c r="M31" s="3164"/>
      <c r="N31" s="144"/>
      <c r="S31" s="3097"/>
      <c r="T31" s="3098"/>
      <c r="Y31" s="2474" t="s">
        <v>4251</v>
      </c>
      <c r="Z31" s="1618">
        <v>31</v>
      </c>
      <c r="AZ31" s="1588" t="s">
        <v>4252</v>
      </c>
    </row>
    <row r="32" spans="1:52" s="223" customFormat="1" ht="15.75" customHeight="1">
      <c r="A32" s="144"/>
      <c r="B32" s="812" t="s">
        <v>232</v>
      </c>
      <c r="C32" s="813"/>
      <c r="D32" s="3086"/>
      <c r="E32" s="3086"/>
      <c r="F32" s="3086"/>
      <c r="G32" s="3086"/>
      <c r="H32" s="3087"/>
      <c r="I32" s="3088"/>
      <c r="J32" s="3088"/>
      <c r="K32" s="3089"/>
      <c r="L32" s="3155"/>
      <c r="M32" s="3156"/>
      <c r="N32" s="144"/>
      <c r="S32" s="3097"/>
      <c r="T32" s="3098"/>
      <c r="Y32" s="2474" t="s">
        <v>4252</v>
      </c>
      <c r="Z32" s="1618">
        <v>32</v>
      </c>
      <c r="AZ32" s="1588"/>
    </row>
    <row r="33" spans="1:52" s="223" customFormat="1" ht="16.5" customHeight="1">
      <c r="A33" s="144"/>
      <c r="B33" s="222" t="s">
        <v>1219</v>
      </c>
      <c r="C33" s="144"/>
      <c r="D33" s="144"/>
      <c r="E33" s="144"/>
      <c r="F33" s="144"/>
      <c r="G33" s="144"/>
      <c r="H33" s="144"/>
      <c r="I33" s="144"/>
      <c r="L33" s="3157">
        <f>SUM(L22:L32)</f>
        <v>0</v>
      </c>
      <c r="M33" s="3158"/>
      <c r="N33" s="145"/>
      <c r="S33" s="3097"/>
      <c r="T33" s="3098"/>
      <c r="Y33" s="2474"/>
      <c r="Z33" s="1618">
        <v>33</v>
      </c>
      <c r="AZ33" s="1588"/>
    </row>
    <row r="34" spans="1:52" s="223" customFormat="1" ht="16.5" customHeight="1">
      <c r="A34" s="144"/>
      <c r="B34" s="246" t="s">
        <v>1220</v>
      </c>
      <c r="C34" s="144"/>
      <c r="D34" s="144"/>
      <c r="E34" s="144"/>
      <c r="F34" s="144"/>
      <c r="G34" s="144"/>
      <c r="H34" s="144"/>
      <c r="I34" s="144"/>
      <c r="L34" s="3159">
        <f>'Part III-A-Uses of Funds'!$G$146-'Part III-A-Uses of Funds'!$G$103-'Part III-A-Uses of Funds'!$G$109-'Part III-A-Uses of Funds'!$G$130-'Part III-A-Uses of Funds'!$G$131-'Part III-A-Uses of Funds'!$G$132-'Part III-A-Uses of Funds'!$G$127+'Part III-A-Uses of Funds'!$F$123</f>
        <v>0</v>
      </c>
      <c r="M34" s="3160"/>
      <c r="N34" s="645"/>
      <c r="S34" s="3097"/>
      <c r="T34" s="3098"/>
      <c r="Y34" s="2474"/>
      <c r="Z34" s="1618">
        <v>34</v>
      </c>
      <c r="AZ34" s="1588"/>
    </row>
    <row r="35" spans="1:52" s="223" customFormat="1" ht="16.5" customHeight="1">
      <c r="A35" s="144"/>
      <c r="B35" s="246" t="s">
        <v>1997</v>
      </c>
      <c r="C35" s="144"/>
      <c r="D35" s="144"/>
      <c r="E35" s="144"/>
      <c r="F35" s="144"/>
      <c r="G35" s="144"/>
      <c r="H35" s="144"/>
      <c r="I35" s="144"/>
      <c r="L35" s="3161">
        <f>L33-L34</f>
        <v>0</v>
      </c>
      <c r="M35" s="3162"/>
      <c r="N35" s="645"/>
      <c r="S35" s="3099"/>
      <c r="T35" s="3100"/>
      <c r="Y35" s="2474"/>
      <c r="Z35" s="1618">
        <v>35</v>
      </c>
      <c r="AZ35" s="1587"/>
    </row>
    <row r="36" spans="1:52" ht="9.65" customHeight="1">
      <c r="A36" s="253"/>
      <c r="B36" s="222"/>
      <c r="C36" s="145"/>
      <c r="D36" s="145"/>
      <c r="E36" s="145"/>
      <c r="F36" s="145"/>
      <c r="G36" s="145"/>
      <c r="H36" s="145"/>
      <c r="I36" s="145"/>
      <c r="J36" s="145"/>
      <c r="K36" s="145"/>
      <c r="L36" s="145"/>
      <c r="M36" s="248"/>
      <c r="N36" s="248"/>
      <c r="Z36" s="1618">
        <v>36</v>
      </c>
    </row>
    <row r="37" spans="1:52" ht="9.65"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4" customHeight="1">
      <c r="A38" s="144"/>
      <c r="B38" s="144"/>
      <c r="C38" s="144"/>
      <c r="D38" s="144"/>
      <c r="E38" s="144"/>
      <c r="F38" s="248"/>
      <c r="G38" s="248"/>
      <c r="H38" s="3149"/>
      <c r="I38" s="3149"/>
      <c r="K38" s="252" t="s">
        <v>1943</v>
      </c>
      <c r="L38" s="248" t="s">
        <v>1216</v>
      </c>
      <c r="M38" s="248" t="s">
        <v>1221</v>
      </c>
      <c r="P38" s="3150" t="s">
        <v>31</v>
      </c>
      <c r="Q38" s="3150"/>
      <c r="S38" s="258"/>
      <c r="Y38" s="2474"/>
      <c r="Z38" s="1618">
        <v>38</v>
      </c>
      <c r="AZ38" s="1588"/>
    </row>
    <row r="39" spans="1:52" s="223" customFormat="1" ht="13.4" customHeight="1">
      <c r="A39" s="144"/>
      <c r="B39" s="814" t="s">
        <v>1729</v>
      </c>
      <c r="C39" s="813"/>
      <c r="D39" s="813"/>
      <c r="E39" s="3152" t="s">
        <v>1218</v>
      </c>
      <c r="F39" s="3152"/>
      <c r="G39" s="3152"/>
      <c r="H39" s="3152"/>
      <c r="I39" s="3153" t="s">
        <v>3723</v>
      </c>
      <c r="J39" s="3153"/>
      <c r="K39" s="445" t="s">
        <v>1670</v>
      </c>
      <c r="L39" s="445" t="s">
        <v>2041</v>
      </c>
      <c r="M39" s="445" t="s">
        <v>2041</v>
      </c>
      <c r="N39" s="3153" t="s">
        <v>69</v>
      </c>
      <c r="O39" s="3153"/>
      <c r="P39" s="3151"/>
      <c r="Q39" s="3151"/>
      <c r="S39" s="3154" t="s">
        <v>2441</v>
      </c>
      <c r="T39" s="3154"/>
      <c r="Y39" s="2474"/>
      <c r="Z39" s="1618">
        <v>39</v>
      </c>
      <c r="AZ39" s="1588" t="s">
        <v>4253</v>
      </c>
    </row>
    <row r="40" spans="1:52" s="223" customFormat="1" ht="15" customHeight="1">
      <c r="A40" s="144"/>
      <c r="B40" s="3143" t="s">
        <v>2396</v>
      </c>
      <c r="C40" s="3144"/>
      <c r="D40" s="3144"/>
      <c r="E40" s="3106"/>
      <c r="F40" s="3107"/>
      <c r="G40" s="3107"/>
      <c r="H40" s="3108"/>
      <c r="I40" s="3145"/>
      <c r="J40" s="3146"/>
      <c r="K40" s="642"/>
      <c r="L40" s="809"/>
      <c r="M40" s="809"/>
      <c r="N40" s="3147"/>
      <c r="O40" s="3147"/>
      <c r="P40" s="3148" t="str">
        <f>IF(OR(I40&lt;=0,I40=""),"",IF(N40="Cash Flow",0,IF(N40="Amortizing",-PMT(K40/12,M40*12,I40,0,0)*12,"")))</f>
        <v/>
      </c>
      <c r="Q40" s="3148"/>
      <c r="S40" s="3111"/>
      <c r="T40" s="3112"/>
      <c r="Y40" s="2474" t="s">
        <v>4253</v>
      </c>
      <c r="Z40" s="1618">
        <v>40</v>
      </c>
      <c r="AZ40" s="1588" t="s">
        <v>4254</v>
      </c>
    </row>
    <row r="41" spans="1:52" s="223" customFormat="1" ht="15" customHeight="1">
      <c r="A41" s="144"/>
      <c r="B41" s="3113" t="s">
        <v>2397</v>
      </c>
      <c r="C41" s="3114"/>
      <c r="D41" s="3114"/>
      <c r="E41" s="3079"/>
      <c r="F41" s="3080"/>
      <c r="G41" s="3080"/>
      <c r="H41" s="3081"/>
      <c r="I41" s="3082"/>
      <c r="J41" s="3116"/>
      <c r="K41" s="643"/>
      <c r="L41" s="810"/>
      <c r="M41" s="810"/>
      <c r="N41" s="3142"/>
      <c r="O41" s="3142"/>
      <c r="P41" s="3133" t="str">
        <f>IF(OR(I41&lt;=0,I41=""),"",IF(N41="Cash Flow",0,IF(N41="Amortizing",-PMT(K41/12,M41*12,I41,0,0)*12,"")))</f>
        <v/>
      </c>
      <c r="Q41" s="3133"/>
      <c r="S41" s="3097"/>
      <c r="T41" s="3098"/>
      <c r="Y41" s="2474" t="s">
        <v>4254</v>
      </c>
      <c r="Z41" s="1618">
        <v>41</v>
      </c>
      <c r="AZ41" s="1588" t="s">
        <v>4255</v>
      </c>
    </row>
    <row r="42" spans="1:52" s="223" customFormat="1" ht="15" customHeight="1">
      <c r="A42" s="144"/>
      <c r="B42" s="3113" t="s">
        <v>2398</v>
      </c>
      <c r="C42" s="3114"/>
      <c r="D42" s="3114"/>
      <c r="E42" s="3079"/>
      <c r="F42" s="3080"/>
      <c r="G42" s="3080"/>
      <c r="H42" s="3081"/>
      <c r="I42" s="3082"/>
      <c r="J42" s="3116"/>
      <c r="K42" s="643"/>
      <c r="L42" s="810"/>
      <c r="M42" s="810"/>
      <c r="N42" s="3142"/>
      <c r="O42" s="3142"/>
      <c r="P42" s="3133" t="str">
        <f>IF(OR(I42&lt;=0,I42=""),"",IF(N42="Cash Flow",0,IF(N42="Amortizing",-PMT(K42/12,M42*12,I42,0,0)*12,"")))</f>
        <v/>
      </c>
      <c r="Q42" s="3133"/>
      <c r="S42" s="3097"/>
      <c r="T42" s="3098"/>
      <c r="Y42" s="2474" t="s">
        <v>4255</v>
      </c>
      <c r="Z42" s="1618">
        <v>42</v>
      </c>
      <c r="AZ42" s="1588" t="s">
        <v>4256</v>
      </c>
    </row>
    <row r="43" spans="1:52" s="223" customFormat="1" ht="15" customHeight="1">
      <c r="A43" s="144"/>
      <c r="B43" s="807" t="s">
        <v>689</v>
      </c>
      <c r="C43" s="3134"/>
      <c r="D43" s="3135"/>
      <c r="E43" s="3079"/>
      <c r="F43" s="3080"/>
      <c r="G43" s="3080"/>
      <c r="H43" s="3081"/>
      <c r="I43" s="3136"/>
      <c r="J43" s="3137"/>
      <c r="K43" s="644"/>
      <c r="L43" s="805"/>
      <c r="M43" s="805"/>
      <c r="N43" s="3138"/>
      <c r="O43" s="3138"/>
      <c r="P43" s="3139" t="str">
        <f>IF(OR(I43&lt;=0,I43=""),"",IF(N43="Cash Flow",0,IF(N43="Amortizing",-PMT(K43/12,M43*12,I43,0,0)*12,"")))</f>
        <v/>
      </c>
      <c r="Q43" s="3139"/>
      <c r="S43" s="3097"/>
      <c r="T43" s="3098"/>
      <c r="Y43" s="2474" t="s">
        <v>4256</v>
      </c>
      <c r="Z43" s="1618">
        <v>43</v>
      </c>
      <c r="AZ43" s="1588" t="s">
        <v>4257</v>
      </c>
    </row>
    <row r="44" spans="1:52" s="223" customFormat="1" ht="15" customHeight="1">
      <c r="A44" s="144"/>
      <c r="B44" s="807" t="s">
        <v>3823</v>
      </c>
      <c r="C44" s="144"/>
      <c r="D44" s="811"/>
      <c r="E44" s="3079"/>
      <c r="F44" s="3080"/>
      <c r="G44" s="3080"/>
      <c r="H44" s="3081"/>
      <c r="I44" s="3082"/>
      <c r="J44" s="3116"/>
      <c r="K44" s="363"/>
      <c r="L44" s="806"/>
      <c r="M44" s="806"/>
      <c r="N44" s="3140"/>
      <c r="O44" s="3140"/>
      <c r="P44" s="3141"/>
      <c r="Q44" s="3141"/>
      <c r="S44" s="3097"/>
      <c r="T44" s="3098"/>
      <c r="Y44" s="2474" t="s">
        <v>4257</v>
      </c>
      <c r="Z44" s="1618">
        <v>44</v>
      </c>
      <c r="AZ44" s="1588" t="s">
        <v>4258</v>
      </c>
    </row>
    <row r="45" spans="1:52" s="223" customFormat="1" ht="15" customHeight="1">
      <c r="A45" s="144"/>
      <c r="B45" s="812" t="s">
        <v>220</v>
      </c>
      <c r="C45" s="813"/>
      <c r="D45" s="300" t="str">
        <f>IF(OR(I45="",I45=0,'Part III-A-Uses of Funds'!$G$127="",'Part III-A-Uses of Funds'!$G$127=0),"",I45/'Part III-A-Uses of Funds'!$G$127)</f>
        <v/>
      </c>
      <c r="E45" s="3087"/>
      <c r="F45" s="3088"/>
      <c r="G45" s="3088"/>
      <c r="H45" s="3089"/>
      <c r="I45" s="3121"/>
      <c r="J45" s="3122"/>
      <c r="K45" s="641"/>
      <c r="L45" s="640"/>
      <c r="M45" s="640"/>
      <c r="N45" s="2969"/>
      <c r="O45" s="2970"/>
      <c r="P45" s="3123" t="str">
        <f>IF(OR(I45&lt;=0,I45=""),"",IF(N45="Cash Flow",0,IF(N45="Amortizing",-PMT(K45/12,M45*12,I45,0,0)*12,"")))</f>
        <v/>
      </c>
      <c r="Q45" s="3124"/>
      <c r="S45" s="3097"/>
      <c r="T45" s="3098"/>
      <c r="Y45" s="2474" t="s">
        <v>4258</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7"/>
      <c r="T46" s="3098"/>
      <c r="Y46" s="2474"/>
      <c r="Z46" s="1618">
        <v>46</v>
      </c>
      <c r="AZ46" s="1588"/>
    </row>
    <row r="47" spans="1:52" s="223" customFormat="1" ht="15" customHeight="1">
      <c r="A47" s="144"/>
      <c r="B47" s="223" t="s">
        <v>3320</v>
      </c>
      <c r="C47" s="144"/>
      <c r="E47" s="223" t="s">
        <v>3278</v>
      </c>
      <c r="F47" s="3125" t="str">
        <f>IF(OR($I$45="",$I$45=0,'Part VI-Pro Forma'!$S$35=0,'Part VI-Pro Forma'!$S$35=""),"",VLOOKUP($L$45,'Part VI-Pro Forma'!$Q$21:$S$40,3))</f>
        <v/>
      </c>
      <c r="G47" s="3126"/>
      <c r="H47" s="484" t="s">
        <v>3319</v>
      </c>
      <c r="I47" s="3125" t="str">
        <f>IF(OR($I$45="",$I$45=0,'Part VI-Pro Forma'!$R$35=0,'Part VI-Pro Forma'!$R$35=""),"",VLOOKUP($L$45,'Part VI-Pro Forma'!$Q$21:$S$35,2))</f>
        <v/>
      </c>
      <c r="J47" s="3126"/>
      <c r="K47" s="484" t="s">
        <v>3321</v>
      </c>
      <c r="L47" s="3127" t="str">
        <f>IF(OR($F$47 = 0,$F$47 =""),"",$I$47/$F$47)</f>
        <v/>
      </c>
      <c r="M47" s="3128"/>
      <c r="N47" s="3129" t="s">
        <v>3727</v>
      </c>
      <c r="O47" s="3130"/>
      <c r="P47" s="3131">
        <f>IF(OR($I$62=0,$I$60&gt;$I$61),0,ABS($I$60-$I$61))</f>
        <v>0</v>
      </c>
      <c r="Q47" s="3132"/>
      <c r="S47" s="3097"/>
      <c r="T47" s="3098"/>
      <c r="Y47" s="2474"/>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9"/>
      <c r="T48" s="3100"/>
      <c r="Y48" s="2474"/>
      <c r="Z48" s="1618">
        <v>48</v>
      </c>
      <c r="AZ48" s="1588" t="s">
        <v>4259</v>
      </c>
    </row>
    <row r="49" spans="1:52" s="223" customFormat="1" ht="15" customHeight="1">
      <c r="A49" s="144"/>
      <c r="B49" s="3103" t="s">
        <v>2042</v>
      </c>
      <c r="C49" s="3104"/>
      <c r="D49" s="3105"/>
      <c r="E49" s="3106"/>
      <c r="F49" s="3107"/>
      <c r="G49" s="3107"/>
      <c r="H49" s="3108"/>
      <c r="I49" s="3109"/>
      <c r="J49" s="3110"/>
      <c r="K49" s="144"/>
      <c r="L49" s="144"/>
      <c r="M49" s="144"/>
      <c r="N49" s="144"/>
      <c r="O49" s="144"/>
      <c r="P49" s="248" t="s">
        <v>482</v>
      </c>
      <c r="Q49" s="144"/>
      <c r="S49" s="3111"/>
      <c r="T49" s="3112"/>
      <c r="Y49" s="2474" t="s">
        <v>4259</v>
      </c>
      <c r="Z49" s="1618">
        <v>49</v>
      </c>
      <c r="AZ49" s="1588" t="s">
        <v>4260</v>
      </c>
    </row>
    <row r="50" spans="1:52" s="223" customFormat="1" ht="15" customHeight="1">
      <c r="A50" s="144"/>
      <c r="B50" s="3113" t="s">
        <v>744</v>
      </c>
      <c r="C50" s="3114"/>
      <c r="D50" s="3115"/>
      <c r="E50" s="3079"/>
      <c r="F50" s="3080"/>
      <c r="G50" s="3080"/>
      <c r="H50" s="3081"/>
      <c r="I50" s="3082"/>
      <c r="J50" s="3116"/>
      <c r="L50" s="3117" t="s">
        <v>483</v>
      </c>
      <c r="M50" s="3117"/>
      <c r="N50" s="3118" t="s">
        <v>484</v>
      </c>
      <c r="O50" s="3118"/>
      <c r="P50" s="313" t="s">
        <v>2351</v>
      </c>
      <c r="Q50" s="144"/>
      <c r="S50" s="3097"/>
      <c r="T50" s="3098"/>
      <c r="Y50" s="2474" t="s">
        <v>4260</v>
      </c>
      <c r="Z50" s="1618">
        <v>50</v>
      </c>
      <c r="AZ50" s="1588" t="s">
        <v>4261</v>
      </c>
    </row>
    <row r="51" spans="1:52" s="223" customFormat="1" ht="15" customHeight="1">
      <c r="A51" s="144"/>
      <c r="B51" s="3113" t="s">
        <v>745</v>
      </c>
      <c r="C51" s="3114"/>
      <c r="D51" s="3115"/>
      <c r="E51" s="3079"/>
      <c r="F51" s="3080"/>
      <c r="G51" s="3080"/>
      <c r="H51" s="3081"/>
      <c r="I51" s="3082"/>
      <c r="J51" s="3082"/>
      <c r="L51" s="3119">
        <f>'Part III-A-Uses of Funds'!$J$191*10*'Part III-A-Uses of Funds'!$N$182</f>
        <v>0</v>
      </c>
      <c r="M51" s="3119"/>
      <c r="N51" s="3120">
        <f>I51-L51</f>
        <v>0</v>
      </c>
      <c r="O51" s="3120"/>
      <c r="P51" s="323" t="e">
        <f>I51/I61</f>
        <v>#DIV/0!</v>
      </c>
      <c r="Q51" s="144"/>
      <c r="S51" s="3097"/>
      <c r="T51" s="3098"/>
      <c r="Y51" s="2474" t="s">
        <v>4261</v>
      </c>
      <c r="Z51" s="1618">
        <v>51</v>
      </c>
      <c r="AZ51" s="1588" t="s">
        <v>4262</v>
      </c>
    </row>
    <row r="52" spans="1:52" s="223" customFormat="1" ht="15" customHeight="1">
      <c r="A52" s="144"/>
      <c r="B52" s="3113" t="s">
        <v>746</v>
      </c>
      <c r="C52" s="3114"/>
      <c r="D52" s="3115"/>
      <c r="E52" s="3079"/>
      <c r="F52" s="3080"/>
      <c r="G52" s="3080"/>
      <c r="H52" s="3081"/>
      <c r="I52" s="3082"/>
      <c r="J52" s="3082"/>
      <c r="L52" s="3119">
        <f>'Part III-A-Uses of Funds'!$J$191*10*'Part III-A-Uses of Funds'!$Q$182</f>
        <v>0</v>
      </c>
      <c r="M52" s="3119"/>
      <c r="N52" s="3120">
        <f>I52-L52</f>
        <v>0</v>
      </c>
      <c r="O52" s="3120"/>
      <c r="P52" s="323" t="e">
        <f>I52/I61</f>
        <v>#DIV/0!</v>
      </c>
      <c r="Q52" s="144"/>
      <c r="S52" s="3097"/>
      <c r="T52" s="3098"/>
      <c r="Y52" s="2474" t="s">
        <v>4262</v>
      </c>
      <c r="Z52" s="1618">
        <v>52</v>
      </c>
      <c r="AZ52" s="1588" t="s">
        <v>4263</v>
      </c>
    </row>
    <row r="53" spans="1:52" s="223" customFormat="1" ht="15" customHeight="1">
      <c r="A53" s="144"/>
      <c r="B53" s="3113" t="s">
        <v>1329</v>
      </c>
      <c r="C53" s="3114"/>
      <c r="D53" s="3115"/>
      <c r="E53" s="3079"/>
      <c r="F53" s="3080"/>
      <c r="G53" s="3080"/>
      <c r="H53" s="3081"/>
      <c r="I53" s="3082"/>
      <c r="J53" s="3082"/>
      <c r="P53" s="324" t="e">
        <f>SUM(P51:P52)</f>
        <v>#DIV/0!</v>
      </c>
      <c r="Q53" s="144"/>
      <c r="S53" s="3099"/>
      <c r="T53" s="3100"/>
      <c r="Y53" s="2474" t="s">
        <v>4263</v>
      </c>
      <c r="Z53" s="1618">
        <v>53</v>
      </c>
      <c r="AZ53" s="1588"/>
    </row>
    <row r="54" spans="1:52" s="223" customFormat="1" ht="15" customHeight="1">
      <c r="A54" s="144"/>
      <c r="B54" s="807" t="s">
        <v>496</v>
      </c>
      <c r="C54" s="144"/>
      <c r="D54" s="811"/>
      <c r="E54" s="3079"/>
      <c r="F54" s="3080"/>
      <c r="G54" s="3080"/>
      <c r="H54" s="3081"/>
      <c r="I54" s="3082"/>
      <c r="J54" s="3082"/>
      <c r="K54" s="144"/>
      <c r="Q54" s="144"/>
      <c r="S54" s="3097"/>
      <c r="T54" s="3098"/>
      <c r="Y54" s="2474"/>
      <c r="Z54" s="1618">
        <v>54</v>
      </c>
      <c r="AZ54" s="1588"/>
    </row>
    <row r="55" spans="1:52" s="223" customFormat="1" ht="15" customHeight="1">
      <c r="A55" s="144"/>
      <c r="B55" s="807" t="s">
        <v>1727</v>
      </c>
      <c r="C55" s="144"/>
      <c r="D55" s="811"/>
      <c r="E55" s="3079"/>
      <c r="F55" s="3080"/>
      <c r="G55" s="3080"/>
      <c r="H55" s="3081"/>
      <c r="I55" s="3082"/>
      <c r="J55" s="3082"/>
      <c r="N55" s="301"/>
      <c r="O55" s="301"/>
      <c r="P55" s="301"/>
      <c r="Q55" s="144"/>
      <c r="S55" s="3097"/>
      <c r="T55" s="3098"/>
      <c r="Y55" s="2474"/>
      <c r="Z55" s="1618">
        <v>55</v>
      </c>
      <c r="AZ55" s="1588"/>
    </row>
    <row r="56" spans="1:52" s="223" customFormat="1" ht="15" customHeight="1">
      <c r="A56" s="144"/>
      <c r="B56" s="807" t="s">
        <v>1728</v>
      </c>
      <c r="C56" s="144"/>
      <c r="D56" s="811"/>
      <c r="E56" s="3079"/>
      <c r="F56" s="3080"/>
      <c r="G56" s="3080"/>
      <c r="H56" s="3081"/>
      <c r="I56" s="3082"/>
      <c r="J56" s="3082"/>
      <c r="M56" s="301"/>
      <c r="N56" s="301"/>
      <c r="O56" s="301"/>
      <c r="P56" s="301"/>
      <c r="Q56" s="144"/>
      <c r="S56" s="3097"/>
      <c r="T56" s="3098"/>
      <c r="Y56" s="2474"/>
      <c r="Z56" s="1618">
        <v>56</v>
      </c>
      <c r="AZ56" s="1588" t="s">
        <v>4264</v>
      </c>
    </row>
    <row r="57" spans="1:52" s="223" customFormat="1" ht="15" customHeight="1">
      <c r="A57" s="144"/>
      <c r="B57" s="807" t="s">
        <v>689</v>
      </c>
      <c r="C57" s="3101"/>
      <c r="D57" s="3101"/>
      <c r="E57" s="3079"/>
      <c r="F57" s="3080"/>
      <c r="G57" s="3080"/>
      <c r="H57" s="3081"/>
      <c r="I57" s="3082"/>
      <c r="J57" s="3082"/>
      <c r="M57" s="301"/>
      <c r="N57" s="301"/>
      <c r="O57" s="301"/>
      <c r="P57" s="301"/>
      <c r="Q57" s="144"/>
      <c r="S57" s="3097"/>
      <c r="T57" s="3098"/>
      <c r="Y57" s="2474" t="s">
        <v>4264</v>
      </c>
      <c r="Z57" s="1618">
        <v>57</v>
      </c>
      <c r="AZ57" s="1588" t="s">
        <v>4265</v>
      </c>
    </row>
    <row r="58" spans="1:52" s="223" customFormat="1" ht="15" customHeight="1">
      <c r="A58" s="144"/>
      <c r="B58" s="807" t="s">
        <v>689</v>
      </c>
      <c r="C58" s="3102"/>
      <c r="D58" s="3102"/>
      <c r="E58" s="3079"/>
      <c r="F58" s="3080"/>
      <c r="G58" s="3080"/>
      <c r="H58" s="3081"/>
      <c r="I58" s="3082"/>
      <c r="J58" s="3082"/>
      <c r="K58" s="144"/>
      <c r="L58" s="248"/>
      <c r="M58" s="301"/>
      <c r="N58" s="301"/>
      <c r="O58" s="301"/>
      <c r="P58" s="301"/>
      <c r="Q58" s="144"/>
      <c r="S58" s="3097"/>
      <c r="T58" s="3098"/>
      <c r="Y58" s="2474" t="s">
        <v>4265</v>
      </c>
      <c r="Z58" s="1618">
        <v>58</v>
      </c>
      <c r="AZ58" s="1588" t="s">
        <v>4266</v>
      </c>
    </row>
    <row r="59" spans="1:52" s="223" customFormat="1" ht="15" customHeight="1">
      <c r="A59" s="144"/>
      <c r="B59" s="812" t="s">
        <v>689</v>
      </c>
      <c r="C59" s="3086"/>
      <c r="D59" s="3086"/>
      <c r="E59" s="3087"/>
      <c r="F59" s="3088"/>
      <c r="G59" s="3088"/>
      <c r="H59" s="3089"/>
      <c r="I59" s="3090"/>
      <c r="J59" s="3090"/>
      <c r="K59" s="144"/>
      <c r="L59" s="248"/>
      <c r="M59" s="301"/>
      <c r="N59" s="301"/>
      <c r="O59" s="301"/>
      <c r="P59" s="301"/>
      <c r="Q59" s="144"/>
      <c r="S59" s="3097"/>
      <c r="T59" s="3098"/>
      <c r="Y59" s="2474" t="s">
        <v>4266</v>
      </c>
      <c r="Z59" s="1618">
        <v>59</v>
      </c>
      <c r="AZ59" s="1588"/>
    </row>
    <row r="60" spans="1:52" s="223" customFormat="1" ht="14.25" customHeight="1">
      <c r="A60" s="144"/>
      <c r="B60" s="246" t="s">
        <v>2043</v>
      </c>
      <c r="C60" s="144"/>
      <c r="D60" s="144"/>
      <c r="E60" s="144"/>
      <c r="F60" s="144"/>
      <c r="G60" s="144"/>
      <c r="I60" s="3091">
        <f>SUM(I40:J45)+SUM(I49:J59)</f>
        <v>0</v>
      </c>
      <c r="J60" s="3092"/>
      <c r="K60" s="144"/>
      <c r="L60" s="248"/>
      <c r="M60" s="301"/>
      <c r="N60" s="301"/>
      <c r="O60" s="301"/>
      <c r="P60" s="301"/>
      <c r="Q60" s="144"/>
      <c r="S60" s="3097"/>
      <c r="T60" s="3098"/>
      <c r="Y60" s="2474"/>
      <c r="Z60" s="1618">
        <v>60</v>
      </c>
      <c r="AZ60" s="1588"/>
    </row>
    <row r="61" spans="1:52" s="223" customFormat="1" ht="14.25" customHeight="1" thickBot="1">
      <c r="A61" s="144"/>
      <c r="B61" s="246" t="s">
        <v>2044</v>
      </c>
      <c r="C61" s="144"/>
      <c r="D61" s="144"/>
      <c r="E61" s="144"/>
      <c r="F61" s="144"/>
      <c r="G61" s="144"/>
      <c r="I61" s="3093">
        <f>'Part III-A-Uses of Funds'!$G$146</f>
        <v>0</v>
      </c>
      <c r="J61" s="3094"/>
      <c r="K61" s="144"/>
      <c r="L61" s="248"/>
      <c r="M61" s="301"/>
      <c r="N61" s="301"/>
      <c r="O61" s="301"/>
      <c r="P61" s="301"/>
      <c r="Q61" s="144"/>
      <c r="S61" s="3097"/>
      <c r="T61" s="3098"/>
      <c r="Y61" s="2474"/>
      <c r="Z61" s="1618">
        <v>61</v>
      </c>
      <c r="AZ61" s="1588"/>
    </row>
    <row r="62" spans="1:52" s="223" customFormat="1" ht="14.25" customHeight="1" thickBot="1">
      <c r="A62" s="144"/>
      <c r="B62" s="246" t="s">
        <v>1426</v>
      </c>
      <c r="C62" s="144"/>
      <c r="D62" s="144"/>
      <c r="E62" s="144"/>
      <c r="F62" s="144"/>
      <c r="G62" s="144"/>
      <c r="I62" s="3095">
        <f>I60-I61</f>
        <v>0</v>
      </c>
      <c r="J62" s="3096"/>
      <c r="K62" s="144"/>
      <c r="L62" s="248"/>
      <c r="M62" s="301"/>
      <c r="N62" s="301"/>
      <c r="O62" s="301"/>
      <c r="P62" s="301"/>
      <c r="Q62" s="144"/>
      <c r="S62" s="3099"/>
      <c r="T62" s="3100"/>
      <c r="Y62" s="2474"/>
      <c r="Z62" s="1618">
        <v>62</v>
      </c>
      <c r="AZ62" s="1588"/>
    </row>
    <row r="63" spans="1:52" s="223" customFormat="1" ht="13.4" customHeight="1">
      <c r="A63" s="144" t="s">
        <v>3824</v>
      </c>
      <c r="B63" s="246"/>
      <c r="C63" s="144"/>
      <c r="D63" s="144"/>
      <c r="E63" s="144"/>
      <c r="F63" s="144"/>
      <c r="G63" s="144"/>
      <c r="H63" s="297"/>
      <c r="I63" s="297"/>
      <c r="J63" s="145"/>
      <c r="K63" s="144"/>
      <c r="L63" s="248"/>
      <c r="M63" s="301"/>
      <c r="N63" s="301"/>
      <c r="O63" s="301"/>
      <c r="P63" s="301"/>
      <c r="Q63" s="144"/>
      <c r="R63" s="144"/>
      <c r="S63" s="144"/>
      <c r="T63" s="144"/>
      <c r="Y63" s="2474"/>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3"/>
      <c r="B66" s="3083"/>
      <c r="C66" s="3083"/>
      <c r="D66" s="3083"/>
      <c r="E66" s="3083"/>
      <c r="F66" s="3083"/>
      <c r="G66" s="3083"/>
      <c r="H66" s="3083"/>
      <c r="I66" s="3083"/>
      <c r="J66" s="3083"/>
      <c r="K66" s="3083"/>
      <c r="L66" s="3083"/>
      <c r="M66" s="3084"/>
      <c r="N66" s="3084"/>
      <c r="O66" s="3084"/>
      <c r="P66" s="3084"/>
      <c r="Q66" s="3084"/>
      <c r="S66" s="3085" t="s">
        <v>2445</v>
      </c>
      <c r="T66" s="3085"/>
      <c r="U66" s="366"/>
      <c r="V66" s="366"/>
      <c r="W66" s="366"/>
      <c r="Y66" s="2476"/>
      <c r="Z66" s="1618">
        <v>66</v>
      </c>
      <c r="AZ66" s="1590"/>
    </row>
    <row r="67" spans="1:52" ht="11.25" customHeight="1">
      <c r="S67" s="366"/>
      <c r="T67" s="366"/>
      <c r="U67" s="366"/>
      <c r="V67" s="366"/>
      <c r="W67" s="366"/>
      <c r="Y67" s="2476"/>
    </row>
    <row r="68" spans="1:52" ht="12" customHeight="1"/>
    <row r="69" spans="1:52" ht="12" customHeight="1">
      <c r="B69" s="277"/>
    </row>
    <row r="70" spans="1:52" ht="14.65" customHeight="1">
      <c r="AZ70" s="1588"/>
    </row>
    <row r="71" spans="1:52" s="223" customFormat="1" ht="14.65" customHeight="1">
      <c r="Y71" s="2474"/>
      <c r="Z71" s="1654"/>
      <c r="AZ71" s="1588"/>
    </row>
    <row r="72" spans="1:52" s="223" customFormat="1" ht="14.65" customHeight="1">
      <c r="Y72" s="2474"/>
      <c r="Z72" s="1654"/>
      <c r="AZ72" s="1588"/>
    </row>
    <row r="73" spans="1:52" s="223" customFormat="1" ht="14.65" customHeight="1">
      <c r="Y73" s="2474"/>
      <c r="Z73" s="1654"/>
      <c r="AZ73" s="1587"/>
    </row>
    <row r="74" spans="1:52" ht="14.65" customHeight="1">
      <c r="AZ74" s="1588"/>
    </row>
    <row r="75" spans="1:52" s="223" customFormat="1" ht="14.65" customHeight="1">
      <c r="A75" s="278"/>
      <c r="Y75" s="2474"/>
      <c r="Z75" s="1654"/>
      <c r="AZ75" s="1588"/>
    </row>
    <row r="76" spans="1:52" s="223" customFormat="1" ht="14.65" customHeight="1">
      <c r="A76" s="278"/>
      <c r="Y76" s="2474"/>
      <c r="Z76" s="1654"/>
      <c r="AZ76" s="1588"/>
    </row>
    <row r="77" spans="1:52" s="223" customFormat="1" ht="14.65" customHeight="1">
      <c r="Y77" s="2474"/>
      <c r="Z77" s="1654"/>
      <c r="AZ77" s="1588"/>
    </row>
    <row r="78" spans="1:52" s="223" customFormat="1" ht="14.65" customHeight="1">
      <c r="A78" s="278"/>
      <c r="Y78" s="2474"/>
      <c r="Z78" s="1654"/>
      <c r="AZ78" s="1588"/>
    </row>
    <row r="79" spans="1:52" s="223" customFormat="1" ht="14.65" customHeight="1">
      <c r="A79" s="276"/>
      <c r="Y79" s="2474"/>
      <c r="Z79" s="1654"/>
      <c r="AZ79" s="1588"/>
    </row>
    <row r="80" spans="1:52" s="223" customFormat="1" ht="14.65" customHeight="1">
      <c r="A80" s="276"/>
      <c r="Y80" s="2474"/>
      <c r="Z80" s="1654"/>
      <c r="AZ80" s="1588"/>
    </row>
    <row r="81" spans="1:52" s="223" customFormat="1" ht="14.65" customHeight="1">
      <c r="A81" s="279"/>
      <c r="Y81" s="2474"/>
      <c r="Z81" s="1654"/>
      <c r="AZ81" s="1588"/>
    </row>
    <row r="82" spans="1:52" s="223" customFormat="1" ht="14.65" customHeight="1">
      <c r="A82" s="278"/>
      <c r="Y82" s="2474"/>
      <c r="Z82" s="1654"/>
      <c r="AZ82" s="1588"/>
    </row>
    <row r="83" spans="1:52" s="223" customFormat="1" ht="14.65" customHeight="1">
      <c r="A83" s="276"/>
      <c r="Y83" s="2474"/>
      <c r="Z83" s="1654"/>
      <c r="AZ83" s="1588"/>
    </row>
    <row r="84" spans="1:52" s="223" customFormat="1" ht="14.65" customHeight="1">
      <c r="A84" s="276"/>
      <c r="Y84" s="2474"/>
      <c r="Z84" s="1654"/>
      <c r="AZ84" s="1588"/>
    </row>
    <row r="85" spans="1:52" s="223" customFormat="1" ht="14.65" customHeight="1">
      <c r="A85" s="279"/>
      <c r="Y85" s="2474"/>
      <c r="Z85" s="1654"/>
      <c r="AZ85" s="1588"/>
    </row>
    <row r="86" spans="1:52" s="223" customFormat="1" ht="14.65" customHeight="1">
      <c r="A86" s="278"/>
      <c r="Y86" s="2474"/>
      <c r="Z86" s="1654"/>
      <c r="AZ86" s="1588"/>
    </row>
    <row r="87" spans="1:52" s="223" customFormat="1" ht="14.65" customHeight="1">
      <c r="A87" s="276"/>
      <c r="Y87" s="2474"/>
      <c r="Z87" s="1654"/>
      <c r="AZ87" s="1588"/>
    </row>
    <row r="88" spans="1:52" s="223" customFormat="1" ht="14.65" customHeight="1">
      <c r="A88" s="276"/>
      <c r="Y88" s="2474"/>
      <c r="Z88" s="1654"/>
      <c r="AZ88" s="1588"/>
    </row>
    <row r="89" spans="1:52" s="223" customFormat="1" ht="14.65" customHeight="1">
      <c r="A89" s="279"/>
      <c r="Y89" s="2474"/>
      <c r="Z89" s="1654"/>
      <c r="AZ89" s="1588"/>
    </row>
    <row r="90" spans="1:52" s="223" customFormat="1" ht="14.65" customHeight="1">
      <c r="A90" s="279"/>
      <c r="Y90" s="2474"/>
      <c r="Z90" s="1654"/>
      <c r="AZ90" s="1588"/>
    </row>
    <row r="91" spans="1:52" s="223" customFormat="1" ht="14.65" customHeight="1">
      <c r="A91" s="279"/>
      <c r="Y91" s="2474"/>
      <c r="Z91" s="1654"/>
      <c r="AZ91" s="1588"/>
    </row>
    <row r="92" spans="1:52" s="223" customFormat="1" ht="14.65" customHeight="1">
      <c r="A92" s="279"/>
      <c r="Y92" s="2474"/>
      <c r="Z92" s="1654"/>
      <c r="AZ92" s="1588"/>
    </row>
    <row r="93" spans="1:52" s="223" customFormat="1" ht="14.65" customHeight="1">
      <c r="Y93" s="2474"/>
      <c r="Z93" s="1654"/>
      <c r="AZ93" s="1588"/>
    </row>
    <row r="94" spans="1:52" s="223" customFormat="1" ht="14.65" customHeight="1">
      <c r="Y94" s="2474"/>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YfIbxQBJNVW4LZJxOJcXwLudf0EFY8YV4OK2tTzLoElzBWZ34Fw3Nl6+FYQ53Fh6m6/9bMl3dzVVIjNszw0LAA==" saltValue="jw7ci/Zra08r/TNlDsZwC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221" t="e">
        <f>CONCATENATE("PART III B: USD 538 LOAN","  -  ",#REF!," ",#REF!,", ",#REF!,", ",#REF!," County")</f>
        <v>#REF!</v>
      </c>
      <c r="B1" s="3222"/>
      <c r="C1" s="3222"/>
      <c r="D1" s="3222"/>
      <c r="E1" s="3222"/>
      <c r="F1" s="3223"/>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214" t="s">
        <v>210</v>
      </c>
      <c r="B3" s="3214"/>
      <c r="C3" s="3214"/>
      <c r="D3" s="3214"/>
      <c r="E3" s="3214"/>
      <c r="F3" s="3214"/>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4"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215" t="s">
        <v>122</v>
      </c>
      <c r="B14" s="3215"/>
      <c r="C14" s="3215"/>
      <c r="D14" s="3215"/>
      <c r="E14" s="3215"/>
      <c r="F14" s="3215"/>
      <c r="G14" s="162"/>
      <c r="H14" s="162"/>
    </row>
    <row r="15" spans="1:17" ht="5.65" customHeight="1">
      <c r="A15" s="10"/>
      <c r="E15" s="169"/>
      <c r="F15" s="162"/>
      <c r="G15" s="162"/>
      <c r="H15" s="162"/>
    </row>
    <row r="16" spans="1:17" ht="13.4" customHeight="1">
      <c r="A16" s="170" t="s">
        <v>2278</v>
      </c>
      <c r="B16" s="171" t="s">
        <v>2275</v>
      </c>
      <c r="C16" s="171" t="s">
        <v>2276</v>
      </c>
      <c r="D16" s="3224" t="s">
        <v>2077</v>
      </c>
      <c r="E16" s="3224"/>
      <c r="F16" s="162"/>
      <c r="G16" s="162"/>
      <c r="H16" s="162"/>
    </row>
    <row r="17" spans="1:8" ht="12.65" customHeight="1">
      <c r="A17" s="60">
        <v>1</v>
      </c>
      <c r="B17" s="155">
        <f>IF(A17&gt;$C$9,0,SUM(C64:C75)*($C$6/$C$7))</f>
        <v>0</v>
      </c>
      <c r="C17" s="158">
        <f>IF(A17&gt;C9,0,(E63+K63)*$C$8)</f>
        <v>0</v>
      </c>
      <c r="D17" s="3219">
        <f t="shared" ref="D17:D56" si="0">IF(A17&gt;$C$9,0,$C$11+C17)</f>
        <v>0</v>
      </c>
      <c r="E17" s="3219"/>
      <c r="F17" s="162"/>
      <c r="G17" s="162"/>
      <c r="H17" s="162"/>
    </row>
    <row r="18" spans="1:8" ht="12.65" customHeight="1">
      <c r="A18" s="60">
        <v>2</v>
      </c>
      <c r="B18" s="155">
        <f>IF(A18&gt;C9,0,SUM(C76:C87)*($C$6/$C$7))</f>
        <v>0</v>
      </c>
      <c r="C18" s="158">
        <f>IF(A18&gt;C9,0,(E75+K75)*$C$8)</f>
        <v>0</v>
      </c>
      <c r="D18" s="3217">
        <f t="shared" si="0"/>
        <v>0</v>
      </c>
      <c r="E18" s="3217"/>
      <c r="F18" s="162"/>
      <c r="G18" s="162"/>
      <c r="H18" s="162"/>
    </row>
    <row r="19" spans="1:8" ht="12.65" customHeight="1">
      <c r="A19" s="60">
        <v>3</v>
      </c>
      <c r="B19" s="155">
        <f>IF(A19&gt;C9,0,SUM(C88:C99)*($C$6/$C$7))</f>
        <v>0</v>
      </c>
      <c r="C19" s="158">
        <f>IF(A19&gt;C9,0,(E87+K87)*$C$8)</f>
        <v>0</v>
      </c>
      <c r="D19" s="3217">
        <f t="shared" si="0"/>
        <v>0</v>
      </c>
      <c r="E19" s="3217"/>
      <c r="F19" s="162"/>
      <c r="G19" s="162"/>
      <c r="H19" s="162"/>
    </row>
    <row r="20" spans="1:8" ht="12.65" customHeight="1">
      <c r="A20" s="60">
        <v>4</v>
      </c>
      <c r="B20" s="155">
        <f>IF(A20&gt;C9,0,SUM(C100:C111)*($C$6/$C$7))</f>
        <v>0</v>
      </c>
      <c r="C20" s="158">
        <f>IF(A20&gt;C9,0,(E99+K99)*$C$8)</f>
        <v>0</v>
      </c>
      <c r="D20" s="3217">
        <f t="shared" si="0"/>
        <v>0</v>
      </c>
      <c r="E20" s="3217"/>
      <c r="F20" s="162"/>
      <c r="G20" s="162"/>
      <c r="H20" s="162"/>
    </row>
    <row r="21" spans="1:8" ht="12.65" customHeight="1">
      <c r="A21" s="60">
        <v>5</v>
      </c>
      <c r="B21" s="155">
        <f>IF(A21&gt;C9,0,SUM(C112:C123)*($C$6/$C$7))</f>
        <v>0</v>
      </c>
      <c r="C21" s="158">
        <f>IF(A21&gt;C9,0,(E111+K111)*$C$8)</f>
        <v>0</v>
      </c>
      <c r="D21" s="3218">
        <f t="shared" si="0"/>
        <v>0</v>
      </c>
      <c r="E21" s="3218"/>
      <c r="F21" s="162"/>
      <c r="G21" s="162"/>
      <c r="H21" s="162"/>
    </row>
    <row r="22" spans="1:8" ht="12.65" customHeight="1">
      <c r="A22" s="156">
        <v>6</v>
      </c>
      <c r="B22" s="157">
        <f>IF(A22&gt;C9,0,SUM(C124:C135)*($C$6/$C$7))</f>
        <v>0</v>
      </c>
      <c r="C22" s="173">
        <f>IF(A22&gt;C9,0,(E123+K123)*$C$8)</f>
        <v>0</v>
      </c>
      <c r="D22" s="3217">
        <f t="shared" si="0"/>
        <v>0</v>
      </c>
      <c r="E22" s="3217"/>
      <c r="F22" s="162"/>
      <c r="G22" s="162"/>
      <c r="H22" s="162"/>
    </row>
    <row r="23" spans="1:8" ht="12.65" customHeight="1">
      <c r="A23" s="60">
        <v>7</v>
      </c>
      <c r="B23" s="155">
        <f>IF(A23&gt;C9,0,SUM(C136:C147)*($C$6/$C$7))</f>
        <v>0</v>
      </c>
      <c r="C23" s="158">
        <f>IF(A23&gt;C9,0,(E135+K135)*$C$8)</f>
        <v>0</v>
      </c>
      <c r="D23" s="3217">
        <f t="shared" si="0"/>
        <v>0</v>
      </c>
      <c r="E23" s="3217"/>
      <c r="F23" s="162"/>
      <c r="G23" s="162"/>
      <c r="H23" s="162"/>
    </row>
    <row r="24" spans="1:8" ht="12.65" customHeight="1">
      <c r="A24" s="60">
        <v>8</v>
      </c>
      <c r="B24" s="155">
        <f>IF(A24&gt;C9,0,SUM(C148:C159)*($C$6/$C$7))</f>
        <v>0</v>
      </c>
      <c r="C24" s="158">
        <f>IF(A24&gt;C9,0,(E147+K147)*$C$8)</f>
        <v>0</v>
      </c>
      <c r="D24" s="3217">
        <f t="shared" si="0"/>
        <v>0</v>
      </c>
      <c r="E24" s="3217"/>
      <c r="F24" s="162"/>
      <c r="G24" s="162"/>
      <c r="H24" s="162"/>
    </row>
    <row r="25" spans="1:8" ht="12.65" customHeight="1">
      <c r="A25" s="60">
        <v>9</v>
      </c>
      <c r="B25" s="155">
        <f>IF(A25&gt;C9,0,SUM(C160:C171)*($C$6/$C$7))</f>
        <v>0</v>
      </c>
      <c r="C25" s="158">
        <f>IF(A25&gt;C9,0,(E159+K159)*$C$8)</f>
        <v>0</v>
      </c>
      <c r="D25" s="3217">
        <f t="shared" si="0"/>
        <v>0</v>
      </c>
      <c r="E25" s="3217"/>
      <c r="F25" s="162"/>
      <c r="G25" s="162"/>
      <c r="H25" s="162"/>
    </row>
    <row r="26" spans="1:8" ht="12.65" customHeight="1">
      <c r="A26" s="159">
        <v>10</v>
      </c>
      <c r="B26" s="160">
        <f>IF(A26&gt;C9,0,SUM(C172:C183)*($C$6/$C$7))</f>
        <v>0</v>
      </c>
      <c r="C26" s="172">
        <f>IF(A26&gt;C9,0,(E171+K171)*$C$8)</f>
        <v>0</v>
      </c>
      <c r="D26" s="3218">
        <f t="shared" si="0"/>
        <v>0</v>
      </c>
      <c r="E26" s="3218"/>
      <c r="F26" s="162"/>
      <c r="G26" s="162"/>
      <c r="H26" s="162"/>
    </row>
    <row r="27" spans="1:8" ht="12.65" customHeight="1">
      <c r="A27" s="60">
        <v>11</v>
      </c>
      <c r="B27" s="155">
        <f>IF(A27&gt;C9,0,SUM(C184:C195)*($C$6/$C$7))</f>
        <v>0</v>
      </c>
      <c r="C27" s="158">
        <f>IF(A27&gt;C9,0,(E183+K183)*$C$8)</f>
        <v>0</v>
      </c>
      <c r="D27" s="3217">
        <f t="shared" si="0"/>
        <v>0</v>
      </c>
      <c r="E27" s="3217"/>
      <c r="F27" s="162"/>
      <c r="G27" s="162"/>
      <c r="H27" s="162"/>
    </row>
    <row r="28" spans="1:8" ht="12.65" customHeight="1">
      <c r="A28" s="60">
        <v>12</v>
      </c>
      <c r="B28" s="155">
        <f>IF(A28&gt;C9,0,SUM(C196:C207)*($C$6/$C$7))</f>
        <v>0</v>
      </c>
      <c r="C28" s="158">
        <f>IF(A28&gt;C9,0,(E195+K195)*$C$8)</f>
        <v>0</v>
      </c>
      <c r="D28" s="3217">
        <f t="shared" si="0"/>
        <v>0</v>
      </c>
      <c r="E28" s="3217"/>
      <c r="F28" s="162"/>
      <c r="G28" s="162"/>
      <c r="H28" s="162"/>
    </row>
    <row r="29" spans="1:8" ht="12.65" customHeight="1">
      <c r="A29" s="60">
        <v>13</v>
      </c>
      <c r="B29" s="155">
        <f>IF(A29&gt;C9,0,SUM(C208:C219)*($C$6/$C$7))</f>
        <v>0</v>
      </c>
      <c r="C29" s="158">
        <f>IF(A29&gt;C9,0,(E207+K207)*$C$8)</f>
        <v>0</v>
      </c>
      <c r="D29" s="3217">
        <f t="shared" si="0"/>
        <v>0</v>
      </c>
      <c r="E29" s="3217"/>
      <c r="F29" s="162"/>
      <c r="G29" s="162"/>
      <c r="H29" s="162"/>
    </row>
    <row r="30" spans="1:8" ht="12.65" customHeight="1">
      <c r="A30" s="60">
        <v>14</v>
      </c>
      <c r="B30" s="155">
        <f>IF(A30&gt;C9,0,SUM(C220:C231)*($C$6/$C$7))</f>
        <v>0</v>
      </c>
      <c r="C30" s="158">
        <f>IF(A30&gt;C9,0,(E219+K219)*$C$8)</f>
        <v>0</v>
      </c>
      <c r="D30" s="3217">
        <f t="shared" si="0"/>
        <v>0</v>
      </c>
      <c r="E30" s="3217"/>
      <c r="F30" s="162"/>
      <c r="G30" s="162"/>
      <c r="H30" s="162"/>
    </row>
    <row r="31" spans="1:8" ht="12.65" customHeight="1">
      <c r="A31" s="60">
        <v>15</v>
      </c>
      <c r="B31" s="155">
        <f>IF(A31&gt;C9,0,SUM(C232:C243)*($C$6/$C$7))</f>
        <v>0</v>
      </c>
      <c r="C31" s="158">
        <f>IF(A31&gt;C9,0,(E231+K231)*$C$8)</f>
        <v>0</v>
      </c>
      <c r="D31" s="3218">
        <f t="shared" si="0"/>
        <v>0</v>
      </c>
      <c r="E31" s="3218"/>
      <c r="F31" s="162"/>
      <c r="G31" s="162"/>
      <c r="H31" s="162"/>
    </row>
    <row r="32" spans="1:8" ht="12.65" customHeight="1">
      <c r="A32" s="156">
        <v>16</v>
      </c>
      <c r="B32" s="157">
        <f>IF(A32&gt;C9,0,SUM(C244:C255)*($C$6/$C$7))</f>
        <v>0</v>
      </c>
      <c r="C32" s="173">
        <f>IF(A32&gt;C9,0,(E243+K243)*$C$8)</f>
        <v>0</v>
      </c>
      <c r="D32" s="3217">
        <f t="shared" si="0"/>
        <v>0</v>
      </c>
      <c r="E32" s="3217"/>
      <c r="F32" s="162"/>
      <c r="G32" s="162"/>
      <c r="H32" s="162"/>
    </row>
    <row r="33" spans="1:8" ht="12.65" customHeight="1">
      <c r="A33" s="60">
        <v>17</v>
      </c>
      <c r="B33" s="155">
        <f>IF(A33&gt;C9,0,SUM(C256:C267)*($C$6/$C$7))</f>
        <v>0</v>
      </c>
      <c r="C33" s="158">
        <f>IF(A33&gt;C9,0,(E255+K255)*$C$8)</f>
        <v>0</v>
      </c>
      <c r="D33" s="3217">
        <f t="shared" si="0"/>
        <v>0</v>
      </c>
      <c r="E33" s="3217"/>
      <c r="F33" s="162"/>
      <c r="G33" s="162"/>
      <c r="H33" s="162"/>
    </row>
    <row r="34" spans="1:8" ht="12.65" customHeight="1">
      <c r="A34" s="60">
        <v>18</v>
      </c>
      <c r="B34" s="155">
        <f>IF(A34&gt;C9,0,SUM(C268:C279)*($C$6/$C$7))</f>
        <v>0</v>
      </c>
      <c r="C34" s="158">
        <f>IF(A34&gt;C9,0,(E267+K267)*$C$8)</f>
        <v>0</v>
      </c>
      <c r="D34" s="3217">
        <f t="shared" si="0"/>
        <v>0</v>
      </c>
      <c r="E34" s="3217"/>
      <c r="F34" s="162"/>
      <c r="G34" s="162"/>
      <c r="H34" s="162"/>
    </row>
    <row r="35" spans="1:8" ht="12.65" customHeight="1">
      <c r="A35" s="60">
        <v>19</v>
      </c>
      <c r="B35" s="155">
        <f>IF(A35&gt;C9,0,SUM(C280:C291)*($C$6/$C$7))</f>
        <v>0</v>
      </c>
      <c r="C35" s="158">
        <f>IF(A35&gt;C9,0,(E279+K279)*$C$8)</f>
        <v>0</v>
      </c>
      <c r="D35" s="3217">
        <f t="shared" si="0"/>
        <v>0</v>
      </c>
      <c r="E35" s="3217"/>
      <c r="F35" s="162"/>
      <c r="G35" s="162"/>
      <c r="H35" s="162"/>
    </row>
    <row r="36" spans="1:8" ht="12.65" customHeight="1">
      <c r="A36" s="159">
        <v>20</v>
      </c>
      <c r="B36" s="160">
        <f>IF(A36&gt;C9,0,SUM(C292:C303)*($C$6/$C$7))</f>
        <v>0</v>
      </c>
      <c r="C36" s="172">
        <f>IF(A36&gt;C9,0,(E291+K291)*$C$8)</f>
        <v>0</v>
      </c>
      <c r="D36" s="3218">
        <f t="shared" si="0"/>
        <v>0</v>
      </c>
      <c r="E36" s="3218"/>
      <c r="F36" s="162"/>
      <c r="G36" s="162"/>
      <c r="H36" s="162"/>
    </row>
    <row r="37" spans="1:8" ht="12.65" customHeight="1">
      <c r="A37" s="60">
        <v>21</v>
      </c>
      <c r="B37" s="157">
        <f>IF(A37&gt;C9,0,SUM(C293:C304)*($C$6/$C$7))</f>
        <v>0</v>
      </c>
      <c r="C37" s="173">
        <f>IF(A37&gt;C9,0,(E303+K303)*$C$8)</f>
        <v>0</v>
      </c>
      <c r="D37" s="3220">
        <f t="shared" si="0"/>
        <v>0</v>
      </c>
      <c r="E37" s="3220"/>
      <c r="F37" s="162"/>
      <c r="G37" s="162"/>
      <c r="H37" s="162"/>
    </row>
    <row r="38" spans="1:8" ht="12.65" customHeight="1">
      <c r="A38" s="60">
        <v>22</v>
      </c>
      <c r="B38" s="155">
        <f>IF(A38&gt;C9,0,SUM(C294:C305)*($C$6/$C$7))</f>
        <v>0</v>
      </c>
      <c r="C38" s="158">
        <f>IF(A38&gt;C9,0,(E315+K315)*$C$8)</f>
        <v>0</v>
      </c>
      <c r="D38" s="3217">
        <f t="shared" si="0"/>
        <v>0</v>
      </c>
      <c r="E38" s="3217"/>
      <c r="F38" s="162"/>
      <c r="G38" s="162"/>
      <c r="H38" s="162"/>
    </row>
    <row r="39" spans="1:8" ht="12.65" customHeight="1">
      <c r="A39" s="60">
        <v>23</v>
      </c>
      <c r="B39" s="155">
        <f>IF(A39&gt;C9,0,SUM(C295:C306)*($C$6/$C$7))</f>
        <v>0</v>
      </c>
      <c r="C39" s="158">
        <f>IF(A39&gt;C9,0,(E327+K327)*$C$8)</f>
        <v>0</v>
      </c>
      <c r="D39" s="3217">
        <f t="shared" si="0"/>
        <v>0</v>
      </c>
      <c r="E39" s="3217"/>
      <c r="F39" s="162"/>
      <c r="G39" s="162"/>
      <c r="H39" s="162"/>
    </row>
    <row r="40" spans="1:8" ht="12.65" customHeight="1">
      <c r="A40" s="60">
        <v>24</v>
      </c>
      <c r="B40" s="155">
        <f>IF(A40&gt;C9,0,SUM(C296:C307)*($C$6/$C$7))</f>
        <v>0</v>
      </c>
      <c r="C40" s="158">
        <f>IF(A40&gt;C9,0,(E339+K339)*$C$8)</f>
        <v>0</v>
      </c>
      <c r="D40" s="3217">
        <f t="shared" si="0"/>
        <v>0</v>
      </c>
      <c r="E40" s="3217"/>
      <c r="F40" s="162"/>
      <c r="G40" s="162"/>
      <c r="H40" s="162"/>
    </row>
    <row r="41" spans="1:8" ht="12.65" customHeight="1">
      <c r="A41" s="60">
        <v>25</v>
      </c>
      <c r="B41" s="160">
        <f>IF(A41&gt;C9,0,SUM(C297:C308)*($C$6/$C$7))</f>
        <v>0</v>
      </c>
      <c r="C41" s="172">
        <f>IF(A41&gt;C9,0,(E351+K351)*$C$8)</f>
        <v>0</v>
      </c>
      <c r="D41" s="3218">
        <f t="shared" si="0"/>
        <v>0</v>
      </c>
      <c r="E41" s="3218"/>
      <c r="F41" s="162"/>
      <c r="G41" s="162"/>
      <c r="H41" s="162"/>
    </row>
    <row r="42" spans="1:8" ht="12.65" customHeight="1">
      <c r="A42" s="156">
        <v>26</v>
      </c>
      <c r="B42" s="157">
        <f>IF(A42&gt;C9,0,SUM(C298:C309)*($C$6/$C$7))</f>
        <v>0</v>
      </c>
      <c r="C42" s="173">
        <f>IF(A42&gt;C9,0,(E363+K363)*$C$8)</f>
        <v>0</v>
      </c>
      <c r="D42" s="3220">
        <f t="shared" si="0"/>
        <v>0</v>
      </c>
      <c r="E42" s="3220"/>
      <c r="F42" s="162"/>
      <c r="G42" s="162"/>
      <c r="H42" s="162"/>
    </row>
    <row r="43" spans="1:8" ht="12.65" customHeight="1">
      <c r="A43" s="60">
        <v>27</v>
      </c>
      <c r="B43" s="155">
        <f>IF(A43&gt;C9,0,SUM(C299:C310)*($C$6/$C$7))</f>
        <v>0</v>
      </c>
      <c r="C43" s="158">
        <f>IF(A43&gt;C9,0,(E375+K375)*$C$8)</f>
        <v>0</v>
      </c>
      <c r="D43" s="3217">
        <f t="shared" si="0"/>
        <v>0</v>
      </c>
      <c r="E43" s="3217"/>
      <c r="F43" s="162"/>
      <c r="G43" s="162"/>
      <c r="H43" s="162"/>
    </row>
    <row r="44" spans="1:8" ht="12.65" customHeight="1">
      <c r="A44" s="60">
        <v>28</v>
      </c>
      <c r="B44" s="155">
        <f>IF(A44&gt;C9,0,SUM(C300:C311)*($C$6/$C$7))</f>
        <v>0</v>
      </c>
      <c r="C44" s="158">
        <f>IF(A44&gt;C9,0,(E387+K387)*$C$8)</f>
        <v>0</v>
      </c>
      <c r="D44" s="3217">
        <f t="shared" si="0"/>
        <v>0</v>
      </c>
      <c r="E44" s="3217"/>
      <c r="F44" s="162"/>
      <c r="G44" s="162"/>
      <c r="H44" s="162"/>
    </row>
    <row r="45" spans="1:8" ht="12.65" customHeight="1">
      <c r="A45" s="60">
        <v>29</v>
      </c>
      <c r="B45" s="155">
        <f>IF(A45&gt;C9,0,SUM(C301:C312)*($C$6/$C$7))</f>
        <v>0</v>
      </c>
      <c r="C45" s="158">
        <f>IF(A45&gt;C9,0,(E411+K411)*$C$8)</f>
        <v>0</v>
      </c>
      <c r="D45" s="3217">
        <f t="shared" si="0"/>
        <v>0</v>
      </c>
      <c r="E45" s="3217"/>
      <c r="F45" s="162"/>
      <c r="G45" s="162"/>
      <c r="H45" s="162"/>
    </row>
    <row r="46" spans="1:8" ht="12.65" customHeight="1">
      <c r="A46" s="159">
        <v>30</v>
      </c>
      <c r="B46" s="160">
        <f>IF(A46&gt;C9,0,SUM(C302:C313)*($C$6/$C$7))</f>
        <v>0</v>
      </c>
      <c r="C46" s="172">
        <f>IF(A46&gt;C9,0,(E423+K423)*$C$8)</f>
        <v>0</v>
      </c>
      <c r="D46" s="3218">
        <f t="shared" si="0"/>
        <v>0</v>
      </c>
      <c r="E46" s="3218"/>
      <c r="F46" s="162"/>
      <c r="G46" s="162"/>
      <c r="H46" s="162"/>
    </row>
    <row r="47" spans="1:8" ht="12.65" customHeight="1">
      <c r="A47" s="156">
        <v>31</v>
      </c>
      <c r="B47" s="157">
        <f>IF(A47&gt;C9,0,SUM(C303:C314)*($C$6/$C$7))</f>
        <v>0</v>
      </c>
      <c r="C47" s="173">
        <f>IF(A47&gt;C9,0,(E435+K435)*$C$8)</f>
        <v>0</v>
      </c>
      <c r="D47" s="3220">
        <f t="shared" si="0"/>
        <v>0</v>
      </c>
      <c r="E47" s="3220"/>
      <c r="F47" s="162"/>
      <c r="G47" s="162"/>
      <c r="H47" s="162"/>
    </row>
    <row r="48" spans="1:8" ht="12.65" customHeight="1">
      <c r="A48" s="60">
        <v>32</v>
      </c>
      <c r="B48" s="155">
        <f>IF(A48&gt;C9,0,SUM(C304:C315)*($C$6/$C$7))</f>
        <v>0</v>
      </c>
      <c r="C48" s="158">
        <f>IF(A48&gt;C9,0,(E447+K447)*$C$8)</f>
        <v>0</v>
      </c>
      <c r="D48" s="3217">
        <f t="shared" si="0"/>
        <v>0</v>
      </c>
      <c r="E48" s="3217"/>
      <c r="F48" s="162"/>
      <c r="G48" s="162"/>
      <c r="H48" s="162"/>
    </row>
    <row r="49" spans="1:12" ht="12.65" customHeight="1">
      <c r="A49" s="60">
        <v>33</v>
      </c>
      <c r="B49" s="155">
        <f>IF(A49&gt;C9,0,SUM(C305:C316)*($C$6/$C$7))</f>
        <v>0</v>
      </c>
      <c r="C49" s="158">
        <f>IF(A49&gt;C9,0,(E459+K459)*$C$8)</f>
        <v>0</v>
      </c>
      <c r="D49" s="3217">
        <f t="shared" si="0"/>
        <v>0</v>
      </c>
      <c r="E49" s="3217"/>
      <c r="F49" s="162"/>
      <c r="G49" s="162"/>
      <c r="H49" s="162"/>
    </row>
    <row r="50" spans="1:12" ht="12.65" customHeight="1">
      <c r="A50" s="60">
        <v>34</v>
      </c>
      <c r="B50" s="155">
        <f>IF(A50&gt;C9,0,SUM(C306:C317)*($C$6/$C$7))</f>
        <v>0</v>
      </c>
      <c r="C50" s="158">
        <f>IF(A50&gt;C9,0,(E471+K471)*$C$8)</f>
        <v>0</v>
      </c>
      <c r="D50" s="3217">
        <f t="shared" si="0"/>
        <v>0</v>
      </c>
      <c r="E50" s="3217"/>
      <c r="F50" s="162"/>
      <c r="G50" s="162"/>
      <c r="H50" s="162"/>
    </row>
    <row r="51" spans="1:12" ht="12.65" customHeight="1">
      <c r="A51" s="159">
        <v>35</v>
      </c>
      <c r="B51" s="160">
        <f>IF(A51&gt;C9,0,SUM(C307:C318)*($C$6/$C$7))</f>
        <v>0</v>
      </c>
      <c r="C51" s="172">
        <f>IF(A51&gt;C9,0,(E483+K483)*$C$8)</f>
        <v>0</v>
      </c>
      <c r="D51" s="3218">
        <f t="shared" si="0"/>
        <v>0</v>
      </c>
      <c r="E51" s="3218"/>
      <c r="F51" s="162"/>
      <c r="G51" s="162"/>
      <c r="H51" s="162"/>
    </row>
    <row r="52" spans="1:12" ht="12.65" customHeight="1">
      <c r="A52" s="156">
        <v>36</v>
      </c>
      <c r="B52" s="157">
        <f>IF(A52&gt;C9,0,SUM(C308:C319)*($C$6/$C$7))</f>
        <v>0</v>
      </c>
      <c r="C52" s="173">
        <f>IF(A52&gt;C9,0,(E495+K495)*$C$8)</f>
        <v>0</v>
      </c>
      <c r="D52" s="3220">
        <f t="shared" si="0"/>
        <v>0</v>
      </c>
      <c r="E52" s="3220"/>
      <c r="F52" s="162"/>
      <c r="G52" s="162"/>
      <c r="H52" s="162"/>
    </row>
    <row r="53" spans="1:12" ht="12.65" customHeight="1">
      <c r="A53" s="60">
        <v>37</v>
      </c>
      <c r="B53" s="155">
        <f>IF(A53&gt;C9,0,SUM(C309:C320)*($C$6/$C$7))</f>
        <v>0</v>
      </c>
      <c r="C53" s="158">
        <f>IF(A53&gt;C9,0,(E507+K507)*$C$8)</f>
        <v>0</v>
      </c>
      <c r="D53" s="3217">
        <f t="shared" si="0"/>
        <v>0</v>
      </c>
      <c r="E53" s="3217"/>
      <c r="F53" s="162"/>
      <c r="G53" s="162"/>
      <c r="H53" s="162"/>
    </row>
    <row r="54" spans="1:12" ht="12.65" customHeight="1">
      <c r="A54" s="60">
        <v>38</v>
      </c>
      <c r="B54" s="155">
        <f>IF(A54&gt;C9,0,SUM(C310:C321)*($C$6/$C$7))</f>
        <v>0</v>
      </c>
      <c r="C54" s="158">
        <f>IF(A54&gt;C9,0,(E519+K519)*$C$8)</f>
        <v>0</v>
      </c>
      <c r="D54" s="3217">
        <f t="shared" si="0"/>
        <v>0</v>
      </c>
      <c r="E54" s="3217"/>
      <c r="F54" s="162"/>
      <c r="G54" s="162"/>
      <c r="H54" s="162"/>
    </row>
    <row r="55" spans="1:12" ht="12.65" customHeight="1">
      <c r="A55" s="60">
        <v>39</v>
      </c>
      <c r="B55" s="155">
        <f>IF(A55&gt;C9,0,SUM(C311:C322)*($C$6/$C$7))</f>
        <v>0</v>
      </c>
      <c r="C55" s="158">
        <f>IF(A55&gt;C9,0,(E531+K531)*$C$8)</f>
        <v>0</v>
      </c>
      <c r="D55" s="3217">
        <f t="shared" si="0"/>
        <v>0</v>
      </c>
      <c r="E55" s="3217"/>
      <c r="F55" s="162"/>
      <c r="G55" s="162"/>
      <c r="H55" s="162"/>
    </row>
    <row r="56" spans="1:12" ht="12.65" customHeight="1">
      <c r="A56" s="159">
        <v>40</v>
      </c>
      <c r="B56" s="160">
        <f>IF(A56&gt;C9,0,SUM(C312:C323)*($C$6/$C$7))</f>
        <v>0</v>
      </c>
      <c r="C56" s="172">
        <f>IF(A56&gt;C9,0,(E543+K543)*$C$8)</f>
        <v>0</v>
      </c>
      <c r="D56" s="3218">
        <f t="shared" si="0"/>
        <v>0</v>
      </c>
      <c r="E56" s="3218"/>
      <c r="F56" s="162"/>
      <c r="G56" s="162"/>
      <c r="H56" s="162"/>
    </row>
    <row r="57" spans="1:12" ht="3" customHeight="1">
      <c r="A57" s="162"/>
      <c r="B57" s="162"/>
      <c r="C57" s="162"/>
      <c r="D57" s="162"/>
      <c r="E57" s="162"/>
      <c r="F57" s="162"/>
      <c r="G57" s="162"/>
      <c r="H57" s="162"/>
    </row>
    <row r="58" spans="1:12" ht="13.4" customHeight="1">
      <c r="A58" s="3216" t="e">
        <f>CONCATENATE(#REF!," ",#REF!,", ",#REF!,", ",#REF!," County")</f>
        <v>#REF!</v>
      </c>
      <c r="B58" s="3216"/>
      <c r="C58" s="3216"/>
      <c r="D58" s="3216"/>
      <c r="E58" s="3216"/>
      <c r="F58" s="3216"/>
      <c r="G58" s="3216" t="e">
        <f>CONCATENATE(#REF!," ",#REF!,", ",#REF!,", ",#REF!," County")</f>
        <v>#REF!</v>
      </c>
      <c r="H58" s="3216"/>
      <c r="I58" s="3216"/>
      <c r="J58" s="3216"/>
      <c r="K58" s="3216"/>
      <c r="L58" s="3216"/>
    </row>
    <row r="59" spans="1:12" ht="14">
      <c r="A59" s="3214" t="s">
        <v>2269</v>
      </c>
      <c r="B59" s="3214"/>
      <c r="C59" s="3214"/>
      <c r="D59" s="3214"/>
      <c r="E59" s="3214"/>
      <c r="F59" s="3214"/>
      <c r="G59" s="3214" t="s">
        <v>2269</v>
      </c>
      <c r="H59" s="3214"/>
      <c r="I59" s="3214"/>
      <c r="J59" s="3214"/>
      <c r="K59" s="3214"/>
      <c r="L59" s="3214"/>
    </row>
    <row r="60" spans="1:12" ht="6" customHeight="1">
      <c r="C60" s="161"/>
      <c r="D60" s="161"/>
      <c r="I60" s="161"/>
      <c r="J60" s="161"/>
    </row>
    <row r="61" spans="1:12" ht="13">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221" t="e">
        <f>CONCATENATE("PART III C  - HUD INSURED LOAN","  -  ",#REF!," ",#REF!,", ",#REF!,", ",#REF!," County")</f>
        <v>#REF!</v>
      </c>
      <c r="B1" s="3222"/>
      <c r="C1" s="3222"/>
      <c r="D1" s="3222"/>
      <c r="E1" s="3222"/>
      <c r="F1" s="3223"/>
      <c r="G1" s="139"/>
      <c r="H1" s="139"/>
      <c r="I1" s="139"/>
      <c r="J1" s="139"/>
      <c r="K1" s="139"/>
      <c r="L1" s="139"/>
      <c r="M1" s="139"/>
      <c r="N1" s="139"/>
      <c r="O1" s="139"/>
      <c r="P1" s="139"/>
      <c r="Q1" s="139"/>
    </row>
    <row r="2" spans="1:17" ht="13">
      <c r="A2" s="10"/>
    </row>
    <row r="3" spans="1:17" ht="15.65" customHeight="1">
      <c r="A3" s="3214" t="s">
        <v>210</v>
      </c>
      <c r="B3" s="3214"/>
      <c r="C3" s="3214"/>
      <c r="D3" s="3214"/>
      <c r="E3" s="3214"/>
      <c r="F3" s="3214"/>
      <c r="G3" s="189"/>
      <c r="H3" s="189"/>
    </row>
    <row r="4" spans="1:17" ht="13">
      <c r="A4" s="10"/>
    </row>
    <row r="5" spans="1:17" ht="13.4" customHeight="1">
      <c r="A5" t="s">
        <v>2078</v>
      </c>
      <c r="D5" s="183"/>
      <c r="E5" s="3225" t="s">
        <v>894</v>
      </c>
      <c r="F5" s="3226"/>
      <c r="G5" s="126"/>
    </row>
    <row r="6" spans="1:17">
      <c r="E6" s="3226"/>
      <c r="F6" s="3226"/>
      <c r="G6" s="126"/>
    </row>
    <row r="7" spans="1:17">
      <c r="A7" t="s">
        <v>2261</v>
      </c>
      <c r="C7" t="s">
        <v>2262</v>
      </c>
      <c r="D7" s="184"/>
      <c r="E7" s="3226"/>
      <c r="F7" s="3226"/>
      <c r="G7" s="126"/>
    </row>
    <row r="8" spans="1:17">
      <c r="C8" t="s">
        <v>2263</v>
      </c>
      <c r="D8" s="184"/>
      <c r="E8" s="3226"/>
      <c r="F8" s="3226"/>
      <c r="G8" s="126"/>
    </row>
    <row r="9" spans="1:17">
      <c r="C9" t="s">
        <v>2264</v>
      </c>
      <c r="D9" s="184"/>
      <c r="E9" s="3226"/>
      <c r="F9" s="3226"/>
      <c r="G9" s="126"/>
    </row>
    <row r="10" spans="1:17">
      <c r="C10" t="s">
        <v>2277</v>
      </c>
      <c r="D10" s="190">
        <f>D7+D8+D9</f>
        <v>0</v>
      </c>
      <c r="E10" s="3226"/>
      <c r="F10" s="3226"/>
      <c r="G10" s="126"/>
    </row>
    <row r="11" spans="1:17">
      <c r="F11" s="126"/>
      <c r="G11" s="126"/>
    </row>
    <row r="12" spans="1:17">
      <c r="A12" t="s">
        <v>1593</v>
      </c>
      <c r="D12" s="182"/>
      <c r="E12" t="s">
        <v>1976</v>
      </c>
      <c r="F12" s="126"/>
      <c r="G12" s="126"/>
    </row>
    <row r="13" spans="1:17">
      <c r="D13" s="161"/>
      <c r="F13" s="126"/>
      <c r="G13" s="126"/>
    </row>
    <row r="14" spans="1:17" ht="13">
      <c r="A14" t="s">
        <v>2266</v>
      </c>
      <c r="D14" s="181"/>
      <c r="E14" t="s">
        <v>2267</v>
      </c>
      <c r="F14" s="191"/>
    </row>
    <row r="15" spans="1:17" ht="13">
      <c r="D15" s="174"/>
      <c r="F15" s="191"/>
    </row>
    <row r="16" spans="1:17" ht="13">
      <c r="A16" t="s">
        <v>2268</v>
      </c>
      <c r="D16" s="181"/>
      <c r="E16" t="s">
        <v>2267</v>
      </c>
      <c r="F16" s="191"/>
    </row>
    <row r="17" spans="1:10" ht="13">
      <c r="D17" s="161"/>
      <c r="F17" s="191"/>
    </row>
    <row r="18" spans="1:10" ht="13">
      <c r="A18" t="s">
        <v>870</v>
      </c>
      <c r="D18" s="161" t="e">
        <f>PMT(D10/12,D16*12,-D5,0,0)*12</f>
        <v>#NUM!</v>
      </c>
      <c r="E18" t="s">
        <v>1403</v>
      </c>
      <c r="F18" s="191"/>
    </row>
    <row r="19" spans="1:10" ht="13">
      <c r="D19" s="161"/>
      <c r="F19" s="191"/>
    </row>
    <row r="20" spans="1:10" ht="13">
      <c r="A20" t="s">
        <v>1404</v>
      </c>
      <c r="D20" s="161" t="e">
        <f>D18/12</f>
        <v>#NUM!</v>
      </c>
      <c r="E20" t="s">
        <v>1403</v>
      </c>
      <c r="F20" s="191"/>
    </row>
    <row r="24" spans="1:10" ht="18" customHeight="1">
      <c r="A24" s="3215" t="s">
        <v>1594</v>
      </c>
      <c r="B24" s="3215"/>
      <c r="C24" s="3215"/>
      <c r="D24" s="3215"/>
      <c r="E24" s="3215"/>
      <c r="F24" s="3215"/>
      <c r="J24" s="192"/>
    </row>
    <row r="25" spans="1:10">
      <c r="C25" s="161"/>
      <c r="J25" s="192"/>
    </row>
    <row r="26" spans="1:10">
      <c r="A26" s="82"/>
      <c r="B26" s="60"/>
      <c r="C26" s="3227" t="s">
        <v>2077</v>
      </c>
      <c r="D26" s="188"/>
      <c r="E26" s="60"/>
      <c r="F26" s="3227" t="s">
        <v>2077</v>
      </c>
      <c r="J26" s="192"/>
    </row>
    <row r="27" spans="1:10" ht="13">
      <c r="A27" s="193" t="s">
        <v>2278</v>
      </c>
      <c r="B27" s="24" t="s">
        <v>961</v>
      </c>
      <c r="C27" s="3228"/>
      <c r="D27" s="194" t="s">
        <v>2278</v>
      </c>
      <c r="E27" s="24" t="s">
        <v>961</v>
      </c>
      <c r="F27" s="322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216" t="e">
        <f>CONCATENATE(#REF!," ",#REF!,", ",#REF!,", ",#REF!," County")</f>
        <v>#REF!</v>
      </c>
      <c r="B50" s="3216"/>
      <c r="C50" s="3216"/>
      <c r="D50" s="3216"/>
      <c r="E50" s="3216"/>
      <c r="F50" s="3216"/>
      <c r="G50" s="41"/>
      <c r="H50" s="41"/>
    </row>
    <row r="51" spans="1:10" ht="14">
      <c r="A51" s="3214" t="s">
        <v>2269</v>
      </c>
      <c r="B51" s="3214"/>
      <c r="C51" s="3214"/>
      <c r="D51" s="3214"/>
      <c r="E51" s="3214"/>
      <c r="F51" s="3214"/>
      <c r="G51" s="189"/>
      <c r="H51" s="189"/>
      <c r="I51" s="189"/>
      <c r="J51" s="189"/>
    </row>
    <row r="52" spans="1:10" ht="5.65" customHeight="1">
      <c r="C52" s="161"/>
      <c r="D52" s="161"/>
    </row>
    <row r="53" spans="1:10" ht="13">
      <c r="A53" s="163" t="s">
        <v>2270</v>
      </c>
      <c r="B53" s="163" t="s">
        <v>2271</v>
      </c>
      <c r="C53" s="163" t="s">
        <v>1215</v>
      </c>
      <c r="D53" s="163" t="s">
        <v>2272</v>
      </c>
      <c r="E53" s="163" t="s">
        <v>2273</v>
      </c>
      <c r="F53" s="185" t="s">
        <v>2278</v>
      </c>
      <c r="G53" s="163"/>
      <c r="H53" s="163"/>
      <c r="I53" s="163"/>
    </row>
    <row r="54" spans="1:10" ht="3.6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G9" sqref="G9:H9"/>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ol min="32" max="32" width="10.453125" style="145" customWidth="1"/>
    <col min="33" max="33" width="10.26953125" style="145" customWidth="1"/>
    <col min="34" max="51" width="8" style="145" customWidth="1"/>
    <col min="52" max="53" width="9.26953125" style="1651"/>
    <col min="54" max="16384" width="9.26953125" style="145"/>
  </cols>
  <sheetData>
    <row r="1" spans="1:53" s="1651" customFormat="1" ht="13.5" hidden="1" customHeight="1">
      <c r="G1" s="1651" t="s">
        <v>4235</v>
      </c>
      <c r="J1" s="1651" t="s">
        <v>4236</v>
      </c>
      <c r="M1" s="1651" t="s">
        <v>4237</v>
      </c>
      <c r="N1" s="1651" t="s">
        <v>4238</v>
      </c>
      <c r="P1" s="1651" t="s">
        <v>4239</v>
      </c>
      <c r="Q1" s="1651" t="s">
        <v>4240</v>
      </c>
      <c r="S1" s="1651" t="s">
        <v>4241</v>
      </c>
      <c r="BA1" s="1618">
        <v>1</v>
      </c>
    </row>
    <row r="2" spans="1:53" s="144" customFormat="1" ht="13.5" customHeight="1">
      <c r="A2" s="3400" t="str">
        <f>CONCATENATE("PART THREE (A):  USES OF FUNDS","  -  ",'Part I-Project Identification'!$O$7," ",'Part I-Project Identification'!$F$26,", ",'Part I-Project Identification'!F27,", ",'Part I-Project Identification'!J27," County")</f>
        <v>PART THREE (A):  USES OF FUNDS  -  2024-5 , &lt;&lt; Select from list &gt;&gt;, Select City first County</v>
      </c>
      <c r="B2" s="3401"/>
      <c r="C2" s="3401"/>
      <c r="D2" s="3401"/>
      <c r="E2" s="3401"/>
      <c r="F2" s="3401"/>
      <c r="G2" s="3401"/>
      <c r="H2" s="3401"/>
      <c r="I2" s="3401"/>
      <c r="J2" s="3401"/>
      <c r="K2" s="3401"/>
      <c r="L2" s="3401"/>
      <c r="M2" s="3401"/>
      <c r="N2" s="3401"/>
      <c r="O2" s="3401"/>
      <c r="P2" s="3401"/>
      <c r="Q2" s="3401"/>
      <c r="R2" s="3401"/>
      <c r="S2" s="3401"/>
      <c r="T2" s="3401"/>
      <c r="W2" s="3402" t="str">
        <f>A2</f>
        <v>PART THREE (A):  USES OF FUNDS  -  2024-5 , &lt;&lt; Select from list &gt;&gt;, Select City first County</v>
      </c>
      <c r="X2" s="3402"/>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3" t="str">
        <f>'Part I-Project Identification'!$A$6</f>
        <v>4% Credit Core
Sept 26, 2024</v>
      </c>
      <c r="E6" s="3403"/>
      <c r="F6" s="3403"/>
      <c r="G6" s="3403"/>
      <c r="H6" s="3403"/>
      <c r="I6" s="375"/>
      <c r="J6" s="3314" t="s">
        <v>259</v>
      </c>
      <c r="K6" s="3315"/>
      <c r="L6" s="280"/>
      <c r="M6" s="3327" t="s">
        <v>459</v>
      </c>
      <c r="N6" s="3328"/>
      <c r="P6" s="3314" t="s">
        <v>260</v>
      </c>
      <c r="Q6" s="3315"/>
      <c r="S6" s="3314" t="s">
        <v>261</v>
      </c>
      <c r="T6" s="3315"/>
      <c r="V6" s="343" t="str">
        <f>B6</f>
        <v>DEVELOPMENT BUDGET</v>
      </c>
      <c r="AZ6" s="1655"/>
      <c r="BA6" s="1618">
        <v>6</v>
      </c>
    </row>
    <row r="7" spans="1:53" s="144" customFormat="1" ht="19.5" customHeight="1" thickBot="1">
      <c r="D7" s="1168"/>
      <c r="E7" s="1168"/>
      <c r="F7" s="1168"/>
      <c r="G7" s="3331" t="s">
        <v>95</v>
      </c>
      <c r="H7" s="3332"/>
      <c r="J7" s="3316"/>
      <c r="K7" s="3317"/>
      <c r="L7" s="280"/>
      <c r="M7" s="3329"/>
      <c r="N7" s="3330"/>
      <c r="P7" s="3316"/>
      <c r="Q7" s="3317"/>
      <c r="S7" s="3316"/>
      <c r="T7" s="3317"/>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3"/>
      <c r="H9" s="3184"/>
      <c r="J9" s="3183"/>
      <c r="K9" s="3184"/>
      <c r="L9" s="815"/>
      <c r="M9" s="3183"/>
      <c r="N9" s="3184"/>
      <c r="P9" s="3183"/>
      <c r="Q9" s="3184"/>
      <c r="S9" s="3183"/>
      <c r="T9" s="3184"/>
      <c r="V9" s="836"/>
      <c r="W9" s="3235"/>
      <c r="X9" s="3236"/>
      <c r="AZ9" s="1655"/>
      <c r="BA9" s="1618">
        <v>9</v>
      </c>
    </row>
    <row r="10" spans="1:53" s="144" customFormat="1" ht="11.25" customHeight="1">
      <c r="B10" s="144" t="s">
        <v>430</v>
      </c>
      <c r="G10" s="3163"/>
      <c r="H10" s="3164"/>
      <c r="J10" s="3163"/>
      <c r="K10" s="3164"/>
      <c r="L10" s="815"/>
      <c r="M10" s="3163"/>
      <c r="N10" s="3164"/>
      <c r="P10" s="3163"/>
      <c r="Q10" s="3164"/>
      <c r="S10" s="3163"/>
      <c r="T10" s="3164"/>
      <c r="V10" s="836"/>
      <c r="W10" s="3235"/>
      <c r="X10" s="3236"/>
      <c r="AZ10" s="1655"/>
      <c r="BA10" s="1618">
        <v>10</v>
      </c>
    </row>
    <row r="11" spans="1:53" s="144" customFormat="1" ht="11.25" customHeight="1">
      <c r="B11" s="144" t="s">
        <v>457</v>
      </c>
      <c r="G11" s="3163"/>
      <c r="H11" s="3164"/>
      <c r="J11" s="3163"/>
      <c r="K11" s="3164"/>
      <c r="L11" s="815"/>
      <c r="M11" s="3163"/>
      <c r="N11" s="3164"/>
      <c r="P11" s="3163"/>
      <c r="Q11" s="3164"/>
      <c r="S11" s="3163"/>
      <c r="T11" s="3164"/>
      <c r="V11" s="836"/>
      <c r="W11" s="3235"/>
      <c r="X11" s="3236"/>
      <c r="AZ11" s="1655"/>
      <c r="BA11" s="1618">
        <v>11</v>
      </c>
    </row>
    <row r="12" spans="1:53" s="144" customFormat="1" ht="11.25" customHeight="1">
      <c r="B12" s="144" t="s">
        <v>458</v>
      </c>
      <c r="G12" s="3163"/>
      <c r="H12" s="3164"/>
      <c r="J12" s="3163"/>
      <c r="K12" s="3164"/>
      <c r="L12" s="815"/>
      <c r="M12" s="3163"/>
      <c r="N12" s="3164"/>
      <c r="P12" s="3163"/>
      <c r="Q12" s="3164"/>
      <c r="S12" s="3163"/>
      <c r="T12" s="3164"/>
      <c r="V12" s="836"/>
      <c r="W12" s="3235"/>
      <c r="X12" s="3236"/>
      <c r="AZ12" s="1655"/>
      <c r="BA12" s="1618">
        <v>12</v>
      </c>
    </row>
    <row r="13" spans="1:53" s="144" customFormat="1" ht="11.25" customHeight="1">
      <c r="B13" s="144" t="s">
        <v>2295</v>
      </c>
      <c r="G13" s="3163"/>
      <c r="H13" s="3164"/>
      <c r="J13" s="3163"/>
      <c r="K13" s="3164"/>
      <c r="L13" s="815"/>
      <c r="M13" s="3163"/>
      <c r="N13" s="3164"/>
      <c r="P13" s="3163"/>
      <c r="Q13" s="3164"/>
      <c r="S13" s="3163"/>
      <c r="T13" s="3164"/>
      <c r="V13" s="836"/>
      <c r="W13" s="3235"/>
      <c r="X13" s="3236"/>
      <c r="AZ13" s="1655"/>
      <c r="BA13" s="1618">
        <v>13</v>
      </c>
    </row>
    <row r="14" spans="1:53" s="144" customFormat="1" ht="11.25" customHeight="1">
      <c r="B14" s="144" t="s">
        <v>183</v>
      </c>
      <c r="G14" s="3163"/>
      <c r="H14" s="3164"/>
      <c r="J14" s="3163"/>
      <c r="K14" s="3164"/>
      <c r="L14" s="815"/>
      <c r="M14" s="3163"/>
      <c r="N14" s="3164"/>
      <c r="P14" s="3163"/>
      <c r="Q14" s="3164"/>
      <c r="S14" s="3163"/>
      <c r="T14" s="3164"/>
      <c r="V14" s="836"/>
      <c r="W14" s="3235"/>
      <c r="X14" s="3236"/>
      <c r="AZ14" s="1655"/>
      <c r="BA14" s="1618">
        <v>14</v>
      </c>
    </row>
    <row r="15" spans="1:53" s="144" customFormat="1" ht="11.25" customHeight="1">
      <c r="A15" s="303" t="str">
        <f>IF(AND(G15&gt;0,OR(C15="",C15="&lt;Enter detailed description here; use Comments section if needed&gt;")),"X","")</f>
        <v/>
      </c>
      <c r="B15" s="147" t="s">
        <v>4173</v>
      </c>
      <c r="C15" s="3325" t="s">
        <v>4620</v>
      </c>
      <c r="D15" s="3325"/>
      <c r="E15" s="3325"/>
      <c r="F15" s="3326"/>
      <c r="G15" s="3163"/>
      <c r="H15" s="3164"/>
      <c r="J15" s="3163"/>
      <c r="K15" s="3164"/>
      <c r="L15" s="815"/>
      <c r="M15" s="3163"/>
      <c r="N15" s="3164"/>
      <c r="P15" s="3163"/>
      <c r="Q15" s="3164"/>
      <c r="S15" s="3163"/>
      <c r="T15" s="3164"/>
      <c r="U15" s="302" t="str">
        <f>IF(AND(G15&gt;0,OR(C15="",C15="&lt;Enter detailed description here; use Comments section if needed&gt;")),"NO DESCRIPTION PROVIDED - please enter detailed description in Other box at left; use Comments section below if needed.","")</f>
        <v/>
      </c>
      <c r="V15" s="837"/>
      <c r="W15" s="3235"/>
      <c r="X15" s="3236"/>
      <c r="AZ15" s="1655" t="s">
        <v>4267</v>
      </c>
      <c r="BA15" s="1618">
        <v>15</v>
      </c>
    </row>
    <row r="16" spans="1:53" s="144" customFormat="1" ht="11.25" customHeight="1">
      <c r="A16" s="303" t="str">
        <f>IF(AND(G16&gt;0,OR(C16="",C16="&lt;Enter detailed description here; use Comments section if needed&gt;")),"X","")</f>
        <v/>
      </c>
      <c r="B16" s="147" t="s">
        <v>4174</v>
      </c>
      <c r="C16" s="3325" t="s">
        <v>4620</v>
      </c>
      <c r="D16" s="3325"/>
      <c r="E16" s="3325"/>
      <c r="F16" s="3326"/>
      <c r="G16" s="3163"/>
      <c r="H16" s="3164"/>
      <c r="J16" s="3163"/>
      <c r="K16" s="3164"/>
      <c r="L16" s="815"/>
      <c r="M16" s="3163"/>
      <c r="N16" s="3164"/>
      <c r="P16" s="3163"/>
      <c r="Q16" s="3164"/>
      <c r="S16" s="3163"/>
      <c r="T16" s="3164"/>
      <c r="U16" s="302" t="str">
        <f>IF(AND(G16&gt;0,OR(C16="",C16="&lt;Enter detailed description here; use Comments section if needed&gt;")),"NO DESCRIPTION PROVIDED - please enter detailed description in Other box at left; use Comments section below if needed.","")</f>
        <v/>
      </c>
      <c r="V16" s="837"/>
      <c r="W16" s="3235"/>
      <c r="X16" s="3236"/>
      <c r="AZ16" s="1655" t="s">
        <v>4268</v>
      </c>
      <c r="BA16" s="1618">
        <v>16</v>
      </c>
    </row>
    <row r="17" spans="1:53" s="144" customFormat="1" ht="11.25" customHeight="1" thickBot="1">
      <c r="A17" s="303" t="str">
        <f>IF(AND(G17&gt;0,OR(C17="",C17="&lt;Enter detailed description here; use Comments section if needed&gt;")),"X","")</f>
        <v/>
      </c>
      <c r="B17" s="147" t="s">
        <v>4175</v>
      </c>
      <c r="C17" s="3325" t="s">
        <v>4620</v>
      </c>
      <c r="D17" s="3325"/>
      <c r="E17" s="3325"/>
      <c r="F17" s="3326"/>
      <c r="G17" s="3333"/>
      <c r="H17" s="3334"/>
      <c r="J17" s="3333"/>
      <c r="K17" s="3334"/>
      <c r="L17" s="815"/>
      <c r="M17" s="3333"/>
      <c r="N17" s="3334"/>
      <c r="P17" s="3333"/>
      <c r="Q17" s="3334"/>
      <c r="S17" s="3333"/>
      <c r="T17" s="3334"/>
      <c r="U17" s="302" t="str">
        <f>IF(AND(G17&gt;0,OR(C17="",C17="&lt;Enter detailed description here; use Comments section if needed&gt;")),"NO DESCRIPTION PROVIDED - please enter detailed description in Other box at left; use Comments section below if needed.","")</f>
        <v/>
      </c>
      <c r="V17" s="837"/>
      <c r="W17" s="3286"/>
      <c r="X17" s="3287"/>
      <c r="AZ17" s="1655" t="s">
        <v>4269</v>
      </c>
      <c r="BA17" s="1618">
        <v>17</v>
      </c>
    </row>
    <row r="18" spans="1:53" s="144" customFormat="1" ht="12.65" customHeight="1" thickTop="1">
      <c r="F18" s="281" t="s">
        <v>184</v>
      </c>
      <c r="G18" s="3323">
        <f>SUM(G9:G17)</f>
        <v>0</v>
      </c>
      <c r="H18" s="3324"/>
      <c r="J18" s="3323">
        <f>SUM(J9:J17)</f>
        <v>0</v>
      </c>
      <c r="K18" s="3324"/>
      <c r="L18" s="815"/>
      <c r="M18" s="3323">
        <f>SUM(M9:M17)</f>
        <v>0</v>
      </c>
      <c r="N18" s="3324"/>
      <c r="P18" s="3323">
        <f>SUM(P9:P17)</f>
        <v>0</v>
      </c>
      <c r="Q18" s="3324"/>
      <c r="S18" s="3323">
        <f>SUM(S9:S17)</f>
        <v>0</v>
      </c>
      <c r="T18" s="3324"/>
      <c r="V18" s="838">
        <f>SUM(V9:V17)</f>
        <v>0</v>
      </c>
      <c r="W18" s="3307"/>
      <c r="X18" s="3308"/>
      <c r="AZ18" s="1655" t="s">
        <v>4270</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3137</v>
      </c>
      <c r="F20" s="1810" t="str">
        <f>IF('Part I-Project Identification'!$O$28="","",G20/'Part I-Project Identification'!$O$28)</f>
        <v/>
      </c>
      <c r="G20" s="3183"/>
      <c r="H20" s="3184"/>
      <c r="J20" s="283"/>
      <c r="K20" s="280"/>
      <c r="L20" s="283"/>
      <c r="M20" s="283"/>
      <c r="N20" s="280"/>
      <c r="P20" s="283"/>
      <c r="Q20" s="280"/>
      <c r="S20" s="3183"/>
      <c r="T20" s="3184"/>
      <c r="V20" s="836"/>
      <c r="W20" s="3235"/>
      <c r="X20" s="3236"/>
      <c r="AZ20" s="1655"/>
      <c r="BA20" s="1618">
        <v>20</v>
      </c>
    </row>
    <row r="21" spans="1:53" s="144" customFormat="1" ht="11.25" customHeight="1">
      <c r="B21" s="144" t="s">
        <v>1053</v>
      </c>
      <c r="G21" s="3163"/>
      <c r="H21" s="3164"/>
      <c r="J21" s="283"/>
      <c r="K21" s="280"/>
      <c r="L21" s="283"/>
      <c r="M21" s="283"/>
      <c r="N21" s="280"/>
      <c r="P21" s="283"/>
      <c r="Q21" s="280"/>
      <c r="S21" s="3163"/>
      <c r="T21" s="3164"/>
      <c r="V21" s="836"/>
      <c r="W21" s="3235"/>
      <c r="X21" s="3236"/>
      <c r="AZ21" s="1655"/>
      <c r="BA21" s="1618">
        <v>21</v>
      </c>
    </row>
    <row r="22" spans="1:53" s="144" customFormat="1" ht="11.25" customHeight="1">
      <c r="B22" s="144" t="s">
        <v>431</v>
      </c>
      <c r="G22" s="3163"/>
      <c r="H22" s="3164"/>
      <c r="J22" s="283"/>
      <c r="K22" s="280"/>
      <c r="L22" s="283"/>
      <c r="M22" s="3183"/>
      <c r="N22" s="3184"/>
      <c r="P22" s="283"/>
      <c r="Q22" s="280"/>
      <c r="S22" s="3163"/>
      <c r="T22" s="3164"/>
      <c r="V22" s="836"/>
      <c r="W22" s="3235"/>
      <c r="X22" s="3236"/>
      <c r="AZ22" s="1655"/>
      <c r="BA22" s="1618">
        <v>22</v>
      </c>
    </row>
    <row r="23" spans="1:53" s="144" customFormat="1" ht="11.25" customHeight="1" thickBot="1">
      <c r="B23" s="144" t="s">
        <v>404</v>
      </c>
      <c r="G23" s="3333"/>
      <c r="H23" s="3334"/>
      <c r="J23" s="283"/>
      <c r="K23" s="280"/>
      <c r="L23" s="283"/>
      <c r="M23" s="3333"/>
      <c r="N23" s="3334"/>
      <c r="P23" s="283"/>
      <c r="Q23" s="280"/>
      <c r="S23" s="3333"/>
      <c r="T23" s="3334"/>
      <c r="V23" s="836"/>
      <c r="W23" s="3286"/>
      <c r="X23" s="3287"/>
      <c r="AZ23" s="1655"/>
      <c r="BA23" s="1618">
        <v>23</v>
      </c>
    </row>
    <row r="24" spans="1:53" s="144" customFormat="1" ht="12.65" customHeight="1" thickTop="1">
      <c r="F24" s="281" t="s">
        <v>184</v>
      </c>
      <c r="G24" s="3323">
        <f>SUM(G20:G23)</f>
        <v>0</v>
      </c>
      <c r="H24" s="3324"/>
      <c r="J24" s="283"/>
      <c r="K24" s="280"/>
      <c r="L24" s="283"/>
      <c r="M24" s="3323">
        <f>SUM(M22:M23)</f>
        <v>0</v>
      </c>
      <c r="N24" s="3324"/>
      <c r="P24" s="283"/>
      <c r="Q24" s="280"/>
      <c r="S24" s="3323">
        <f>SUM(S20:S23)</f>
        <v>0</v>
      </c>
      <c r="T24" s="3324"/>
      <c r="V24" s="838">
        <f>SUM(V20:V23)</f>
        <v>0</v>
      </c>
      <c r="W24" s="3307"/>
      <c r="X24" s="3308"/>
      <c r="AZ24" s="1655" t="s">
        <v>4271</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3137</v>
      </c>
      <c r="F26" s="1810" t="str">
        <f>IF('Part I-Project Identification'!$O$28="","",G26/'Part I-Project Identification'!$O$28)</f>
        <v/>
      </c>
      <c r="G26" s="3183"/>
      <c r="H26" s="3184"/>
      <c r="J26" s="3183"/>
      <c r="K26" s="3184"/>
      <c r="L26" s="815"/>
      <c r="M26" s="3398"/>
      <c r="N26" s="3399"/>
      <c r="P26" s="3398"/>
      <c r="Q26" s="3399"/>
      <c r="S26" s="3183"/>
      <c r="T26" s="3184"/>
      <c r="V26" s="836"/>
      <c r="W26" s="3235"/>
      <c r="X26" s="3236"/>
      <c r="AZ26" s="1655"/>
      <c r="BA26" s="1618">
        <v>26</v>
      </c>
    </row>
    <row r="27" spans="1:53" s="144" customFormat="1" ht="11.25" customHeight="1" thickBot="1">
      <c r="B27" s="144" t="s">
        <v>1056</v>
      </c>
      <c r="G27" s="3333"/>
      <c r="H27" s="3334"/>
      <c r="J27" s="3333"/>
      <c r="K27" s="3334"/>
      <c r="L27" s="284"/>
      <c r="M27" s="3397"/>
      <c r="N27" s="3397"/>
      <c r="P27" s="3397"/>
      <c r="Q27" s="3397"/>
      <c r="S27" s="3333"/>
      <c r="T27" s="3334"/>
      <c r="V27" s="836"/>
      <c r="W27" s="3286"/>
      <c r="X27" s="3287"/>
      <c r="AZ27" s="1655"/>
      <c r="BA27" s="1618">
        <v>27</v>
      </c>
    </row>
    <row r="28" spans="1:53" s="144" customFormat="1" ht="12.65" customHeight="1" thickTop="1">
      <c r="F28" s="281" t="s">
        <v>184</v>
      </c>
      <c r="G28" s="3323">
        <f>SUM(G26:G27)</f>
        <v>0</v>
      </c>
      <c r="H28" s="3324"/>
      <c r="J28" s="3323">
        <f>SUM(J26:J27)</f>
        <v>0</v>
      </c>
      <c r="K28" s="3324"/>
      <c r="L28" s="283"/>
      <c r="M28" s="3323">
        <f>M26</f>
        <v>0</v>
      </c>
      <c r="N28" s="3324"/>
      <c r="P28" s="3323">
        <f>P26</f>
        <v>0</v>
      </c>
      <c r="Q28" s="3324"/>
      <c r="S28" s="3323">
        <f>SUM(S26:S27)</f>
        <v>0</v>
      </c>
      <c r="T28" s="3324"/>
      <c r="V28" s="838">
        <f>SUM(V26:V27)</f>
        <v>0</v>
      </c>
      <c r="W28" s="3307"/>
      <c r="X28" s="3308"/>
      <c r="AZ28" s="1655" t="s">
        <v>4272</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3"/>
      <c r="H30" s="3184"/>
      <c r="J30" s="3183"/>
      <c r="K30" s="3184"/>
      <c r="L30" s="815"/>
      <c r="M30" s="3183"/>
      <c r="N30" s="3184"/>
      <c r="P30" s="3183"/>
      <c r="Q30" s="3184"/>
      <c r="S30" s="3183"/>
      <c r="T30" s="3184"/>
      <c r="V30" s="836"/>
      <c r="W30" s="3235"/>
      <c r="X30" s="3236"/>
      <c r="AZ30" s="1655"/>
      <c r="BA30" s="1618">
        <v>30</v>
      </c>
    </row>
    <row r="31" spans="1:53" s="144" customFormat="1" ht="11.25" customHeight="1">
      <c r="B31" s="144" t="s">
        <v>1059</v>
      </c>
      <c r="G31" s="3163"/>
      <c r="H31" s="3164"/>
      <c r="J31" s="3163"/>
      <c r="K31" s="3164"/>
      <c r="L31" s="815"/>
      <c r="M31" s="3163"/>
      <c r="N31" s="3164"/>
      <c r="P31" s="3163"/>
      <c r="Q31" s="3164"/>
      <c r="S31" s="3163"/>
      <c r="T31" s="3164"/>
      <c r="V31" s="836"/>
      <c r="W31" s="3235"/>
      <c r="X31" s="3236"/>
      <c r="AZ31" s="1655"/>
      <c r="BA31" s="1618">
        <v>31</v>
      </c>
    </row>
    <row r="32" spans="1:53" s="144" customFormat="1" ht="11.25" customHeight="1">
      <c r="B32" s="144" t="s">
        <v>3994</v>
      </c>
      <c r="G32" s="3163"/>
      <c r="H32" s="3164"/>
      <c r="J32" s="3163"/>
      <c r="K32" s="3164"/>
      <c r="L32" s="815"/>
      <c r="M32" s="3163"/>
      <c r="N32" s="3164"/>
      <c r="P32" s="3163"/>
      <c r="Q32" s="3164"/>
      <c r="S32" s="3163"/>
      <c r="T32" s="3164"/>
      <c r="V32" s="836"/>
      <c r="W32" s="3235"/>
      <c r="X32" s="3236"/>
      <c r="AZ32" s="1655"/>
      <c r="BA32" s="1618">
        <v>32</v>
      </c>
    </row>
    <row r="33" spans="1:53" s="144" customFormat="1" ht="11.25" customHeight="1">
      <c r="B33" s="144" t="s">
        <v>3992</v>
      </c>
      <c r="G33" s="3163"/>
      <c r="H33" s="3164"/>
      <c r="J33" s="3163"/>
      <c r="K33" s="3164"/>
      <c r="L33" s="815"/>
      <c r="M33" s="3163"/>
      <c r="N33" s="3164"/>
      <c r="P33" s="3163"/>
      <c r="Q33" s="3164"/>
      <c r="S33" s="3163"/>
      <c r="T33" s="3164"/>
      <c r="V33" s="836"/>
      <c r="W33" s="3235"/>
      <c r="X33" s="3236"/>
      <c r="AZ33" s="1655"/>
      <c r="BA33" s="1618">
        <v>33</v>
      </c>
    </row>
    <row r="34" spans="1:53" ht="11.25" customHeight="1">
      <c r="B34" s="144" t="s">
        <v>2488</v>
      </c>
      <c r="G34" s="3163"/>
      <c r="H34" s="3164"/>
      <c r="I34" s="144"/>
      <c r="J34" s="3163"/>
      <c r="K34" s="3164"/>
      <c r="L34" s="815"/>
      <c r="M34" s="3163"/>
      <c r="N34" s="3164"/>
      <c r="O34" s="144"/>
      <c r="P34" s="3163"/>
      <c r="Q34" s="3164"/>
      <c r="R34" s="144"/>
      <c r="S34" s="3163"/>
      <c r="T34" s="3164"/>
      <c r="V34" s="836"/>
      <c r="W34" s="3286"/>
      <c r="X34" s="3287"/>
      <c r="BA34" s="1618">
        <v>34</v>
      </c>
    </row>
    <row r="35" spans="1:53" ht="11.25" customHeight="1" thickBot="1">
      <c r="B35" s="144" t="s">
        <v>3993</v>
      </c>
      <c r="G35" s="3395"/>
      <c r="H35" s="3396"/>
      <c r="I35" s="144"/>
      <c r="J35" s="3395"/>
      <c r="K35" s="3396"/>
      <c r="L35" s="815"/>
      <c r="M35" s="3395"/>
      <c r="N35" s="3396"/>
      <c r="O35" s="144"/>
      <c r="P35" s="3395"/>
      <c r="Q35" s="3396"/>
      <c r="R35" s="144"/>
      <c r="S35" s="3395"/>
      <c r="T35" s="3396"/>
      <c r="V35" s="836"/>
      <c r="W35" s="3286"/>
      <c r="X35" s="3287"/>
      <c r="BA35" s="1618">
        <v>35</v>
      </c>
    </row>
    <row r="36" spans="1:53" s="144" customFormat="1" ht="12.65" customHeight="1" thickTop="1">
      <c r="C36" s="3394"/>
      <c r="D36" s="3394"/>
      <c r="E36" s="816"/>
      <c r="F36" s="281" t="s">
        <v>184</v>
      </c>
      <c r="G36" s="3323">
        <f>SUM(G30:G35)</f>
        <v>0</v>
      </c>
      <c r="H36" s="3324"/>
      <c r="J36" s="3323">
        <f>SUM(J30:J35)</f>
        <v>0</v>
      </c>
      <c r="K36" s="3324"/>
      <c r="L36" s="815"/>
      <c r="M36" s="3323">
        <f>SUM(M30:M35)</f>
        <v>0</v>
      </c>
      <c r="N36" s="3324"/>
      <c r="P36" s="3323">
        <f>SUM(P30:P35)</f>
        <v>0</v>
      </c>
      <c r="Q36" s="3324"/>
      <c r="S36" s="3323">
        <f>SUM(S30:S35)</f>
        <v>0</v>
      </c>
      <c r="T36" s="3324"/>
      <c r="V36" s="838">
        <f>SUM(V30:V35)</f>
        <v>0</v>
      </c>
      <c r="W36" s="3307"/>
      <c r="X36" s="3308"/>
      <c r="AZ36" s="1655" t="s">
        <v>4273</v>
      </c>
      <c r="BA36" s="1618">
        <v>36</v>
      </c>
    </row>
    <row r="37" spans="1:53" s="144" customFormat="1" ht="12" customHeight="1">
      <c r="B37" s="243" t="s">
        <v>2157</v>
      </c>
      <c r="D37" s="3393" t="s">
        <v>3141</v>
      </c>
      <c r="E37" s="3393"/>
      <c r="F37" s="747">
        <f>SUM(F38:F40)</f>
        <v>0</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0</v>
      </c>
      <c r="F38" s="1859">
        <f>IF(($G$28+$G$36)=0,0,G38/($G$28+$G$36))</f>
        <v>0</v>
      </c>
      <c r="G38" s="3183"/>
      <c r="H38" s="3184"/>
      <c r="I38" s="145"/>
      <c r="J38" s="3183"/>
      <c r="K38" s="3184"/>
      <c r="L38" s="815"/>
      <c r="M38" s="3183"/>
      <c r="N38" s="3184"/>
      <c r="P38" s="3183"/>
      <c r="Q38" s="3184"/>
      <c r="S38" s="3183"/>
      <c r="T38" s="3184"/>
      <c r="V38" s="836"/>
      <c r="W38" s="3235"/>
      <c r="X38" s="3236"/>
      <c r="AZ38" s="1655"/>
      <c r="BA38" s="1618">
        <v>38</v>
      </c>
    </row>
    <row r="39" spans="1:53" s="144" customFormat="1" ht="11.25" customHeight="1">
      <c r="B39" s="144" t="s">
        <v>2469</v>
      </c>
      <c r="D39" s="1857">
        <f>'DCA Underwriting Assumptions'!$R$53</f>
        <v>0.02</v>
      </c>
      <c r="E39" s="1858">
        <f>ROUNDDOWN(D39*(G28+G36),0)</f>
        <v>0</v>
      </c>
      <c r="F39" s="1859">
        <f>IF(($G$28+$G$36)=0,0,G39/($G$28+$G$36))</f>
        <v>0</v>
      </c>
      <c r="G39" s="3163"/>
      <c r="H39" s="3164"/>
      <c r="I39" s="145"/>
      <c r="J39" s="3163"/>
      <c r="K39" s="3164"/>
      <c r="L39" s="815"/>
      <c r="M39" s="3163"/>
      <c r="N39" s="3164"/>
      <c r="P39" s="3163"/>
      <c r="Q39" s="3164"/>
      <c r="S39" s="3163"/>
      <c r="T39" s="3164"/>
      <c r="V39" s="836"/>
      <c r="W39" s="3235"/>
      <c r="X39" s="3236"/>
      <c r="AZ39" s="1655"/>
      <c r="BA39" s="1618">
        <v>39</v>
      </c>
    </row>
    <row r="40" spans="1:53" s="144" customFormat="1" ht="11.25" customHeight="1" thickBot="1">
      <c r="B40" s="144" t="s">
        <v>2470</v>
      </c>
      <c r="D40" s="1860">
        <f>'DCA Underwriting Assumptions'!$R$54</f>
        <v>0.06</v>
      </c>
      <c r="E40" s="1861">
        <f>ROUNDDOWN(D40*(G28+G36),0)</f>
        <v>0</v>
      </c>
      <c r="F40" s="1862">
        <f>IF(($G$28+$G$36)=0,0,G40/($G$28+$G$36))</f>
        <v>0</v>
      </c>
      <c r="G40" s="3333"/>
      <c r="H40" s="3334"/>
      <c r="I40" s="145"/>
      <c r="J40" s="3333"/>
      <c r="K40" s="3334"/>
      <c r="L40" s="815"/>
      <c r="M40" s="3333"/>
      <c r="N40" s="3334"/>
      <c r="P40" s="3333"/>
      <c r="Q40" s="3334"/>
      <c r="S40" s="3333"/>
      <c r="T40" s="3334"/>
      <c r="V40" s="836"/>
      <c r="W40" s="3286"/>
      <c r="X40" s="3287"/>
      <c r="AZ40" s="1655"/>
      <c r="BA40" s="1618">
        <v>40</v>
      </c>
    </row>
    <row r="41" spans="1:53" s="144" customFormat="1" ht="12.65" customHeight="1" thickTop="1">
      <c r="B41" s="147" t="s">
        <v>3142</v>
      </c>
      <c r="D41" s="748">
        <f>SUM(D38:D40)</f>
        <v>0.14000000000000001</v>
      </c>
      <c r="E41" s="749">
        <f>SUM(E38:E40)</f>
        <v>0</v>
      </c>
      <c r="F41" s="1856" t="s">
        <v>184</v>
      </c>
      <c r="G41" s="3323">
        <f>SUM(G38:G40)</f>
        <v>0</v>
      </c>
      <c r="H41" s="3324"/>
      <c r="J41" s="3323">
        <f>SUM(J38:J40)</f>
        <v>0</v>
      </c>
      <c r="K41" s="3324"/>
      <c r="L41" s="283"/>
      <c r="M41" s="3323">
        <f>SUM(M38:M40)</f>
        <v>0</v>
      </c>
      <c r="N41" s="3324"/>
      <c r="P41" s="3323">
        <f>SUM(P38:P40)</f>
        <v>0</v>
      </c>
      <c r="Q41" s="3324"/>
      <c r="S41" s="3323">
        <f>SUM(S38:S40)</f>
        <v>0</v>
      </c>
      <c r="T41" s="3324"/>
      <c r="V41" s="838">
        <f>SUM(V38:V40)</f>
        <v>0</v>
      </c>
      <c r="W41" s="3307"/>
      <c r="X41" s="3308"/>
      <c r="AZ41" s="1655" t="s">
        <v>4274</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4391</v>
      </c>
      <c r="D43" s="1624"/>
      <c r="E43" s="1561"/>
      <c r="F43" s="1561"/>
      <c r="G43" s="3389">
        <f>G28+G36+G41</f>
        <v>0</v>
      </c>
      <c r="H43" s="3390"/>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4275</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4176</v>
      </c>
      <c r="C46" s="3325" t="s">
        <v>4620</v>
      </c>
      <c r="D46" s="3391"/>
      <c r="E46" s="3391"/>
      <c r="F46" s="3392"/>
      <c r="G46" s="3384"/>
      <c r="H46" s="3385"/>
      <c r="I46" s="144"/>
      <c r="J46" s="3384"/>
      <c r="K46" s="3385"/>
      <c r="L46" s="815"/>
      <c r="M46" s="3384"/>
      <c r="N46" s="3385"/>
      <c r="O46" s="144"/>
      <c r="P46" s="3384"/>
      <c r="Q46" s="3385"/>
      <c r="R46" s="144"/>
      <c r="S46" s="3384"/>
      <c r="T46" s="3385"/>
      <c r="V46" s="836"/>
      <c r="W46" s="3372"/>
      <c r="X46" s="3373"/>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4"/>
      <c r="X47" s="3375"/>
      <c r="AZ47" s="1655" t="s">
        <v>4276</v>
      </c>
      <c r="BA47" s="1618">
        <v>47</v>
      </c>
    </row>
    <row r="48" spans="1:53" s="144" customFormat="1" ht="12.65" customHeight="1">
      <c r="B48" s="1577" t="s">
        <v>2473</v>
      </c>
      <c r="C48" s="1578"/>
      <c r="E48" s="3387" t="s">
        <v>2472</v>
      </c>
      <c r="F48" s="1579" t="e">
        <f>C49/'Part V-Revenues &amp; Expenses'!$P$65</f>
        <v>#DIV/0!</v>
      </c>
      <c r="G48" s="1580" t="s">
        <v>2486</v>
      </c>
      <c r="H48" s="1581"/>
      <c r="I48" s="1581"/>
      <c r="J48" s="3380" t="e">
        <f>C49/'Part V-Revenues &amp; Expenses'!$P$67</f>
        <v>#DIV/0!</v>
      </c>
      <c r="K48" s="3380"/>
      <c r="L48" s="1581"/>
      <c r="M48" s="3381" t="s">
        <v>4377</v>
      </c>
      <c r="N48" s="3381"/>
      <c r="O48" s="1581"/>
      <c r="P48" s="3380" t="e">
        <f>C49/'Part V-Revenues &amp; Expenses'!$K$179</f>
        <v>#DIV/0!</v>
      </c>
      <c r="Q48" s="3380"/>
      <c r="R48" s="1581"/>
      <c r="S48" s="3382" t="s">
        <v>4379</v>
      </c>
      <c r="T48" s="3383"/>
      <c r="V48" s="839"/>
      <c r="W48" s="3374"/>
      <c r="X48" s="3375"/>
      <c r="AZ48" s="1655"/>
      <c r="BA48" s="1618">
        <v>48</v>
      </c>
    </row>
    <row r="49" spans="1:53" s="144" customFormat="1" ht="12.65" customHeight="1">
      <c r="B49" s="1626" t="s">
        <v>4390</v>
      </c>
      <c r="C49" s="1625">
        <f>G28+G36+G41+G46</f>
        <v>0</v>
      </c>
      <c r="E49" s="3388"/>
      <c r="F49" s="1582" t="e">
        <f>C49/'Part V-Revenues &amp; Expenses'!$P$170</f>
        <v>#DIV/0!</v>
      </c>
      <c r="G49" s="1583" t="s">
        <v>2487</v>
      </c>
      <c r="H49" s="1584"/>
      <c r="I49" s="1584"/>
      <c r="J49" s="3370" t="e">
        <f>C49/'Part V-Revenues &amp; Expenses'!$P$172</f>
        <v>#DIV/0!</v>
      </c>
      <c r="K49" s="3370"/>
      <c r="L49" s="1584"/>
      <c r="M49" s="3371" t="s">
        <v>4378</v>
      </c>
      <c r="N49" s="3371"/>
      <c r="O49" s="1584"/>
      <c r="P49" s="1584"/>
      <c r="Q49" s="1584"/>
      <c r="R49" s="1584"/>
      <c r="S49" s="1584"/>
      <c r="T49" s="1585"/>
      <c r="V49" s="839"/>
      <c r="W49" s="3376"/>
      <c r="X49" s="3377"/>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2518</v>
      </c>
      <c r="J51" s="3314" t="s">
        <v>259</v>
      </c>
      <c r="K51" s="3315"/>
      <c r="L51" s="280"/>
      <c r="M51" s="3327" t="s">
        <v>459</v>
      </c>
      <c r="N51" s="3328"/>
      <c r="P51" s="3314" t="s">
        <v>260</v>
      </c>
      <c r="Q51" s="3315"/>
      <c r="S51" s="3314" t="s">
        <v>261</v>
      </c>
      <c r="T51" s="3315"/>
      <c r="V51" s="839"/>
      <c r="W51" s="343" t="str">
        <f>B51</f>
        <v>DEVELOPMENT BUDGET (cont'd)</v>
      </c>
      <c r="AZ51" s="1655"/>
      <c r="BA51" s="1618">
        <v>58</v>
      </c>
    </row>
    <row r="52" spans="1:53" s="144" customFormat="1" ht="18.75" customHeight="1" thickBot="1">
      <c r="G52" s="3331" t="s">
        <v>95</v>
      </c>
      <c r="H52" s="3332"/>
      <c r="J52" s="3316"/>
      <c r="K52" s="3317"/>
      <c r="L52" s="280"/>
      <c r="M52" s="3329"/>
      <c r="N52" s="3330"/>
      <c r="P52" s="3316"/>
      <c r="Q52" s="3317"/>
      <c r="S52" s="3316"/>
      <c r="T52" s="3317"/>
      <c r="V52" s="839"/>
      <c r="W52" s="3386" t="s">
        <v>2441</v>
      </c>
      <c r="X52" s="3386"/>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4198</v>
      </c>
      <c r="F54" s="231" t="s">
        <v>3325</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3324</v>
      </c>
      <c r="E55" s="1665" t="str">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
      </c>
      <c r="F55" s="1666" t="e">
        <f>G55/C49</f>
        <v>#DIV/0!</v>
      </c>
      <c r="G55" s="3384"/>
      <c r="H55" s="3385"/>
      <c r="I55" s="144"/>
      <c r="J55" s="3384"/>
      <c r="K55" s="3385"/>
      <c r="L55" s="815"/>
      <c r="M55" s="3384"/>
      <c r="N55" s="3385"/>
      <c r="O55" s="144"/>
      <c r="P55" s="3384"/>
      <c r="Q55" s="3385"/>
      <c r="R55" s="144"/>
      <c r="S55" s="3384"/>
      <c r="T55" s="3385"/>
      <c r="V55" s="836"/>
      <c r="W55" s="3235"/>
      <c r="X55" s="3236"/>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2"/>
      <c r="X56" s="3373"/>
      <c r="AZ56" s="1655"/>
      <c r="BA56" s="1618">
        <v>53</v>
      </c>
    </row>
    <row r="57" spans="1:53" s="144" customFormat="1" ht="12.65" customHeight="1">
      <c r="B57" s="1586" t="s">
        <v>4199</v>
      </c>
      <c r="C57" s="1578"/>
      <c r="E57" s="3378" t="s">
        <v>4200</v>
      </c>
      <c r="F57" s="1579" t="e">
        <f>B58/'Part V-Revenues &amp; Expenses'!$P$65</f>
        <v>#DIV/0!</v>
      </c>
      <c r="G57" s="1580" t="s">
        <v>2486</v>
      </c>
      <c r="H57" s="1581"/>
      <c r="I57" s="1581"/>
      <c r="J57" s="3380" t="e">
        <f>B58/'Part V-Revenues &amp; Expenses'!$P$67</f>
        <v>#DIV/0!</v>
      </c>
      <c r="K57" s="3380"/>
      <c r="L57" s="1581"/>
      <c r="M57" s="3381" t="s">
        <v>4377</v>
      </c>
      <c r="N57" s="3381"/>
      <c r="O57" s="1581"/>
      <c r="P57" s="3380" t="e">
        <f>B58/'Part V-Revenues &amp; Expenses'!$K$179</f>
        <v>#DIV/0!</v>
      </c>
      <c r="Q57" s="3380"/>
      <c r="R57" s="1581"/>
      <c r="S57" s="3382" t="s">
        <v>4379</v>
      </c>
      <c r="T57" s="3383"/>
      <c r="V57" s="839"/>
      <c r="W57" s="3374"/>
      <c r="X57" s="3375"/>
      <c r="AZ57" s="1655"/>
      <c r="BA57" s="1618">
        <v>54</v>
      </c>
    </row>
    <row r="58" spans="1:53" s="144" customFormat="1" ht="12.65" customHeight="1">
      <c r="B58" s="3368">
        <f>C49+G55</f>
        <v>0</v>
      </c>
      <c r="C58" s="3369"/>
      <c r="E58" s="3379"/>
      <c r="F58" s="1582" t="e">
        <f>B58/'Part V-Revenues &amp; Expenses'!$P$170</f>
        <v>#DIV/0!</v>
      </c>
      <c r="G58" s="1583" t="s">
        <v>2487</v>
      </c>
      <c r="H58" s="1584"/>
      <c r="I58" s="1584"/>
      <c r="J58" s="3370" t="e">
        <f>B58/'Part V-Revenues &amp; Expenses'!$P$172</f>
        <v>#DIV/0!</v>
      </c>
      <c r="K58" s="3370"/>
      <c r="L58" s="1584"/>
      <c r="M58" s="3371" t="s">
        <v>4378</v>
      </c>
      <c r="N58" s="3371"/>
      <c r="O58" s="1584"/>
      <c r="P58" s="1584"/>
      <c r="Q58" s="1584"/>
      <c r="R58" s="1584"/>
      <c r="S58" s="1584"/>
      <c r="T58" s="1585"/>
      <c r="V58" s="839"/>
      <c r="W58" s="3374"/>
      <c r="X58" s="3375"/>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6"/>
      <c r="X59" s="3377"/>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3143</v>
      </c>
      <c r="G61" s="3183"/>
      <c r="H61" s="3184"/>
      <c r="J61" s="3183"/>
      <c r="K61" s="3184"/>
      <c r="L61" s="815"/>
      <c r="M61" s="3183"/>
      <c r="N61" s="3184"/>
      <c r="P61" s="3183"/>
      <c r="Q61" s="3184"/>
      <c r="S61" s="3183"/>
      <c r="T61" s="3184"/>
      <c r="V61" s="840"/>
      <c r="W61" s="3235"/>
      <c r="X61" s="3236"/>
      <c r="AZ61" s="1655"/>
      <c r="BA61" s="1618">
        <v>61</v>
      </c>
    </row>
    <row r="62" spans="1:53" s="144" customFormat="1" ht="12" customHeight="1">
      <c r="B62" s="144" t="s">
        <v>3144</v>
      </c>
      <c r="G62" s="3163"/>
      <c r="H62" s="3164"/>
      <c r="J62" s="3163"/>
      <c r="K62" s="3164"/>
      <c r="L62" s="815"/>
      <c r="M62" s="3163"/>
      <c r="N62" s="3164"/>
      <c r="P62" s="3163"/>
      <c r="Q62" s="3164"/>
      <c r="S62" s="3163"/>
      <c r="T62" s="3164"/>
      <c r="V62" s="840"/>
      <c r="W62" s="3235"/>
      <c r="X62" s="3236"/>
      <c r="AZ62" s="1655"/>
      <c r="BA62" s="1618">
        <v>62</v>
      </c>
    </row>
    <row r="63" spans="1:53" s="144" customFormat="1" ht="12" customHeight="1">
      <c r="B63" s="144" t="s">
        <v>2160</v>
      </c>
      <c r="G63" s="3163"/>
      <c r="H63" s="3164"/>
      <c r="J63" s="3163"/>
      <c r="K63" s="3164"/>
      <c r="L63" s="815"/>
      <c r="M63" s="3163"/>
      <c r="N63" s="3164"/>
      <c r="P63" s="3163"/>
      <c r="Q63" s="3164"/>
      <c r="S63" s="3163"/>
      <c r="T63" s="3164"/>
      <c r="V63" s="840"/>
      <c r="W63" s="3235"/>
      <c r="X63" s="3236"/>
      <c r="AZ63" s="1655"/>
      <c r="BA63" s="1618">
        <v>63</v>
      </c>
    </row>
    <row r="64" spans="1:53" s="144" customFormat="1" ht="12" customHeight="1">
      <c r="B64" s="144" t="s">
        <v>2161</v>
      </c>
      <c r="G64" s="3163"/>
      <c r="H64" s="3164"/>
      <c r="J64" s="3163"/>
      <c r="K64" s="3164"/>
      <c r="L64" s="815"/>
      <c r="M64" s="3163"/>
      <c r="N64" s="3164"/>
      <c r="P64" s="3163"/>
      <c r="Q64" s="3164"/>
      <c r="S64" s="3163"/>
      <c r="T64" s="3164"/>
      <c r="V64" s="840"/>
      <c r="W64" s="3235"/>
      <c r="X64" s="3236"/>
      <c r="AZ64" s="1655"/>
      <c r="BA64" s="1618">
        <v>64</v>
      </c>
    </row>
    <row r="65" spans="1:53" s="144" customFormat="1" ht="12" customHeight="1">
      <c r="B65" s="144" t="s">
        <v>2162</v>
      </c>
      <c r="G65" s="3163"/>
      <c r="H65" s="3164"/>
      <c r="J65" s="3163"/>
      <c r="K65" s="3164"/>
      <c r="L65" s="815"/>
      <c r="M65" s="3163"/>
      <c r="N65" s="3164"/>
      <c r="P65" s="3163"/>
      <c r="Q65" s="3164"/>
      <c r="S65" s="3163"/>
      <c r="T65" s="3164"/>
      <c r="V65" s="840"/>
      <c r="W65" s="3235"/>
      <c r="X65" s="3236"/>
      <c r="AZ65" s="1655" t="s">
        <v>4277</v>
      </c>
      <c r="BA65" s="1618">
        <v>65</v>
      </c>
    </row>
    <row r="66" spans="1:53" s="144" customFormat="1" ht="12" customHeight="1">
      <c r="B66" s="144" t="s">
        <v>2443</v>
      </c>
      <c r="G66" s="3163"/>
      <c r="H66" s="3164"/>
      <c r="J66" s="3163"/>
      <c r="K66" s="3164"/>
      <c r="L66" s="815"/>
      <c r="M66" s="3163"/>
      <c r="N66" s="3164"/>
      <c r="P66" s="3163"/>
      <c r="Q66" s="3164"/>
      <c r="S66" s="3163"/>
      <c r="T66" s="3164"/>
      <c r="V66" s="840"/>
      <c r="W66" s="3235"/>
      <c r="X66" s="3236"/>
      <c r="AZ66" s="1655" t="s">
        <v>4278</v>
      </c>
      <c r="BA66" s="1618">
        <v>66</v>
      </c>
    </row>
    <row r="67" spans="1:53" s="144" customFormat="1" ht="12" customHeight="1">
      <c r="B67" s="144" t="s">
        <v>675</v>
      </c>
      <c r="G67" s="3163"/>
      <c r="H67" s="3164"/>
      <c r="J67" s="3163"/>
      <c r="K67" s="3164"/>
      <c r="L67" s="815"/>
      <c r="M67" s="3163"/>
      <c r="N67" s="3164"/>
      <c r="P67" s="3163"/>
      <c r="Q67" s="3164"/>
      <c r="S67" s="3163"/>
      <c r="T67" s="3164"/>
      <c r="V67" s="840"/>
      <c r="W67" s="3235"/>
      <c r="X67" s="3236"/>
      <c r="AZ67" s="1655" t="s">
        <v>4279</v>
      </c>
      <c r="BA67" s="1618">
        <v>67</v>
      </c>
    </row>
    <row r="68" spans="1:53" s="144" customFormat="1" ht="12" customHeight="1">
      <c r="B68" s="144" t="s">
        <v>2163</v>
      </c>
      <c r="G68" s="3163"/>
      <c r="H68" s="3164"/>
      <c r="J68" s="3163"/>
      <c r="K68" s="3164"/>
      <c r="L68" s="815"/>
      <c r="M68" s="3163"/>
      <c r="N68" s="3164"/>
      <c r="P68" s="3163"/>
      <c r="Q68" s="3164"/>
      <c r="S68" s="3163"/>
      <c r="T68" s="3164"/>
      <c r="V68" s="840"/>
      <c r="W68" s="3235"/>
      <c r="X68" s="3236"/>
      <c r="AZ68" s="1655"/>
      <c r="BA68" s="1618">
        <v>68</v>
      </c>
    </row>
    <row r="69" spans="1:53" s="144" customFormat="1" ht="12" customHeight="1">
      <c r="B69" s="144" t="s">
        <v>1198</v>
      </c>
      <c r="G69" s="3163"/>
      <c r="H69" s="3164"/>
      <c r="J69" s="3163"/>
      <c r="K69" s="3164"/>
      <c r="L69" s="815"/>
      <c r="M69" s="3163"/>
      <c r="N69" s="3164"/>
      <c r="P69" s="3163"/>
      <c r="Q69" s="3164"/>
      <c r="S69" s="3163"/>
      <c r="T69" s="3164"/>
      <c r="V69" s="840"/>
      <c r="W69" s="3235"/>
      <c r="X69" s="3236"/>
      <c r="AZ69" s="1655"/>
      <c r="BA69" s="1618">
        <v>69</v>
      </c>
    </row>
    <row r="70" spans="1:53" s="144" customFormat="1" ht="12" customHeight="1">
      <c r="B70" s="287" t="s">
        <v>1084</v>
      </c>
      <c r="D70" s="285"/>
      <c r="E70" s="285"/>
      <c r="F70" s="286"/>
      <c r="G70" s="3163"/>
      <c r="H70" s="3164"/>
      <c r="I70" s="145"/>
      <c r="J70" s="3163"/>
      <c r="K70" s="3164"/>
      <c r="L70" s="815"/>
      <c r="M70" s="3163"/>
      <c r="N70" s="3164"/>
      <c r="P70" s="3163"/>
      <c r="Q70" s="3164"/>
      <c r="S70" s="3163"/>
      <c r="T70" s="3164"/>
      <c r="V70" s="840"/>
      <c r="W70" s="3235"/>
      <c r="X70" s="3236"/>
      <c r="AZ70" s="1655"/>
      <c r="BA70" s="1618">
        <v>70</v>
      </c>
    </row>
    <row r="71" spans="1:53" s="144" customFormat="1" ht="12" customHeight="1">
      <c r="A71" s="303" t="str">
        <f>IF(AND(G71&gt;0,OR(C71="",C71="&lt;Enter detailed description here; use Comments section if needed&gt;")),"X","")</f>
        <v/>
      </c>
      <c r="B71" s="147" t="s">
        <v>4178</v>
      </c>
      <c r="C71" s="3360" t="s">
        <v>4620</v>
      </c>
      <c r="D71" s="3360"/>
      <c r="E71" s="3360"/>
      <c r="F71" s="3361"/>
      <c r="G71" s="3163"/>
      <c r="H71" s="3164"/>
      <c r="J71" s="3163"/>
      <c r="K71" s="3164"/>
      <c r="L71" s="815"/>
      <c r="M71" s="3163"/>
      <c r="N71" s="3164"/>
      <c r="P71" s="3163"/>
      <c r="Q71" s="3164"/>
      <c r="S71" s="3163"/>
      <c r="T71" s="3164"/>
      <c r="U71" s="302" t="str">
        <f>IF(AND(G71&gt;0,OR(C71="",C71="&lt;Enter detailed description here; use Comments section if needed&gt;")),"NO DESCRIPTION PROVIDED - please enter detailed description in Other box at left; use Comments section below if needed.","")</f>
        <v/>
      </c>
      <c r="V71" s="840"/>
      <c r="W71" s="3235"/>
      <c r="X71" s="3236"/>
      <c r="AZ71" s="1655"/>
      <c r="BA71" s="1618">
        <v>71</v>
      </c>
    </row>
    <row r="72" spans="1:53" s="144" customFormat="1" ht="12" customHeight="1" thickBot="1">
      <c r="A72" s="303" t="str">
        <f>IF(AND(G72&gt;0,OR(C72="",C72="&lt;Enter detailed description here; use Comments section if needed&gt;")),"X","")</f>
        <v/>
      </c>
      <c r="B72" s="147" t="s">
        <v>4179</v>
      </c>
      <c r="C72" s="3358" t="s">
        <v>4620</v>
      </c>
      <c r="D72" s="3358"/>
      <c r="E72" s="3358"/>
      <c r="F72" s="3359"/>
      <c r="G72" s="3155"/>
      <c r="H72" s="3156"/>
      <c r="J72" s="3155"/>
      <c r="K72" s="3156"/>
      <c r="L72" s="815"/>
      <c r="M72" s="3155"/>
      <c r="N72" s="3156"/>
      <c r="P72" s="3155"/>
      <c r="Q72" s="3156"/>
      <c r="S72" s="3155"/>
      <c r="T72" s="3156"/>
      <c r="U72" s="302" t="str">
        <f>IF(AND(G72&gt;0,OR(C72="",C72="&lt;Enter detailed description here; use Comments section if needed&gt;")),"NO DESCRIPTION PROVIDED - please enter detailed description in Other box at left; use Comments section below if needed.","")</f>
        <v/>
      </c>
      <c r="V72" s="840"/>
      <c r="W72" s="3286"/>
      <c r="X72" s="3287"/>
      <c r="AZ72" s="1655"/>
      <c r="BA72" s="1618">
        <v>72</v>
      </c>
    </row>
    <row r="73" spans="1:53" s="144" customFormat="1" ht="12" customHeight="1" thickTop="1">
      <c r="F73" s="281" t="s">
        <v>184</v>
      </c>
      <c r="G73" s="3323">
        <f>SUM(G61:G72)</f>
        <v>0</v>
      </c>
      <c r="H73" s="3324"/>
      <c r="J73" s="3323">
        <f>SUM(J61:J72)</f>
        <v>0</v>
      </c>
      <c r="K73" s="3324"/>
      <c r="L73" s="283"/>
      <c r="M73" s="3323">
        <f>SUM(M61:M72)</f>
        <v>0</v>
      </c>
      <c r="N73" s="3324"/>
      <c r="P73" s="3323">
        <f>SUM(P61:P72)</f>
        <v>0</v>
      </c>
      <c r="Q73" s="3324"/>
      <c r="S73" s="3323">
        <f>SUM(S61:S72)</f>
        <v>0</v>
      </c>
      <c r="T73" s="3324"/>
      <c r="V73" s="841">
        <f>SUM(V61:V72)</f>
        <v>0</v>
      </c>
      <c r="W73" s="3307"/>
      <c r="X73" s="3308"/>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3"/>
      <c r="H75" s="3184"/>
      <c r="J75" s="3183"/>
      <c r="K75" s="3184"/>
      <c r="L75" s="815"/>
      <c r="M75" s="3183"/>
      <c r="N75" s="3184"/>
      <c r="P75" s="3183"/>
      <c r="Q75" s="3184"/>
      <c r="S75" s="3183"/>
      <c r="T75" s="3184"/>
      <c r="V75" s="836"/>
      <c r="W75" s="3235"/>
      <c r="X75" s="3236"/>
      <c r="AZ75" s="1655"/>
      <c r="BA75" s="1618">
        <v>75</v>
      </c>
    </row>
    <row r="76" spans="1:53" s="144" customFormat="1" ht="12" customHeight="1">
      <c r="B76" s="144" t="s">
        <v>450</v>
      </c>
      <c r="G76" s="3163"/>
      <c r="H76" s="3164"/>
      <c r="J76" s="3163"/>
      <c r="K76" s="3164"/>
      <c r="L76" s="815"/>
      <c r="M76" s="3163"/>
      <c r="N76" s="3164"/>
      <c r="P76" s="3163"/>
      <c r="Q76" s="3164"/>
      <c r="S76" s="3163"/>
      <c r="T76" s="3164"/>
      <c r="V76" s="836"/>
      <c r="W76" s="3235"/>
      <c r="X76" s="3236"/>
      <c r="AZ76" s="1655"/>
      <c r="BA76" s="1618">
        <v>76</v>
      </c>
    </row>
    <row r="77" spans="1:53" s="144" customFormat="1" ht="12" customHeight="1">
      <c r="B77" s="144" t="s">
        <v>1060</v>
      </c>
      <c r="D77" s="247"/>
      <c r="E77" s="831"/>
      <c r="F77" s="392"/>
      <c r="G77" s="3163"/>
      <c r="H77" s="3164"/>
      <c r="J77" s="3163"/>
      <c r="K77" s="3164"/>
      <c r="L77" s="815"/>
      <c r="M77" s="3163"/>
      <c r="N77" s="3164"/>
      <c r="P77" s="3163"/>
      <c r="Q77" s="3164"/>
      <c r="S77" s="3163"/>
      <c r="T77" s="3164"/>
      <c r="V77" s="836"/>
      <c r="W77" s="3235"/>
      <c r="X77" s="3236"/>
      <c r="AZ77" s="1655"/>
      <c r="BA77" s="1618">
        <v>77</v>
      </c>
    </row>
    <row r="78" spans="1:53" s="144" customFormat="1" ht="12" customHeight="1">
      <c r="B78" s="144" t="s">
        <v>1061</v>
      </c>
      <c r="G78" s="3163"/>
      <c r="H78" s="3164"/>
      <c r="J78" s="3163"/>
      <c r="K78" s="3164"/>
      <c r="L78" s="815"/>
      <c r="M78" s="3163"/>
      <c r="N78" s="3164"/>
      <c r="P78" s="3163"/>
      <c r="Q78" s="3164"/>
      <c r="S78" s="3163"/>
      <c r="T78" s="3164"/>
      <c r="V78" s="836"/>
      <c r="W78" s="3235"/>
      <c r="X78" s="3236"/>
      <c r="AZ78" s="1655"/>
      <c r="BA78" s="1618">
        <v>78</v>
      </c>
    </row>
    <row r="79" spans="1:53" s="144" customFormat="1" ht="12" customHeight="1">
      <c r="B79" s="144" t="s">
        <v>1062</v>
      </c>
      <c r="G79" s="3163"/>
      <c r="H79" s="3164"/>
      <c r="J79" s="3163"/>
      <c r="K79" s="3164"/>
      <c r="L79" s="815"/>
      <c r="M79" s="3163"/>
      <c r="N79" s="3164"/>
      <c r="P79" s="3163"/>
      <c r="Q79" s="3164"/>
      <c r="S79" s="3163"/>
      <c r="T79" s="3164"/>
      <c r="V79" s="836"/>
      <c r="W79" s="3235"/>
      <c r="X79" s="3236"/>
      <c r="AZ79" s="1655" t="s">
        <v>4280</v>
      </c>
      <c r="BA79" s="1618">
        <v>79</v>
      </c>
    </row>
    <row r="80" spans="1:53" s="144" customFormat="1" ht="12" customHeight="1">
      <c r="B80" s="144" t="s">
        <v>1063</v>
      </c>
      <c r="G80" s="3163"/>
      <c r="H80" s="3164"/>
      <c r="J80" s="3163"/>
      <c r="K80" s="3164"/>
      <c r="L80" s="815"/>
      <c r="M80" s="3163"/>
      <c r="N80" s="3164"/>
      <c r="P80" s="3163"/>
      <c r="Q80" s="3164"/>
      <c r="S80" s="3163"/>
      <c r="T80" s="3164"/>
      <c r="V80" s="836"/>
      <c r="W80" s="3235"/>
      <c r="X80" s="3236"/>
      <c r="AZ80" s="1655" t="s">
        <v>4281</v>
      </c>
      <c r="BA80" s="1618">
        <v>80</v>
      </c>
    </row>
    <row r="81" spans="1:53" s="144" customFormat="1" ht="12" customHeight="1">
      <c r="B81" s="144" t="s">
        <v>451</v>
      </c>
      <c r="G81" s="3163"/>
      <c r="H81" s="3164"/>
      <c r="J81" s="3163"/>
      <c r="K81" s="3164"/>
      <c r="L81" s="815"/>
      <c r="M81" s="3163"/>
      <c r="N81" s="3164"/>
      <c r="P81" s="3163"/>
      <c r="Q81" s="3164"/>
      <c r="S81" s="3163"/>
      <c r="T81" s="3164"/>
      <c r="V81" s="836"/>
      <c r="W81" s="3235"/>
      <c r="X81" s="3236"/>
      <c r="AZ81" s="1651"/>
      <c r="BA81" s="1618">
        <v>81</v>
      </c>
    </row>
    <row r="82" spans="1:53" s="144" customFormat="1" ht="12" customHeight="1">
      <c r="B82" s="144" t="s">
        <v>452</v>
      </c>
      <c r="G82" s="3163"/>
      <c r="H82" s="3164"/>
      <c r="J82" s="3163"/>
      <c r="K82" s="3164"/>
      <c r="L82" s="815"/>
      <c r="M82" s="3163"/>
      <c r="N82" s="3164"/>
      <c r="P82" s="3163"/>
      <c r="Q82" s="3164"/>
      <c r="S82" s="3163"/>
      <c r="T82" s="3164"/>
      <c r="V82" s="836"/>
      <c r="W82" s="3235"/>
      <c r="X82" s="3236"/>
      <c r="AZ82" s="1655"/>
      <c r="BA82" s="1618">
        <v>82</v>
      </c>
    </row>
    <row r="83" spans="1:53" s="144" customFormat="1" ht="12" customHeight="1">
      <c r="B83" s="144" t="s">
        <v>1894</v>
      </c>
      <c r="G83" s="3163"/>
      <c r="H83" s="3164"/>
      <c r="J83" s="3163"/>
      <c r="K83" s="3164"/>
      <c r="L83" s="815"/>
      <c r="M83" s="3163"/>
      <c r="N83" s="3164"/>
      <c r="P83" s="3163"/>
      <c r="Q83" s="3164"/>
      <c r="S83" s="3163"/>
      <c r="T83" s="3164"/>
      <c r="V83" s="836"/>
      <c r="W83" s="3235"/>
      <c r="X83" s="3236"/>
      <c r="AZ83" s="1655"/>
      <c r="BA83" s="1618">
        <v>83</v>
      </c>
    </row>
    <row r="84" spans="1:53" s="144" customFormat="1" ht="12" customHeight="1">
      <c r="B84" s="144" t="s">
        <v>1199</v>
      </c>
      <c r="G84" s="3163"/>
      <c r="H84" s="3164"/>
      <c r="J84" s="3163"/>
      <c r="K84" s="3164"/>
      <c r="L84" s="815"/>
      <c r="M84" s="3163"/>
      <c r="N84" s="3164"/>
      <c r="P84" s="3163"/>
      <c r="Q84" s="3164"/>
      <c r="S84" s="3163"/>
      <c r="T84" s="3164"/>
      <c r="V84" s="836"/>
      <c r="W84" s="3235"/>
      <c r="X84" s="3236"/>
      <c r="AZ84" s="1655"/>
      <c r="BA84" s="1618">
        <v>84</v>
      </c>
    </row>
    <row r="85" spans="1:53" s="144" customFormat="1" ht="12" customHeight="1" thickBot="1">
      <c r="A85" s="303" t="str">
        <f>IF(AND(G85&gt;0,OR(C85="",C85="&lt;Enter detailed description here; use Comments section if needed&gt;")),"X","")</f>
        <v/>
      </c>
      <c r="B85" s="147" t="s">
        <v>4180</v>
      </c>
      <c r="C85" s="3325" t="s">
        <v>4620</v>
      </c>
      <c r="D85" s="3325"/>
      <c r="E85" s="3325"/>
      <c r="F85" s="3326"/>
      <c r="G85" s="3155"/>
      <c r="H85" s="3156"/>
      <c r="J85" s="3155"/>
      <c r="K85" s="3156"/>
      <c r="L85" s="815"/>
      <c r="M85" s="3155"/>
      <c r="N85" s="3156"/>
      <c r="P85" s="3155"/>
      <c r="Q85" s="3156"/>
      <c r="S85" s="3155"/>
      <c r="T85" s="3156"/>
      <c r="U85" s="302" t="str">
        <f>IF(AND(G85&gt;0,OR(C85="",C85="&lt;Enter detailed description here; use Comments section if needed&gt;")),"NO DESCRIPTION PROVIDED - please enter detailed description in Other box at left; use Comments section below if needed.","")</f>
        <v/>
      </c>
      <c r="V85" s="836"/>
      <c r="W85" s="3286"/>
      <c r="X85" s="3287"/>
      <c r="AZ85" s="1655"/>
      <c r="BA85" s="1618">
        <v>85</v>
      </c>
    </row>
    <row r="86" spans="1:53" s="144" customFormat="1" ht="12" customHeight="1" thickTop="1">
      <c r="F86" s="281" t="s">
        <v>184</v>
      </c>
      <c r="G86" s="3323">
        <f>SUM(G75:G85)</f>
        <v>0</v>
      </c>
      <c r="H86" s="3324"/>
      <c r="J86" s="3323">
        <f>SUM(J75:J85)</f>
        <v>0</v>
      </c>
      <c r="K86" s="3324"/>
      <c r="L86" s="283"/>
      <c r="M86" s="3323">
        <f>SUM(M75:M85)</f>
        <v>0</v>
      </c>
      <c r="N86" s="3324"/>
      <c r="P86" s="3323">
        <f>SUM(P75:P85)</f>
        <v>0</v>
      </c>
      <c r="Q86" s="3324"/>
      <c r="S86" s="3323">
        <f>SUM(S75:S85)</f>
        <v>0</v>
      </c>
      <c r="T86" s="3324"/>
      <c r="V86" s="838">
        <f>SUM(V75:V85)</f>
        <v>0</v>
      </c>
      <c r="W86" s="3307"/>
      <c r="X86" s="3308"/>
      <c r="AZ86" s="1655" t="s">
        <v>4282</v>
      </c>
      <c r="BA86" s="1618">
        <v>86</v>
      </c>
    </row>
    <row r="87" spans="1:53" ht="12" customHeight="1">
      <c r="A87" s="144"/>
      <c r="B87" s="243" t="s">
        <v>1191</v>
      </c>
      <c r="C87" s="144"/>
      <c r="D87" s="678" t="s">
        <v>3147</v>
      </c>
      <c r="E87" s="750" t="e">
        <f>G92/'Part V-Revenues &amp; Expenses'!$P$67</f>
        <v>#DIV/0!</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3"/>
      <c r="H88" s="3184"/>
      <c r="J88" s="3183"/>
      <c r="K88" s="3184"/>
      <c r="L88" s="815"/>
      <c r="M88" s="3183"/>
      <c r="N88" s="3184"/>
      <c r="P88" s="3183"/>
      <c r="Q88" s="3184"/>
      <c r="S88" s="3183"/>
      <c r="T88" s="3184"/>
      <c r="V88" s="836"/>
      <c r="W88" s="3235"/>
      <c r="X88" s="3236"/>
      <c r="AZ88" s="1655"/>
      <c r="BA88" s="1618">
        <v>88</v>
      </c>
    </row>
    <row r="89" spans="1:53" s="144" customFormat="1" ht="12" customHeight="1">
      <c r="B89" s="144" t="s">
        <v>1193</v>
      </c>
      <c r="G89" s="3163"/>
      <c r="H89" s="3164"/>
      <c r="J89" s="3163"/>
      <c r="K89" s="3164"/>
      <c r="L89" s="815"/>
      <c r="M89" s="3163"/>
      <c r="N89" s="3164"/>
      <c r="P89" s="3163"/>
      <c r="Q89" s="3164"/>
      <c r="S89" s="3163"/>
      <c r="T89" s="3164"/>
      <c r="V89" s="836"/>
      <c r="W89" s="3235"/>
      <c r="X89" s="3236"/>
      <c r="AZ89" s="1655"/>
      <c r="BA89" s="1618">
        <v>89</v>
      </c>
    </row>
    <row r="90" spans="1:53" s="144" customFormat="1" ht="12" customHeight="1">
      <c r="B90" s="144" t="s">
        <v>1194</v>
      </c>
      <c r="D90" s="289" t="s">
        <v>1322</v>
      </c>
      <c r="E90" s="850"/>
      <c r="G90" s="3163"/>
      <c r="H90" s="3164"/>
      <c r="I90" s="145"/>
      <c r="J90" s="3163"/>
      <c r="K90" s="3164"/>
      <c r="L90" s="815"/>
      <c r="M90" s="3163"/>
      <c r="N90" s="3164"/>
      <c r="P90" s="3163"/>
      <c r="Q90" s="3164"/>
      <c r="S90" s="3163"/>
      <c r="T90" s="3164"/>
      <c r="V90" s="836"/>
      <c r="W90" s="3235"/>
      <c r="X90" s="3236"/>
      <c r="AZ90" s="1655"/>
      <c r="BA90" s="1618">
        <v>90</v>
      </c>
    </row>
    <row r="91" spans="1:53" s="144" customFormat="1" ht="12" customHeight="1" thickBot="1">
      <c r="B91" s="144" t="s">
        <v>1195</v>
      </c>
      <c r="D91" s="289" t="s">
        <v>1322</v>
      </c>
      <c r="E91" s="851"/>
      <c r="G91" s="3155"/>
      <c r="H91" s="3156"/>
      <c r="I91" s="145"/>
      <c r="J91" s="3155"/>
      <c r="K91" s="3156"/>
      <c r="L91" s="815"/>
      <c r="M91" s="3155"/>
      <c r="N91" s="3156"/>
      <c r="P91" s="3155"/>
      <c r="Q91" s="3156"/>
      <c r="S91" s="3155"/>
      <c r="T91" s="3156"/>
      <c r="V91" s="836"/>
      <c r="W91" s="3286"/>
      <c r="X91" s="3287"/>
      <c r="AZ91" s="1655"/>
      <c r="BA91" s="1618">
        <v>91</v>
      </c>
    </row>
    <row r="92" spans="1:53" s="144" customFormat="1" ht="12" customHeight="1" thickTop="1">
      <c r="F92" s="281" t="s">
        <v>184</v>
      </c>
      <c r="G92" s="3323">
        <f>SUM(G88:G91)</f>
        <v>0</v>
      </c>
      <c r="H92" s="3324"/>
      <c r="J92" s="3323">
        <f>SUM(J88:J91)</f>
        <v>0</v>
      </c>
      <c r="K92" s="3324"/>
      <c r="L92" s="283"/>
      <c r="M92" s="3323">
        <f>SUM(M88:M91)</f>
        <v>0</v>
      </c>
      <c r="N92" s="3324"/>
      <c r="P92" s="3323">
        <f>SUM(P88:P91)</f>
        <v>0</v>
      </c>
      <c r="Q92" s="3324"/>
      <c r="S92" s="3323">
        <f>SUM(S88:S91)</f>
        <v>0</v>
      </c>
      <c r="T92" s="3324"/>
      <c r="V92" s="838">
        <f>SUM(V88:V91)</f>
        <v>0</v>
      </c>
      <c r="W92" s="3307"/>
      <c r="X92" s="3308"/>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2517</v>
      </c>
      <c r="J94" s="3314" t="s">
        <v>259</v>
      </c>
      <c r="K94" s="3315"/>
      <c r="L94" s="280"/>
      <c r="M94" s="3327" t="s">
        <v>459</v>
      </c>
      <c r="N94" s="3328"/>
      <c r="P94" s="3314" t="s">
        <v>260</v>
      </c>
      <c r="Q94" s="3315"/>
      <c r="S94" s="3314" t="s">
        <v>261</v>
      </c>
      <c r="T94" s="3315"/>
      <c r="V94" s="343" t="str">
        <f>B94</f>
        <v>DEVELOPMENT BUDGET  (cont'd)</v>
      </c>
      <c r="AZ94" s="1655"/>
      <c r="BA94" s="1618">
        <v>94</v>
      </c>
    </row>
    <row r="95" spans="1:53" s="144" customFormat="1" ht="18" customHeight="1" thickBot="1">
      <c r="G95" s="3331" t="s">
        <v>95</v>
      </c>
      <c r="H95" s="3332"/>
      <c r="J95" s="3316"/>
      <c r="K95" s="3317"/>
      <c r="L95" s="280"/>
      <c r="M95" s="3329"/>
      <c r="N95" s="3330"/>
      <c r="P95" s="3316"/>
      <c r="Q95" s="3317"/>
      <c r="S95" s="3316"/>
      <c r="T95" s="3317"/>
      <c r="V95" s="253" t="s">
        <v>2441</v>
      </c>
      <c r="X95" s="253"/>
      <c r="AZ95" s="1655"/>
      <c r="BA95" s="1618">
        <v>95</v>
      </c>
    </row>
    <row r="96" spans="1:53" s="144" customFormat="1" ht="11.25" customHeight="1">
      <c r="B96" s="243" t="s">
        <v>676</v>
      </c>
      <c r="J96" s="283"/>
      <c r="K96" s="283"/>
      <c r="M96" s="283"/>
      <c r="N96" s="283"/>
      <c r="O96" s="282" t="str">
        <f>B96</f>
        <v>PERMANENT FINANCING FEES</v>
      </c>
      <c r="P96" s="283"/>
      <c r="Q96" s="283"/>
      <c r="S96" s="283"/>
      <c r="T96" s="283"/>
      <c r="V96" s="839"/>
      <c r="W96" s="144" t="str">
        <f>B96</f>
        <v>PERMANENT FINANCING FEES</v>
      </c>
      <c r="AZ96" s="1655" t="s">
        <v>4283</v>
      </c>
      <c r="BA96" s="1618">
        <v>96</v>
      </c>
    </row>
    <row r="97" spans="1:53" s="144" customFormat="1" ht="12" customHeight="1">
      <c r="B97" s="144" t="s">
        <v>1196</v>
      </c>
      <c r="G97" s="3183"/>
      <c r="H97" s="3184"/>
      <c r="J97" s="3357"/>
      <c r="K97" s="3357"/>
      <c r="L97" s="815"/>
      <c r="M97" s="3357"/>
      <c r="N97" s="3357"/>
      <c r="P97" s="3357"/>
      <c r="Q97" s="3357"/>
      <c r="S97" s="3183"/>
      <c r="T97" s="3184"/>
      <c r="V97" s="836"/>
      <c r="W97" s="3235"/>
      <c r="X97" s="3236"/>
      <c r="AZ97" s="1655" t="s">
        <v>4284</v>
      </c>
      <c r="BA97" s="1618">
        <v>97</v>
      </c>
    </row>
    <row r="98" spans="1:53" s="144" customFormat="1" ht="12" customHeight="1">
      <c r="B98" s="144" t="s">
        <v>1197</v>
      </c>
      <c r="G98" s="3163"/>
      <c r="H98" s="3164"/>
      <c r="J98" s="3357"/>
      <c r="K98" s="3357"/>
      <c r="L98" s="815"/>
      <c r="M98" s="3357"/>
      <c r="N98" s="3357"/>
      <c r="P98" s="3357"/>
      <c r="Q98" s="3357"/>
      <c r="S98" s="3163"/>
      <c r="T98" s="3164"/>
      <c r="V98" s="836"/>
      <c r="W98" s="3235"/>
      <c r="X98" s="3236"/>
      <c r="AZ98" s="1655"/>
      <c r="BA98" s="1618">
        <v>98</v>
      </c>
    </row>
    <row r="99" spans="1:53" s="144" customFormat="1" ht="12" customHeight="1">
      <c r="B99" s="144" t="s">
        <v>1198</v>
      </c>
      <c r="G99" s="3163"/>
      <c r="H99" s="3164"/>
      <c r="J99" s="3357"/>
      <c r="K99" s="3357"/>
      <c r="L99" s="815"/>
      <c r="M99" s="3357"/>
      <c r="N99" s="3357"/>
      <c r="P99" s="3357"/>
      <c r="Q99" s="3357"/>
      <c r="S99" s="3163"/>
      <c r="T99" s="3164"/>
      <c r="V99" s="836"/>
      <c r="W99" s="3235"/>
      <c r="X99" s="3236"/>
      <c r="AZ99" s="1655"/>
      <c r="BA99" s="1618">
        <v>99</v>
      </c>
    </row>
    <row r="100" spans="1:53" s="144" customFormat="1" ht="12" customHeight="1">
      <c r="B100" s="144" t="s">
        <v>1200</v>
      </c>
      <c r="G100" s="3163"/>
      <c r="H100" s="3164"/>
      <c r="J100" s="3357"/>
      <c r="K100" s="3357"/>
      <c r="L100" s="815"/>
      <c r="M100" s="3357"/>
      <c r="N100" s="3357"/>
      <c r="P100" s="3357"/>
      <c r="Q100" s="3357"/>
      <c r="S100" s="3163"/>
      <c r="T100" s="3164"/>
      <c r="V100" s="836"/>
      <c r="W100" s="3235"/>
      <c r="X100" s="3236"/>
      <c r="AZ100" s="1655"/>
      <c r="BA100" s="1618">
        <v>100</v>
      </c>
    </row>
    <row r="101" spans="1:53" s="144" customFormat="1" ht="12" customHeight="1">
      <c r="B101" s="144" t="s">
        <v>2115</v>
      </c>
      <c r="G101" s="3163"/>
      <c r="H101" s="3164"/>
      <c r="J101" s="3357"/>
      <c r="K101" s="3357"/>
      <c r="L101" s="815"/>
      <c r="M101" s="3357"/>
      <c r="N101" s="3357"/>
      <c r="P101" s="3357"/>
      <c r="Q101" s="3357"/>
      <c r="S101" s="3163"/>
      <c r="T101" s="3164"/>
      <c r="V101" s="836"/>
      <c r="W101" s="3235"/>
      <c r="X101" s="3236"/>
      <c r="AZ101" s="1655"/>
      <c r="BA101" s="1618">
        <v>101</v>
      </c>
    </row>
    <row r="102" spans="1:53" s="144" customFormat="1" ht="12" customHeight="1" thickBot="1">
      <c r="A102" s="303" t="str">
        <f>IF(AND(G102&gt;0,OR(C102="",C102="&lt;Enter detailed description here; use Comments section if needed&gt;")),"X","")</f>
        <v/>
      </c>
      <c r="B102" s="147" t="s">
        <v>4181</v>
      </c>
      <c r="C102" s="3325" t="s">
        <v>4620</v>
      </c>
      <c r="D102" s="3325"/>
      <c r="E102" s="3325"/>
      <c r="F102" s="3326"/>
      <c r="G102" s="3155"/>
      <c r="H102" s="3156"/>
      <c r="J102" s="3357"/>
      <c r="K102" s="3357"/>
      <c r="L102" s="815"/>
      <c r="M102" s="3357"/>
      <c r="N102" s="3357"/>
      <c r="P102" s="3357"/>
      <c r="Q102" s="3357"/>
      <c r="S102" s="3155"/>
      <c r="T102" s="3156"/>
      <c r="U102" s="302" t="str">
        <f>IF(AND(G102&gt;0,OR(C102="",C102="&lt;Enter detailed description here; use Comments section if needed&gt;")),"NO DESCRIPTION PROVIDED - please enter detailed description in Other box at left; use Comments section below if needed.","")</f>
        <v/>
      </c>
      <c r="V102" s="836"/>
      <c r="W102" s="3286"/>
      <c r="X102" s="3287"/>
      <c r="AZ102" s="1655"/>
      <c r="BA102" s="1618">
        <v>102</v>
      </c>
    </row>
    <row r="103" spans="1:53" s="144" customFormat="1" ht="12" customHeight="1" thickTop="1">
      <c r="F103" s="281" t="s">
        <v>184</v>
      </c>
      <c r="G103" s="3323">
        <f>SUM(G97:G102)</f>
        <v>0</v>
      </c>
      <c r="H103" s="3324"/>
      <c r="J103" s="3357"/>
      <c r="K103" s="3357"/>
      <c r="L103" s="283"/>
      <c r="M103" s="3357"/>
      <c r="N103" s="3357"/>
      <c r="P103" s="3357"/>
      <c r="Q103" s="3357"/>
      <c r="S103" s="3323">
        <f>SUM(S97:S102)</f>
        <v>0</v>
      </c>
      <c r="T103" s="3324"/>
      <c r="V103" s="838">
        <f>SUM(V97:V102)</f>
        <v>0</v>
      </c>
      <c r="W103" s="3307"/>
      <c r="X103" s="3308"/>
      <c r="AZ103" s="1655"/>
      <c r="BA103" s="1618">
        <v>103</v>
      </c>
    </row>
    <row r="104" spans="1:53" s="144" customFormat="1" ht="11.25" customHeight="1">
      <c r="B104" s="243" t="s">
        <v>677</v>
      </c>
      <c r="J104" s="283"/>
      <c r="K104" s="283"/>
      <c r="M104" s="283"/>
      <c r="N104" s="283"/>
      <c r="O104" s="282" t="str">
        <f>B104</f>
        <v>DCA-RELATED COSTS</v>
      </c>
      <c r="P104" s="283"/>
      <c r="Q104" s="283"/>
      <c r="S104" s="283"/>
      <c r="T104" s="283"/>
      <c r="V104" s="839"/>
      <c r="W104" s="144" t="str">
        <f>B104</f>
        <v>DCA-RELATED COSTS</v>
      </c>
      <c r="AA104" s="147" t="s">
        <v>3805</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5" customHeight="1">
      <c r="B105" s="144" t="s">
        <v>5014</v>
      </c>
      <c r="G105" s="3183"/>
      <c r="H105" s="3184"/>
      <c r="J105" s="283"/>
      <c r="K105" s="283"/>
      <c r="L105" s="815"/>
      <c r="M105" s="283"/>
      <c r="N105" s="283"/>
      <c r="P105" s="283"/>
      <c r="Q105" s="283"/>
      <c r="S105" s="3183"/>
      <c r="T105" s="3184"/>
      <c r="V105" s="836"/>
      <c r="W105" s="3235"/>
      <c r="X105" s="3236"/>
      <c r="Y105" s="3367" t="s">
        <v>4602</v>
      </c>
      <c r="AA105" s="236" t="s">
        <v>4545</v>
      </c>
      <c r="AB105" s="147"/>
      <c r="AC105" s="147"/>
      <c r="AD105" s="1839" t="str">
        <f>'Part V-Revenues &amp; Expenses'!$O$53</f>
        <v>&lt;&lt; Select LIHTC Election &gt;&gt;</v>
      </c>
      <c r="AE105" s="1838"/>
      <c r="AF105" s="1838"/>
      <c r="AZ105" s="1655"/>
      <c r="BA105" s="1618">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3163"/>
      <c r="H106" s="3164"/>
      <c r="J106" s="283"/>
      <c r="K106" s="283"/>
      <c r="L106" s="290"/>
      <c r="M106" s="283"/>
      <c r="N106" s="283"/>
      <c r="P106" s="283"/>
      <c r="Q106" s="283"/>
      <c r="S106" s="3163"/>
      <c r="T106" s="3164"/>
      <c r="V106" s="836"/>
      <c r="W106" s="3235"/>
      <c r="X106" s="3236"/>
      <c r="Y106" s="3367"/>
      <c r="AA106" s="1841" t="s">
        <v>3068</v>
      </c>
      <c r="AB106" s="1841"/>
      <c r="AC106" s="1841"/>
      <c r="AD106" s="1842">
        <f>'Part V-Revenues &amp; Expenses'!$P$67</f>
        <v>0</v>
      </c>
      <c r="AZ106" s="1655" t="s">
        <v>4285</v>
      </c>
      <c r="BA106" s="1618">
        <v>106</v>
      </c>
    </row>
    <row r="107" spans="1:53" s="144" customFormat="1" ht="12.65" customHeight="1">
      <c r="B107" s="144" t="s">
        <v>5015</v>
      </c>
      <c r="G107" s="3163"/>
      <c r="H107" s="3164"/>
      <c r="J107" s="283"/>
      <c r="K107" s="283"/>
      <c r="L107" s="290"/>
      <c r="M107" s="283"/>
      <c r="N107" s="283"/>
      <c r="P107" s="283"/>
      <c r="Q107" s="283"/>
      <c r="S107" s="3163"/>
      <c r="T107" s="3164"/>
      <c r="V107" s="836"/>
      <c r="W107" s="3235"/>
      <c r="X107" s="3236"/>
      <c r="Y107" s="3367"/>
      <c r="Z107" s="301"/>
      <c r="AA107" s="225" t="s">
        <v>4607</v>
      </c>
      <c r="AB107" s="147"/>
      <c r="AC107" s="147"/>
      <c r="AD107" s="147"/>
      <c r="AF107" s="1846" t="s">
        <v>4608</v>
      </c>
      <c r="AZ107" s="1655" t="s">
        <v>4286</v>
      </c>
      <c r="BA107" s="1618">
        <v>107</v>
      </c>
    </row>
    <row r="108" spans="1:53" s="144" customFormat="1" ht="12.65" customHeight="1">
      <c r="B108" s="144" t="s">
        <v>485</v>
      </c>
      <c r="E108" s="3362">
        <f>ROUNDUP('DCA Underwriting Assumptions'!$Q$70*J191,0)</f>
        <v>0</v>
      </c>
      <c r="F108" s="3363"/>
      <c r="G108" s="3163"/>
      <c r="H108" s="3164"/>
      <c r="J108" s="751" t="str">
        <f>IF(E108&gt;G108,"WARNING!  LIHTC Allocation Fee proposed is below minimum required.","")</f>
        <v/>
      </c>
      <c r="K108" s="283"/>
      <c r="L108" s="815"/>
      <c r="M108" s="283"/>
      <c r="N108" s="283"/>
      <c r="P108" s="283"/>
      <c r="Q108" s="283"/>
      <c r="S108" s="3163"/>
      <c r="T108" s="3164"/>
      <c r="V108" s="836"/>
      <c r="W108" s="3235"/>
      <c r="X108" s="3236"/>
      <c r="Y108" s="3367"/>
      <c r="Z108" s="301"/>
      <c r="AA108" s="147" t="s">
        <v>4603</v>
      </c>
      <c r="AB108" s="147"/>
      <c r="AC108" s="147"/>
      <c r="AD108" s="234">
        <f>'Part V-Revenues &amp; Expenses'!P140+'Part V-Revenues &amp; Expenses'!P141</f>
        <v>0</v>
      </c>
      <c r="AF108" s="1844">
        <f>AD108*'DCA Underwriting Assumptions'!$Q$77</f>
        <v>0</v>
      </c>
      <c r="AZ108" s="1655" t="s">
        <v>4287</v>
      </c>
      <c r="BA108" s="1618">
        <v>108</v>
      </c>
    </row>
    <row r="109" spans="1:53" s="144" customFormat="1" ht="12.65" customHeight="1">
      <c r="B109" s="144" t="s">
        <v>701</v>
      </c>
      <c r="E109" s="3362">
        <f>AF111+AF115</f>
        <v>0</v>
      </c>
      <c r="F109" s="3363"/>
      <c r="G109" s="3163"/>
      <c r="H109" s="3164"/>
      <c r="I109" s="3364" t="str">
        <f>IF(E109&gt;G109,"WARNING!  LIHTC Compliance Fee proposed is below minimum required.","")</f>
        <v/>
      </c>
      <c r="J109" s="3365"/>
      <c r="K109" s="3365"/>
      <c r="L109" s="3365"/>
      <c r="M109" s="3365"/>
      <c r="N109" s="3365"/>
      <c r="O109" s="3365"/>
      <c r="P109" s="3365"/>
      <c r="Q109" s="3365"/>
      <c r="R109" s="3366"/>
      <c r="S109" s="3163"/>
      <c r="T109" s="3164"/>
      <c r="V109" s="836"/>
      <c r="W109" s="3235"/>
      <c r="X109" s="3236"/>
      <c r="Y109" s="3367"/>
      <c r="Z109" s="301"/>
      <c r="AA109" s="147" t="s">
        <v>4189</v>
      </c>
      <c r="AB109" s="147"/>
      <c r="AC109" s="147"/>
      <c r="AD109" s="234">
        <f>'Part V-Revenues &amp; Expenses'!$P$144+'Part V-Revenues &amp; Expenses'!$P$145</f>
        <v>0</v>
      </c>
      <c r="AF109" s="1844">
        <f>AD109*'DCA Underwriting Assumptions'!$Q$77</f>
        <v>0</v>
      </c>
      <c r="AZ109" s="1655"/>
      <c r="BA109" s="1618">
        <v>109</v>
      </c>
    </row>
    <row r="110" spans="1:53" s="144" customFormat="1" ht="12.65" customHeight="1">
      <c r="B110" s="144" t="s">
        <v>3364</v>
      </c>
      <c r="F110" s="956"/>
      <c r="G110" s="3163"/>
      <c r="H110" s="3164"/>
      <c r="I110" s="3364"/>
      <c r="J110" s="3365"/>
      <c r="K110" s="3365"/>
      <c r="L110" s="3365"/>
      <c r="M110" s="3365"/>
      <c r="N110" s="3365"/>
      <c r="O110" s="3365"/>
      <c r="P110" s="3365"/>
      <c r="Q110" s="3365"/>
      <c r="R110" s="3366"/>
      <c r="S110" s="3163"/>
      <c r="T110" s="3164"/>
      <c r="V110" s="836"/>
      <c r="W110" s="3235"/>
      <c r="X110" s="3236"/>
      <c r="Y110" s="3367"/>
      <c r="AA110" s="147" t="s">
        <v>4604</v>
      </c>
      <c r="AB110" s="147"/>
      <c r="AC110" s="147"/>
      <c r="AD110" s="234">
        <f>'Part V-Revenues &amp; Expenses'!$P$146+'Part V-Revenues &amp; Expenses'!$P$147</f>
        <v>0</v>
      </c>
      <c r="AF110" s="1844">
        <f>AD110*'DCA Underwriting Assumptions'!$Q$77</f>
        <v>0</v>
      </c>
      <c r="AZ110" s="1655"/>
      <c r="BA110" s="1618">
        <v>110</v>
      </c>
    </row>
    <row r="111" spans="1:53" s="144" customFormat="1" ht="12.65" customHeight="1">
      <c r="B111" s="144" t="s">
        <v>4745</v>
      </c>
      <c r="F111" s="956">
        <f>ROUNDUP('DCA Underwriting Assumptions'!$Q$73,0)</f>
        <v>8000</v>
      </c>
      <c r="G111" s="3163"/>
      <c r="H111" s="3164"/>
      <c r="J111" s="145"/>
      <c r="K111" s="145"/>
      <c r="L111" s="145"/>
      <c r="M111" s="145"/>
      <c r="N111" s="145"/>
      <c r="O111" s="145"/>
      <c r="P111" s="145"/>
      <c r="Q111" s="145"/>
      <c r="S111" s="3163"/>
      <c r="T111" s="3164"/>
      <c r="V111" s="836"/>
      <c r="W111" s="3235"/>
      <c r="X111" s="3236"/>
      <c r="AA111" s="147"/>
      <c r="AB111" s="1460" t="s">
        <v>4605</v>
      </c>
      <c r="AC111" s="147"/>
      <c r="AD111" s="1843">
        <f>SUM(AD108:AD110)</f>
        <v>0</v>
      </c>
      <c r="AF111" s="1845">
        <f>SUM(AF108:AF110)</f>
        <v>0</v>
      </c>
      <c r="AZ111" s="1655"/>
      <c r="BA111" s="1618">
        <v>111</v>
      </c>
    </row>
    <row r="112" spans="1:53" s="144" customFormat="1" ht="12.65" customHeight="1">
      <c r="A112" s="303" t="str">
        <f>IF(AND(G112&gt;0,OR(C112="",C112="&lt;Enter detailed description here; use Comments section if needed&gt;")),"X","")</f>
        <v/>
      </c>
      <c r="B112" s="147" t="s">
        <v>4177</v>
      </c>
      <c r="C112" s="3360" t="s">
        <v>4620</v>
      </c>
      <c r="D112" s="3360"/>
      <c r="E112" s="3360"/>
      <c r="F112" s="3361"/>
      <c r="G112" s="3163"/>
      <c r="H112" s="3164"/>
      <c r="J112" s="145"/>
      <c r="K112" s="145"/>
      <c r="L112" s="145"/>
      <c r="M112" s="145"/>
      <c r="N112" s="145"/>
      <c r="O112" s="145"/>
      <c r="P112" s="145"/>
      <c r="Q112" s="145"/>
      <c r="S112" s="3163"/>
      <c r="T112" s="3164"/>
      <c r="U112" s="302" t="str">
        <f>IF(AND(G112&gt;0,OR(C112="",C112="&lt;Enter detailed description here; use Comments section if needed&gt;")),"NO DESCRIPTION PROVIDED - please enter detailed description in Other box at left; use Comments section below if needed.","")</f>
        <v/>
      </c>
      <c r="V112" s="836"/>
      <c r="W112" s="3235"/>
      <c r="X112" s="3236"/>
      <c r="AA112" s="225" t="s">
        <v>4606</v>
      </c>
      <c r="AB112" s="147"/>
      <c r="AC112" s="231"/>
      <c r="AD112" s="147"/>
      <c r="AF112" s="1844"/>
      <c r="AZ112" s="1655"/>
      <c r="BA112" s="1618">
        <v>112</v>
      </c>
    </row>
    <row r="113" spans="1:53" s="144" customFormat="1" ht="12.65" customHeight="1" thickBot="1">
      <c r="A113" s="303" t="str">
        <f>IF(AND(G113&gt;0,OR(C113="",C113="&lt;Enter detailed description here; use Comments section if needed&gt;")),"X","")</f>
        <v/>
      </c>
      <c r="B113" s="147" t="s">
        <v>4177</v>
      </c>
      <c r="C113" s="3358" t="s">
        <v>4620</v>
      </c>
      <c r="D113" s="3358"/>
      <c r="E113" s="3358"/>
      <c r="F113" s="3359"/>
      <c r="G113" s="3155"/>
      <c r="H113" s="3156"/>
      <c r="J113" s="145"/>
      <c r="K113" s="145"/>
      <c r="L113" s="145"/>
      <c r="M113" s="145"/>
      <c r="N113" s="145"/>
      <c r="O113" s="145"/>
      <c r="P113" s="145"/>
      <c r="Q113" s="145"/>
      <c r="S113" s="3155"/>
      <c r="T113" s="3156"/>
      <c r="U113" s="302" t="str">
        <f>IF(AND(G113&gt;0,OR(C113="",C113="&lt;Enter detailed description here; use Comments section if needed&gt;")),"NO DESCRIPTION PROVIDED - please enter detailed description in Other box at left; use Comments section below if needed.","")</f>
        <v/>
      </c>
      <c r="V113" s="836"/>
      <c r="W113" s="3286"/>
      <c r="X113" s="3287"/>
      <c r="AA113" s="147" t="s">
        <v>36</v>
      </c>
      <c r="AB113" s="147"/>
      <c r="AC113" s="231"/>
      <c r="AD113" s="234">
        <f>'Part V-Revenues &amp; Expenses'!$P$131</f>
        <v>0</v>
      </c>
      <c r="AF113" s="1844">
        <f>IF($AD$105="Income Averaging",AD113*'DCA Underwriting Assumptions'!$Q$75,AD113*'DCA Underwriting Assumptions'!$Q$74)</f>
        <v>0</v>
      </c>
      <c r="AZ113" s="1655" t="s">
        <v>4288</v>
      </c>
      <c r="BA113" s="1618">
        <v>113</v>
      </c>
    </row>
    <row r="114" spans="1:53" s="144" customFormat="1" ht="12.65" customHeight="1" thickTop="1">
      <c r="F114" s="281" t="s">
        <v>184</v>
      </c>
      <c r="G114" s="3323">
        <f>SUM(G105:G113)</f>
        <v>0</v>
      </c>
      <c r="H114" s="3324"/>
      <c r="J114" s="283"/>
      <c r="K114" s="283"/>
      <c r="L114" s="815"/>
      <c r="M114" s="283"/>
      <c r="N114" s="283"/>
      <c r="P114" s="283"/>
      <c r="Q114" s="283"/>
      <c r="S114" s="3323">
        <f>SUM(S105:S113)</f>
        <v>0</v>
      </c>
      <c r="T114" s="3324"/>
      <c r="V114" s="838">
        <f>SUM(V105:V113)</f>
        <v>0</v>
      </c>
      <c r="W114" s="3275"/>
      <c r="X114" s="3276"/>
      <c r="AA114" s="147" t="s">
        <v>4383</v>
      </c>
      <c r="AB114" s="147"/>
      <c r="AC114" s="241"/>
      <c r="AD114" s="234">
        <f>'Part V-Revenues &amp; Expenses'!$P$142+'Part V-Revenues &amp; Expenses'!$P$143</f>
        <v>0</v>
      </c>
      <c r="AF114" s="1844">
        <f>IF($AD$105="Income Averaging",AD114*'DCA Underwriting Assumptions'!$Q$75,AD114*'DCA Underwriting Assumptions'!$Q$74)</f>
        <v>0</v>
      </c>
      <c r="AZ114" s="1655" t="s">
        <v>4289</v>
      </c>
      <c r="BA114" s="1618">
        <v>114</v>
      </c>
    </row>
    <row r="115" spans="1:53" s="144" customFormat="1" ht="11.25" customHeight="1">
      <c r="B115" s="243" t="s">
        <v>2116</v>
      </c>
      <c r="J115" s="283"/>
      <c r="K115" s="283"/>
      <c r="M115" s="283"/>
      <c r="N115" s="283"/>
      <c r="O115" s="282" t="str">
        <f>B115</f>
        <v>EQUITY COSTS</v>
      </c>
      <c r="P115" s="283"/>
      <c r="Q115" s="283"/>
      <c r="S115" s="283"/>
      <c r="T115" s="283"/>
      <c r="V115" s="839"/>
      <c r="W115" s="144" t="str">
        <f>B115</f>
        <v>EQUITY COSTS</v>
      </c>
      <c r="AA115" s="147"/>
      <c r="AB115" s="1460" t="s">
        <v>4605</v>
      </c>
      <c r="AC115" s="147"/>
      <c r="AD115" s="1843">
        <f>SUM(AD113:AD114)</f>
        <v>0</v>
      </c>
      <c r="AF115" s="1845">
        <f>SUM(AF113:AF114)</f>
        <v>0</v>
      </c>
      <c r="AZ115" s="1631"/>
      <c r="BA115" s="1618">
        <v>115</v>
      </c>
    </row>
    <row r="116" spans="1:53" s="144" customFormat="1" ht="12.65" customHeight="1">
      <c r="B116" s="144" t="s">
        <v>267</v>
      </c>
      <c r="G116" s="3183"/>
      <c r="H116" s="3184"/>
      <c r="J116" s="3357"/>
      <c r="K116" s="3357"/>
      <c r="L116" s="815"/>
      <c r="M116" s="3357"/>
      <c r="N116" s="3357"/>
      <c r="P116" s="3357"/>
      <c r="Q116" s="3357"/>
      <c r="S116" s="3183"/>
      <c r="T116" s="3184"/>
      <c r="V116" s="836"/>
      <c r="W116" s="3235"/>
      <c r="X116" s="3236"/>
      <c r="AZ116" s="1631"/>
      <c r="BA116" s="1618">
        <v>116</v>
      </c>
    </row>
    <row r="117" spans="1:53" s="144" customFormat="1" ht="12.65" customHeight="1">
      <c r="B117" s="144" t="s">
        <v>268</v>
      </c>
      <c r="G117" s="3163"/>
      <c r="H117" s="3164"/>
      <c r="J117" s="3357"/>
      <c r="K117" s="3357"/>
      <c r="L117" s="815"/>
      <c r="M117" s="3357"/>
      <c r="N117" s="3357"/>
      <c r="P117" s="3357"/>
      <c r="Q117" s="3357"/>
      <c r="S117" s="3163"/>
      <c r="T117" s="3164"/>
      <c r="V117" s="836"/>
      <c r="W117" s="3235"/>
      <c r="X117" s="3236"/>
      <c r="AZ117" s="1631"/>
      <c r="BA117" s="1618">
        <v>117</v>
      </c>
    </row>
    <row r="118" spans="1:53" s="144" customFormat="1" ht="12.65" customHeight="1">
      <c r="B118" s="144" t="s">
        <v>2194</v>
      </c>
      <c r="G118" s="3163"/>
      <c r="H118" s="3164"/>
      <c r="J118" s="3357"/>
      <c r="K118" s="3357"/>
      <c r="L118" s="815"/>
      <c r="M118" s="3357"/>
      <c r="N118" s="3357"/>
      <c r="P118" s="3357"/>
      <c r="Q118" s="3357"/>
      <c r="S118" s="3163"/>
      <c r="T118" s="3164"/>
      <c r="V118" s="836"/>
      <c r="W118" s="3235"/>
      <c r="X118" s="3236"/>
      <c r="AZ118" s="1631"/>
      <c r="BA118" s="1618">
        <v>118</v>
      </c>
    </row>
    <row r="119" spans="1:53" s="144" customFormat="1" ht="12.65" customHeight="1" thickBot="1">
      <c r="A119" s="303" t="str">
        <f>IF(AND(G119&gt;0,OR(C119="",C119="&lt;Enter detailed description here; use Comments section if needed&gt;")),"X","")</f>
        <v/>
      </c>
      <c r="B119" s="147" t="s">
        <v>4177</v>
      </c>
      <c r="C119" s="3325" t="s">
        <v>4620</v>
      </c>
      <c r="D119" s="3325"/>
      <c r="E119" s="3325"/>
      <c r="F119" s="3326"/>
      <c r="G119" s="3155"/>
      <c r="H119" s="3156"/>
      <c r="J119" s="3357"/>
      <c r="K119" s="3357"/>
      <c r="L119" s="815"/>
      <c r="M119" s="3357"/>
      <c r="N119" s="3357"/>
      <c r="P119" s="3357"/>
      <c r="Q119" s="3357"/>
      <c r="S119" s="3155"/>
      <c r="T119" s="3156"/>
      <c r="U119" s="302" t="str">
        <f>IF(AND(G119&gt;0,OR(C119="",C119="&lt;Enter detailed description here; use Comments section if needed&gt;")),"NO DESCRIPTION PROVIDED - please enter detailed description in Other box at left; use Comments section below if needed.","")</f>
        <v/>
      </c>
      <c r="V119" s="836"/>
      <c r="W119" s="3286"/>
      <c r="X119" s="3287"/>
      <c r="AZ119" s="1631"/>
      <c r="BA119" s="1618">
        <v>119</v>
      </c>
    </row>
    <row r="120" spans="1:53" s="144" customFormat="1" ht="12.65" customHeight="1" thickTop="1">
      <c r="F120" s="281" t="s">
        <v>184</v>
      </c>
      <c r="G120" s="3323">
        <f>SUM(G116:G119)</f>
        <v>0</v>
      </c>
      <c r="H120" s="3324"/>
      <c r="J120" s="3357"/>
      <c r="K120" s="3357"/>
      <c r="L120" s="815"/>
      <c r="M120" s="3357"/>
      <c r="N120" s="3357"/>
      <c r="P120" s="3357"/>
      <c r="Q120" s="3357"/>
      <c r="S120" s="3323">
        <f>SUM(S116:S119)</f>
        <v>0</v>
      </c>
      <c r="T120" s="3324"/>
      <c r="V120" s="838">
        <f>SUM(V116:V119)</f>
        <v>0</v>
      </c>
      <c r="W120" s="3307"/>
      <c r="X120" s="3308"/>
      <c r="AC120" s="3351" t="s">
        <v>3802</v>
      </c>
      <c r="AD120" s="3351" t="s">
        <v>3803</v>
      </c>
      <c r="AE120" s="3353" t="s">
        <v>3806</v>
      </c>
      <c r="AF120" s="3354" t="s">
        <v>3804</v>
      </c>
      <c r="AG120" s="3353" t="s">
        <v>3795</v>
      </c>
      <c r="AH120" s="3356" t="s">
        <v>4640</v>
      </c>
      <c r="AI120" s="3356"/>
      <c r="AZ120" s="1631"/>
      <c r="BA120" s="1618">
        <v>120</v>
      </c>
    </row>
    <row r="121" spans="1:53" s="144" customFormat="1" ht="11.25" customHeight="1">
      <c r="B121" s="243" t="s">
        <v>269</v>
      </c>
      <c r="E121" s="484" t="s">
        <v>3805</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283"/>
      <c r="K121" s="280"/>
      <c r="M121" s="283"/>
      <c r="N121" s="280"/>
      <c r="O121" s="282" t="str">
        <f>B121</f>
        <v>DEVELOPER'S FEE</v>
      </c>
      <c r="P121" s="283"/>
      <c r="Q121" s="280"/>
      <c r="S121" s="283"/>
      <c r="T121" s="280"/>
      <c r="V121" s="839"/>
      <c r="W121" s="144" t="str">
        <f>B121</f>
        <v>DEVELOPER'S FEE</v>
      </c>
      <c r="Y121" s="1231" t="s">
        <v>3793</v>
      </c>
      <c r="Z121" s="236"/>
      <c r="AA121" s="231" t="s">
        <v>3799</v>
      </c>
      <c r="AB121" s="231" t="s">
        <v>3800</v>
      </c>
      <c r="AC121" s="3352"/>
      <c r="AD121" s="3352"/>
      <c r="AE121" s="3068"/>
      <c r="AF121" s="3355"/>
      <c r="AG121" s="3353"/>
      <c r="AH121" s="3356"/>
      <c r="AI121" s="3356"/>
      <c r="AK121" s="44"/>
      <c r="AZ121" s="1631" t="s">
        <v>4290</v>
      </c>
      <c r="BA121" s="1618">
        <v>121</v>
      </c>
    </row>
    <row r="122" spans="1:53" s="144" customFormat="1" ht="12.65" customHeight="1">
      <c r="B122" s="144" t="s">
        <v>1719</v>
      </c>
      <c r="F122" s="322">
        <f>IF($G$127=0,0,G122/$G$127)</f>
        <v>0</v>
      </c>
      <c r="G122" s="3348"/>
      <c r="H122" s="3348"/>
      <c r="J122" s="3349"/>
      <c r="K122" s="3350"/>
      <c r="L122" s="282"/>
      <c r="M122" s="3349"/>
      <c r="N122" s="3350"/>
      <c r="P122" s="3349"/>
      <c r="Q122" s="3350"/>
      <c r="S122" s="3349"/>
      <c r="T122" s="3350"/>
      <c r="V122" s="836"/>
      <c r="W122" s="3235"/>
      <c r="X122" s="3236"/>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0</v>
      </c>
      <c r="AF122" s="3336">
        <f>SUM(AE122:AE124)</f>
        <v>0</v>
      </c>
      <c r="AG122" s="3345">
        <f>'DCA Underwriting Assumptions'!$Q$89</f>
        <v>2285000</v>
      </c>
      <c r="AH122" s="3339">
        <f>MIN(AF122,AG122)</f>
        <v>0</v>
      </c>
      <c r="AI122" s="3340"/>
      <c r="AZ122" s="1631"/>
      <c r="BA122" s="1618">
        <v>122</v>
      </c>
    </row>
    <row r="123" spans="1:53" s="144" customFormat="1" ht="12.65" customHeight="1">
      <c r="B123" s="144" t="s">
        <v>3326</v>
      </c>
      <c r="F123" s="936"/>
      <c r="G123" s="241" t="s">
        <v>4621</v>
      </c>
      <c r="V123" s="836"/>
      <c r="W123" s="3235"/>
      <c r="X123" s="3236"/>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7"/>
      <c r="AG123" s="3346"/>
      <c r="AH123" s="3341"/>
      <c r="AI123" s="3342"/>
      <c r="AZ123" s="1631"/>
      <c r="BA123" s="1618">
        <v>123</v>
      </c>
    </row>
    <row r="124" spans="1:53" s="144" customFormat="1" ht="12.65" customHeight="1">
      <c r="B124" s="144" t="s">
        <v>1720</v>
      </c>
      <c r="F124" s="322">
        <f>IF($G$127=0,0,G124/$G$127)</f>
        <v>0</v>
      </c>
      <c r="G124" s="3183"/>
      <c r="H124" s="3184"/>
      <c r="J124" s="3183"/>
      <c r="K124" s="3184"/>
      <c r="L124" s="815"/>
      <c r="M124" s="3183"/>
      <c r="N124" s="3184"/>
      <c r="P124" s="3183"/>
      <c r="Q124" s="3184"/>
      <c r="S124" s="3183"/>
      <c r="T124" s="3184"/>
      <c r="V124" s="836"/>
      <c r="W124" s="3235"/>
      <c r="X124" s="3236"/>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8"/>
      <c r="AG124" s="3347"/>
      <c r="AH124" s="3343"/>
      <c r="AI124" s="3344"/>
      <c r="AZ124" s="1631"/>
      <c r="BA124" s="1618">
        <v>124</v>
      </c>
    </row>
    <row r="125" spans="1:53" s="144" customFormat="1" ht="12.65" customHeight="1">
      <c r="B125" s="144" t="s">
        <v>3080</v>
      </c>
      <c r="F125" s="322">
        <f>IF($G$127=0,0,G125/$G$127)</f>
        <v>0</v>
      </c>
      <c r="G125" s="3163"/>
      <c r="H125" s="3164"/>
      <c r="J125" s="3163"/>
      <c r="K125" s="3164"/>
      <c r="L125" s="815"/>
      <c r="M125" s="3163"/>
      <c r="N125" s="3164"/>
      <c r="P125" s="3163"/>
      <c r="Q125" s="3164"/>
      <c r="S125" s="3163"/>
      <c r="T125" s="3164"/>
      <c r="V125" s="836"/>
      <c r="W125" s="3235"/>
      <c r="X125" s="3236"/>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0</v>
      </c>
      <c r="AF125" s="3336">
        <f>SUM(AE125:AE127)</f>
        <v>0</v>
      </c>
      <c r="AG125" s="3336">
        <f>'DCA Underwriting Assumptions'!$Q$90</f>
        <v>4000000</v>
      </c>
      <c r="AH125" s="3339">
        <f>MIN(AF125,AG125)</f>
        <v>0</v>
      </c>
      <c r="AI125" s="3340"/>
      <c r="AZ125" s="1631"/>
      <c r="BA125" s="1618">
        <v>125</v>
      </c>
    </row>
    <row r="126" spans="1:53" s="144" customFormat="1" ht="12.65" customHeight="1" thickBot="1">
      <c r="B126" s="144" t="s">
        <v>1712</v>
      </c>
      <c r="F126" s="322">
        <f>IF($G$127=0,0,G126/$G$127)</f>
        <v>0</v>
      </c>
      <c r="G126" s="3155"/>
      <c r="H126" s="3156"/>
      <c r="J126" s="3155"/>
      <c r="K126" s="3156"/>
      <c r="L126" s="815"/>
      <c r="M126" s="3155"/>
      <c r="N126" s="3156"/>
      <c r="P126" s="3155"/>
      <c r="Q126" s="3156"/>
      <c r="S126" s="3155"/>
      <c r="T126" s="3156"/>
      <c r="V126" s="836"/>
      <c r="W126" s="3286"/>
      <c r="X126" s="328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7"/>
      <c r="AG126" s="3337"/>
      <c r="AH126" s="3341"/>
      <c r="AI126" s="3342"/>
      <c r="AZ126" s="1655"/>
      <c r="BA126" s="1618">
        <v>126</v>
      </c>
    </row>
    <row r="127" spans="1:53" s="144" customFormat="1" ht="12.65" customHeight="1" thickTop="1">
      <c r="A127" s="1247" t="str">
        <f>IF(G127&gt;E127,"DF over limit!  Round down/Enter nbr.","")</f>
        <v/>
      </c>
      <c r="B127" s="1863"/>
      <c r="D127" s="484" t="s">
        <v>3801</v>
      </c>
      <c r="E127" s="1864" t="str">
        <f>IF(AF122+AF125=0,"Fill in Rent Chart!",IF(F121="9%",AH122,IF(F121="4%",AH125,"Select App Type!")))</f>
        <v>Fill in Rent Chart!</v>
      </c>
      <c r="F127" s="281" t="s">
        <v>184</v>
      </c>
      <c r="G127" s="3323">
        <f>SUM(G122:G126)</f>
        <v>0</v>
      </c>
      <c r="H127" s="3335"/>
      <c r="J127" s="3323">
        <f>SUM(J122:J126)</f>
        <v>0</v>
      </c>
      <c r="K127" s="3335"/>
      <c r="L127" s="815"/>
      <c r="M127" s="3323">
        <f>SUM(M122:M126)</f>
        <v>0</v>
      </c>
      <c r="N127" s="3335"/>
      <c r="P127" s="3323">
        <f>SUM(P122:P126)</f>
        <v>0</v>
      </c>
      <c r="Q127" s="3335"/>
      <c r="S127" s="3323">
        <f>SUM(S122:S126)</f>
        <v>0</v>
      </c>
      <c r="T127" s="3335"/>
      <c r="V127" s="838">
        <f>SUM(V122:V126)</f>
        <v>0</v>
      </c>
      <c r="W127" s="3307"/>
      <c r="X127" s="3308"/>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8"/>
      <c r="AG127" s="3338"/>
      <c r="AH127" s="3343"/>
      <c r="AI127" s="3344"/>
      <c r="AZ127" s="1655"/>
      <c r="BA127" s="1618">
        <v>127</v>
      </c>
    </row>
    <row r="128" spans="1:53" s="144" customFormat="1" ht="11.2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4291</v>
      </c>
      <c r="BA128" s="1618">
        <v>128</v>
      </c>
    </row>
    <row r="129" spans="1:53" s="144" customFormat="1" ht="12.65" customHeight="1">
      <c r="B129" s="144" t="s">
        <v>241</v>
      </c>
      <c r="G129" s="3183"/>
      <c r="H129" s="3184"/>
      <c r="J129" s="291"/>
      <c r="K129" s="291"/>
      <c r="L129" s="291"/>
      <c r="M129" s="291"/>
      <c r="N129" s="291"/>
      <c r="P129" s="291"/>
      <c r="Q129" s="291"/>
      <c r="S129" s="3183"/>
      <c r="T129" s="3184"/>
      <c r="V129" s="836"/>
      <c r="W129" s="3235"/>
      <c r="X129" s="3236"/>
      <c r="Z129" s="1243"/>
      <c r="AB129" s="44"/>
      <c r="AC129"/>
      <c r="AD129"/>
      <c r="AF129"/>
      <c r="AG129"/>
      <c r="AH129"/>
      <c r="AI129"/>
      <c r="AJ129"/>
      <c r="AK129"/>
      <c r="AZ129" s="1655" t="s">
        <v>4292</v>
      </c>
      <c r="BA129" s="1618">
        <v>129</v>
      </c>
    </row>
    <row r="130" spans="1:53" s="144" customFormat="1" ht="12.65" customHeight="1">
      <c r="B130" s="144" t="s">
        <v>1434</v>
      </c>
      <c r="F130" s="364">
        <f>+'Part V-Revenues &amp; Expenses'!$Q$232*('DCA Underwriting Assumptions'!$Q$104/12)</f>
        <v>0</v>
      </c>
      <c r="G130" s="3163"/>
      <c r="H130" s="3164"/>
      <c r="J130" s="752" t="str">
        <f>IF(E130&gt;G130,"WARNING! Rent-Up Reserves proposed is below minimum - add comment.","")</f>
        <v/>
      </c>
      <c r="K130" s="752"/>
      <c r="L130" s="815"/>
      <c r="M130" s="737"/>
      <c r="N130" s="737"/>
      <c r="P130" s="737"/>
      <c r="Q130" s="737"/>
      <c r="S130" s="3163"/>
      <c r="T130" s="3164"/>
      <c r="V130" s="836"/>
      <c r="W130" s="3235"/>
      <c r="X130" s="3236"/>
      <c r="Y130"/>
      <c r="Z130" s="1244"/>
      <c r="AB130" s="236"/>
      <c r="AD130"/>
      <c r="AG130"/>
      <c r="AH130"/>
      <c r="AI130"/>
      <c r="AZ130" s="1655"/>
      <c r="BA130" s="1618">
        <v>130</v>
      </c>
    </row>
    <row r="131" spans="1:53" s="144" customFormat="1" ht="12" customHeight="1">
      <c r="B131" s="144" t="s">
        <v>631</v>
      </c>
      <c r="F131" s="364">
        <f>'Part V-Revenues &amp; Expenses'!$Q$232*('DCA Underwriting Assumptions'!$Q$103/12)+('Part VI-Pro Forma'!$B$26+'Part VI-Pro Forma'!$B$27+'Part VI-Pro Forma'!$B$28+'Part VI-Pro Forma'!$B$29)*'DCA Underwriting Assumptions'!$Q$102/(-12)</f>
        <v>0</v>
      </c>
      <c r="G131" s="3163"/>
      <c r="H131" s="3164"/>
      <c r="J131" s="752" t="str">
        <f>IF(E131&gt;G131,"WARNING! ODR proposed is below minimum - add comment.","")</f>
        <v/>
      </c>
      <c r="K131" s="290"/>
      <c r="L131" s="290"/>
      <c r="M131" s="290"/>
      <c r="N131" s="290"/>
      <c r="P131" s="290"/>
      <c r="Q131" s="290"/>
      <c r="S131" s="3163"/>
      <c r="T131" s="3164"/>
      <c r="V131" s="836"/>
      <c r="W131" s="3235"/>
      <c r="X131" s="3236"/>
      <c r="Y131"/>
      <c r="Z131" s="1244"/>
      <c r="AB131" s="236"/>
      <c r="AD131"/>
      <c r="AG131"/>
      <c r="AH131"/>
      <c r="AI131"/>
      <c r="AZ131" s="1655"/>
      <c r="BA131" s="1618">
        <v>131</v>
      </c>
    </row>
    <row r="132" spans="1:53" s="144" customFormat="1" ht="12.65" customHeight="1">
      <c r="B132" s="144" t="s">
        <v>1169</v>
      </c>
      <c r="G132" s="3163"/>
      <c r="H132" s="3164"/>
      <c r="J132" s="291"/>
      <c r="K132" s="291"/>
      <c r="L132" s="291"/>
      <c r="M132" s="291"/>
      <c r="N132" s="291"/>
      <c r="P132" s="291"/>
      <c r="Q132" s="291"/>
      <c r="S132" s="3163"/>
      <c r="T132" s="3164"/>
      <c r="V132" s="836"/>
      <c r="W132" s="3235"/>
      <c r="X132" s="3236"/>
      <c r="AZ132" s="1655" t="s">
        <v>4293</v>
      </c>
      <c r="BA132" s="1618">
        <v>132</v>
      </c>
    </row>
    <row r="133" spans="1:53" s="144" customFormat="1" ht="12.65" customHeight="1">
      <c r="B133" s="144" t="s">
        <v>1170</v>
      </c>
      <c r="E133" s="646" t="s">
        <v>3054</v>
      </c>
      <c r="F133" s="364">
        <f>IF('Part V-Revenues &amp; Expenses'!$P$67=0,0,G133/'Part V-Revenues &amp; Expenses'!$P$67)</f>
        <v>0</v>
      </c>
      <c r="G133" s="3163"/>
      <c r="H133" s="3164"/>
      <c r="J133" s="3183"/>
      <c r="K133" s="3184"/>
      <c r="L133" s="815"/>
      <c r="M133" s="3183"/>
      <c r="N133" s="3184"/>
      <c r="P133" s="3183"/>
      <c r="Q133" s="3184"/>
      <c r="S133" s="3163"/>
      <c r="T133" s="3164"/>
      <c r="V133" s="836"/>
      <c r="W133" s="3235"/>
      <c r="X133" s="3236"/>
      <c r="AZ133" s="1655" t="s">
        <v>4294</v>
      </c>
      <c r="BA133" s="1618">
        <v>133</v>
      </c>
    </row>
    <row r="134" spans="1:53" s="144" customFormat="1" ht="12.65" customHeight="1" thickBot="1">
      <c r="A134" s="303" t="str">
        <f>IF(AND(G134&gt;0,OR(C134="",C134="&lt;Enter detailed description here; use Comments section if needed&gt;")),"X","")</f>
        <v/>
      </c>
      <c r="B134" s="147" t="s">
        <v>4177</v>
      </c>
      <c r="C134" s="3325" t="s">
        <v>4620</v>
      </c>
      <c r="D134" s="3325"/>
      <c r="E134" s="3325"/>
      <c r="F134" s="3326"/>
      <c r="G134" s="3155"/>
      <c r="H134" s="3156"/>
      <c r="J134" s="3333"/>
      <c r="K134" s="3334"/>
      <c r="L134" s="815"/>
      <c r="M134" s="3155"/>
      <c r="N134" s="3156"/>
      <c r="P134" s="3155"/>
      <c r="Q134" s="3156"/>
      <c r="S134" s="3155"/>
      <c r="T134" s="3156"/>
      <c r="U134" s="302" t="str">
        <f>IF(AND(G134&gt;0,OR(C134="",C134="&lt;Enter detailed description here; use Comments section if needed&gt;")),"NO DESCRIPTION PROVIDED - please enter detailed description in Other box at left; use Comments section below if needed.","")</f>
        <v/>
      </c>
      <c r="V134" s="836"/>
      <c r="W134" s="3286"/>
      <c r="X134" s="3287"/>
      <c r="AZ134" s="1655"/>
      <c r="BA134" s="1618">
        <v>134</v>
      </c>
    </row>
    <row r="135" spans="1:53" s="144" customFormat="1" ht="12.65" customHeight="1" thickTop="1">
      <c r="B135" s="292"/>
      <c r="F135" s="281" t="s">
        <v>184</v>
      </c>
      <c r="G135" s="3323">
        <f>SUM(G129:G134)</f>
        <v>0</v>
      </c>
      <c r="H135" s="3324"/>
      <c r="J135" s="3323">
        <f>SUM(J133:J134)</f>
        <v>0</v>
      </c>
      <c r="K135" s="3324"/>
      <c r="L135" s="815"/>
      <c r="M135" s="3323">
        <f>SUM(M133:M134)</f>
        <v>0</v>
      </c>
      <c r="N135" s="3324"/>
      <c r="P135" s="3323">
        <f>SUM(P133:P134)</f>
        <v>0</v>
      </c>
      <c r="Q135" s="3324"/>
      <c r="S135" s="3323">
        <f>SUM(S129:S134)</f>
        <v>0</v>
      </c>
      <c r="T135" s="3324"/>
      <c r="V135" s="838">
        <f>SUM(V129:V134)</f>
        <v>0</v>
      </c>
      <c r="W135" s="3307"/>
      <c r="X135" s="3308"/>
      <c r="AZ135" s="1655"/>
      <c r="BA135" s="1618">
        <v>135</v>
      </c>
    </row>
    <row r="136" spans="1:53" s="144" customFormat="1" ht="3" customHeight="1">
      <c r="I136" s="293"/>
      <c r="L136" s="293"/>
      <c r="V136" s="839"/>
      <c r="AZ136" s="1655"/>
      <c r="BA136" s="1618">
        <v>136</v>
      </c>
    </row>
    <row r="137" spans="1:53" s="144" customFormat="1" ht="3.65"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2517</v>
      </c>
      <c r="J139" s="3314" t="s">
        <v>259</v>
      </c>
      <c r="K139" s="3315"/>
      <c r="L139" s="280"/>
      <c r="M139" s="3327" t="s">
        <v>459</v>
      </c>
      <c r="N139" s="3328"/>
      <c r="P139" s="3314" t="s">
        <v>260</v>
      </c>
      <c r="Q139" s="3315"/>
      <c r="S139" s="3314" t="s">
        <v>261</v>
      </c>
      <c r="T139" s="3315"/>
      <c r="V139" s="343" t="str">
        <f>B139</f>
        <v>DEVELOPMENT BUDGET  (cont'd)</v>
      </c>
      <c r="AZ139" s="1655"/>
      <c r="BA139" s="1618">
        <v>139</v>
      </c>
    </row>
    <row r="140" spans="1:53" s="144" customFormat="1" ht="18" customHeight="1" thickBot="1">
      <c r="G140" s="3331" t="s">
        <v>95</v>
      </c>
      <c r="H140" s="3332"/>
      <c r="J140" s="3316"/>
      <c r="K140" s="3317"/>
      <c r="L140" s="280"/>
      <c r="M140" s="3329"/>
      <c r="N140" s="3330"/>
      <c r="P140" s="3316"/>
      <c r="Q140" s="3317"/>
      <c r="S140" s="3316"/>
      <c r="T140" s="3317"/>
      <c r="V140" s="253" t="s">
        <v>2441</v>
      </c>
      <c r="X140" s="253"/>
      <c r="AZ140" s="1655"/>
      <c r="BA140" s="1618">
        <v>140</v>
      </c>
    </row>
    <row r="141" spans="1:53" s="144" customFormat="1" ht="13.4"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5" customHeight="1">
      <c r="B142" s="144" t="s">
        <v>568</v>
      </c>
      <c r="C142" s="246"/>
      <c r="G142" s="3183"/>
      <c r="H142" s="3184"/>
      <c r="J142" s="3183"/>
      <c r="K142" s="3184"/>
      <c r="L142" s="282"/>
      <c r="M142" s="3183"/>
      <c r="N142" s="3184"/>
      <c r="P142" s="3183"/>
      <c r="Q142" s="3184"/>
      <c r="S142" s="3183"/>
      <c r="T142" s="3184"/>
      <c r="V142" s="836"/>
      <c r="W142" s="3235"/>
      <c r="X142" s="3236"/>
      <c r="AZ142" s="1655"/>
      <c r="BA142" s="1618">
        <v>142</v>
      </c>
    </row>
    <row r="143" spans="1:53" s="144" customFormat="1" ht="12.65" customHeight="1" thickBot="1">
      <c r="A143" s="303" t="str">
        <f>IF(AND(G143&gt;0,OR(C143="",C143="&lt;Enter detailed description here; use Comments section if needed&gt;")),"X","")</f>
        <v/>
      </c>
      <c r="B143" s="147" t="s">
        <v>4177</v>
      </c>
      <c r="C143" s="3325" t="s">
        <v>4620</v>
      </c>
      <c r="D143" s="3325"/>
      <c r="E143" s="3325"/>
      <c r="F143" s="3326"/>
      <c r="G143" s="3155"/>
      <c r="H143" s="3156"/>
      <c r="J143" s="3155"/>
      <c r="K143" s="3156"/>
      <c r="L143" s="815"/>
      <c r="M143" s="3155"/>
      <c r="N143" s="3156"/>
      <c r="P143" s="3155"/>
      <c r="Q143" s="3156"/>
      <c r="S143" s="3155"/>
      <c r="T143" s="3156"/>
      <c r="U143" s="302" t="str">
        <f>IF(AND(G143&gt;0,OR(C143="",C143="&lt;Enter detailed description here; use Comments section if needed&gt;")),"NO DESCRIPTION PROVIDED - please enter detailed description in Other box at left; use Comments section below if needed.","")</f>
        <v/>
      </c>
      <c r="V143" s="836"/>
      <c r="W143" s="3286"/>
      <c r="X143" s="3287"/>
      <c r="AZ143" s="1655"/>
      <c r="BA143" s="1618">
        <v>143</v>
      </c>
    </row>
    <row r="144" spans="1:53" s="144" customFormat="1" ht="12.65" customHeight="1" thickTop="1">
      <c r="C144" s="246"/>
      <c r="F144" s="281" t="s">
        <v>184</v>
      </c>
      <c r="G144" s="3323">
        <f>SUM(G142:G143)</f>
        <v>0</v>
      </c>
      <c r="H144" s="3324"/>
      <c r="J144" s="3323">
        <f>SUM(J142:J143)</f>
        <v>0</v>
      </c>
      <c r="K144" s="3324"/>
      <c r="L144" s="815"/>
      <c r="M144" s="3323">
        <f>SUM(M142:M143)</f>
        <v>0</v>
      </c>
      <c r="N144" s="3324"/>
      <c r="P144" s="3323">
        <f>SUM(P142:P143)</f>
        <v>0</v>
      </c>
      <c r="Q144" s="3324"/>
      <c r="S144" s="3323">
        <f>SUM(S142:S143)</f>
        <v>0</v>
      </c>
      <c r="T144" s="3324"/>
      <c r="V144" s="838">
        <f>SUM(V142:V143)</f>
        <v>0</v>
      </c>
      <c r="W144" s="3307"/>
      <c r="X144" s="3308"/>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4392</v>
      </c>
      <c r="E146" s="646"/>
      <c r="F146" s="1248"/>
      <c r="G146" s="3320">
        <f>G18+G24+G28+G36+G41+G46+G55+G73+G86+G92+G103+G114+G120+G127+G135+G144</f>
        <v>0</v>
      </c>
      <c r="H146" s="3321"/>
      <c r="J146" s="3320">
        <f>J18+J24+J28+J36+J41+J46+J55+J73+J86+J92+J103+J114+J120+J127+J135+J144</f>
        <v>0</v>
      </c>
      <c r="K146" s="3321"/>
      <c r="M146" s="3320">
        <f>M18+M24+M28+M36+M41+M46+M55+M73+M86+M92+M103+M114+M120+M127+M135+M144</f>
        <v>0</v>
      </c>
      <c r="N146" s="3321"/>
      <c r="P146" s="3320">
        <f>P18+P24+P28+P36+P41+P46+P55+P73+P86+P92+P103+P114+P120+P127+P135+P144</f>
        <v>0</v>
      </c>
      <c r="Q146" s="3321"/>
      <c r="S146" s="3320">
        <f>S18+S24+S28+S36+S41+S46+S55+S73+S86+S92+S103+S114+S120+S127+S135+S144</f>
        <v>0</v>
      </c>
      <c r="T146" s="3321"/>
      <c r="V146" s="842">
        <f>V18+V24+V28+V36+V41+V46+V55+V73+V86+V92+V103+V114+V120+V127+V135+V144</f>
        <v>0</v>
      </c>
      <c r="W146" s="3322"/>
      <c r="X146" s="3308"/>
      <c r="AZ146" s="1655"/>
      <c r="BA146" s="1618">
        <v>146</v>
      </c>
    </row>
    <row r="147" spans="1:53" s="144" customFormat="1" ht="12" customHeight="1">
      <c r="C147" s="246"/>
      <c r="H147" s="288"/>
      <c r="I147" s="288"/>
      <c r="V147" s="839"/>
      <c r="AZ147" s="1655"/>
      <c r="BA147" s="1618">
        <v>147</v>
      </c>
    </row>
    <row r="148" spans="1:53" s="144" customFormat="1" ht="14.15" customHeight="1">
      <c r="B148" s="390" t="s">
        <v>2482</v>
      </c>
      <c r="C148" s="388"/>
      <c r="D148" s="3311">
        <f>IF('Part V-Revenues &amp; Expenses'!$P$67=0,0,G146/'Part V-Revenues &amp; Expenses'!$P$67)</f>
        <v>0</v>
      </c>
      <c r="E148" s="3311"/>
      <c r="F148" s="389" t="s">
        <v>2481</v>
      </c>
      <c r="G148" s="3312">
        <f>IF('Part V-Revenues &amp; Expenses'!$K$179=0,0,G146/'Part V-Revenues &amp; Expenses'!$K$179)</f>
        <v>0</v>
      </c>
      <c r="H148" s="3313"/>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5" customHeight="1">
      <c r="A150" s="342" t="s">
        <v>688</v>
      </c>
      <c r="B150" s="344" t="s">
        <v>1339</v>
      </c>
      <c r="C150" s="374"/>
      <c r="D150" s="815"/>
      <c r="E150" s="815"/>
      <c r="F150" s="815"/>
      <c r="I150" s="295"/>
      <c r="J150" s="3314" t="s">
        <v>259</v>
      </c>
      <c r="K150" s="3315"/>
      <c r="M150" s="3314" t="s">
        <v>94</v>
      </c>
      <c r="N150" s="3315"/>
      <c r="P150" s="3314" t="s">
        <v>260</v>
      </c>
      <c r="Q150" s="3315"/>
      <c r="V150" s="839"/>
      <c r="W150" s="343" t="str">
        <f>B150</f>
        <v>TAX CREDIT CALCULATION - BASIS METHOD</v>
      </c>
      <c r="AZ150" s="1655"/>
      <c r="BA150" s="1618">
        <v>150</v>
      </c>
    </row>
    <row r="151" spans="1:53" s="144" customFormat="1" ht="15" customHeight="1" thickBot="1">
      <c r="B151" s="222" t="s">
        <v>1889</v>
      </c>
      <c r="D151" s="815"/>
      <c r="E151" s="815"/>
      <c r="I151" s="295"/>
      <c r="J151" s="3316"/>
      <c r="K151" s="3317"/>
      <c r="L151" s="374"/>
      <c r="M151" s="3316"/>
      <c r="N151" s="3317"/>
      <c r="P151" s="3316"/>
      <c r="Q151" s="3317"/>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5" customHeight="1">
      <c r="B153" s="246" t="s">
        <v>138</v>
      </c>
      <c r="I153" s="295"/>
      <c r="J153" s="3318"/>
      <c r="K153" s="3319"/>
      <c r="P153" s="3318"/>
      <c r="Q153" s="3319"/>
      <c r="V153" s="836"/>
      <c r="W153" s="3235"/>
      <c r="X153" s="3236"/>
      <c r="AZ153" s="1655"/>
      <c r="BA153" s="1618">
        <v>153</v>
      </c>
    </row>
    <row r="154" spans="1:53" s="144" customFormat="1" ht="14.15" customHeight="1">
      <c r="B154" s="144" t="s">
        <v>1993</v>
      </c>
      <c r="I154" s="295"/>
      <c r="J154" s="3309"/>
      <c r="K154" s="3310"/>
      <c r="P154" s="3309"/>
      <c r="Q154" s="3310"/>
      <c r="V154" s="836"/>
      <c r="W154" s="3235"/>
      <c r="X154" s="3236"/>
      <c r="AZ154" s="1655"/>
      <c r="BA154" s="1618">
        <v>154</v>
      </c>
    </row>
    <row r="155" spans="1:53" s="144" customFormat="1" ht="14.15" customHeight="1">
      <c r="B155" s="144" t="s">
        <v>1722</v>
      </c>
      <c r="I155" s="295"/>
      <c r="J155" s="3309"/>
      <c r="K155" s="3310"/>
      <c r="P155" s="3309"/>
      <c r="Q155" s="3310"/>
      <c r="V155" s="836"/>
      <c r="W155" s="3235"/>
      <c r="X155" s="3236"/>
      <c r="AZ155" s="1655"/>
      <c r="BA155" s="1618">
        <v>155</v>
      </c>
    </row>
    <row r="156" spans="1:53" s="144" customFormat="1" ht="14.15" customHeight="1">
      <c r="B156" s="144" t="s">
        <v>1723</v>
      </c>
      <c r="I156" s="295"/>
      <c r="J156" s="3309"/>
      <c r="K156" s="3310"/>
      <c r="P156" s="3309"/>
      <c r="Q156" s="3310"/>
      <c r="V156" s="836"/>
      <c r="W156" s="3235"/>
      <c r="X156" s="3236"/>
      <c r="AZ156" s="1655"/>
      <c r="BA156" s="1618">
        <v>156</v>
      </c>
    </row>
    <row r="157" spans="1:53" s="144" customFormat="1" ht="14.15" customHeight="1">
      <c r="B157" s="144" t="s">
        <v>243</v>
      </c>
      <c r="I157" s="295"/>
      <c r="J157" s="3309"/>
      <c r="K157" s="3310"/>
      <c r="P157" s="3309"/>
      <c r="Q157" s="3310"/>
      <c r="V157" s="836"/>
      <c r="W157" s="3235"/>
      <c r="X157" s="3236"/>
      <c r="AZ157" s="1655"/>
      <c r="BA157" s="1618">
        <v>157</v>
      </c>
    </row>
    <row r="158" spans="1:53" s="144" customFormat="1" ht="14.15" customHeight="1" thickBot="1">
      <c r="B158" s="144" t="s">
        <v>1494</v>
      </c>
      <c r="C158" s="3303" t="s">
        <v>2218</v>
      </c>
      <c r="D158" s="3303"/>
      <c r="E158" s="3303"/>
      <c r="F158" s="3303"/>
      <c r="G158" s="3303"/>
      <c r="H158" s="3303"/>
      <c r="I158" s="3304"/>
      <c r="J158" s="3305"/>
      <c r="K158" s="3306"/>
      <c r="P158" s="3305"/>
      <c r="Q158" s="3306"/>
      <c r="V158" s="836"/>
      <c r="W158" s="3286"/>
      <c r="X158" s="3287"/>
      <c r="AZ158" s="1655"/>
      <c r="BA158" s="1618">
        <v>158</v>
      </c>
    </row>
    <row r="159" spans="1:53" s="144" customFormat="1" ht="14.15" customHeight="1" thickBot="1">
      <c r="B159" s="243" t="s">
        <v>1724</v>
      </c>
      <c r="C159" s="250"/>
      <c r="J159" s="3095">
        <f>SUM(J153:K158)</f>
        <v>0</v>
      </c>
      <c r="K159" s="3096"/>
      <c r="P159" s="3095">
        <f>SUM(P153:Q158)</f>
        <v>0</v>
      </c>
      <c r="Q159" s="3096"/>
      <c r="V159" s="838">
        <f>SUM(V153:V158)</f>
        <v>0</v>
      </c>
      <c r="W159" s="3307"/>
      <c r="X159" s="3308"/>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5" customHeight="1">
      <c r="B162" s="144" t="s">
        <v>1660</v>
      </c>
      <c r="J162" s="3248">
        <f>J146</f>
        <v>0</v>
      </c>
      <c r="K162" s="3250"/>
      <c r="M162" s="3300">
        <f>M146</f>
        <v>0</v>
      </c>
      <c r="N162" s="3301"/>
      <c r="P162" s="3248">
        <f>P146</f>
        <v>0</v>
      </c>
      <c r="Q162" s="3250"/>
      <c r="R162" s="3302" t="s">
        <v>4756</v>
      </c>
      <c r="S162" s="3255"/>
      <c r="T162" s="3255"/>
      <c r="V162" s="836"/>
      <c r="W162" s="3235"/>
      <c r="X162" s="3236"/>
      <c r="AZ162" s="1655"/>
      <c r="BA162" s="1618">
        <v>162</v>
      </c>
    </row>
    <row r="163" spans="1:53" s="144" customFormat="1" ht="14.15" customHeight="1">
      <c r="B163" s="144" t="s">
        <v>2047</v>
      </c>
      <c r="J163" s="3264">
        <f>J159</f>
        <v>0</v>
      </c>
      <c r="K163" s="3266"/>
      <c r="M163" s="3246"/>
      <c r="N163" s="3246"/>
      <c r="P163" s="3264">
        <f>P159</f>
        <v>0</v>
      </c>
      <c r="Q163" s="3266"/>
      <c r="R163" s="3302"/>
      <c r="S163" s="3255"/>
      <c r="T163" s="3255"/>
      <c r="U163" s="1110"/>
      <c r="V163" s="836"/>
      <c r="W163" s="3235"/>
      <c r="X163" s="3236"/>
      <c r="AZ163" s="1655"/>
      <c r="BA163" s="1618">
        <v>163</v>
      </c>
    </row>
    <row r="164" spans="1:53" s="144" customFormat="1" ht="14.15" customHeight="1">
      <c r="B164" s="144" t="s">
        <v>2048</v>
      </c>
      <c r="J164" s="3264">
        <f>J162-J163</f>
        <v>0</v>
      </c>
      <c r="K164" s="3266"/>
      <c r="M164" s="3245">
        <f>M162</f>
        <v>0</v>
      </c>
      <c r="N164" s="3247"/>
      <c r="P164" s="3264">
        <f>P162-P163</f>
        <v>0</v>
      </c>
      <c r="Q164" s="3266"/>
      <c r="R164" s="3288" t="s">
        <v>4757</v>
      </c>
      <c r="S164" s="3289"/>
      <c r="T164" s="3290"/>
      <c r="U164" s="1110"/>
      <c r="V164" s="836"/>
      <c r="W164" s="3235"/>
      <c r="X164" s="3236"/>
      <c r="AZ164" s="1655"/>
      <c r="BA164" s="1618">
        <v>164</v>
      </c>
    </row>
    <row r="165" spans="1:53" s="144" customFormat="1" ht="14.15" customHeight="1">
      <c r="B165" s="144" t="s">
        <v>1388</v>
      </c>
      <c r="G165" s="248" t="s">
        <v>1591</v>
      </c>
      <c r="H165" s="3297" t="s">
        <v>1641</v>
      </c>
      <c r="I165" s="3298"/>
      <c r="J165" s="3277"/>
      <c r="K165" s="3278"/>
      <c r="M165" s="3299"/>
      <c r="N165" s="3299"/>
      <c r="P165" s="3277"/>
      <c r="Q165" s="3278"/>
      <c r="R165" s="3291"/>
      <c r="S165" s="3292"/>
      <c r="T165" s="3293"/>
      <c r="U165" s="1111"/>
      <c r="V165" s="836"/>
      <c r="W165" s="3235"/>
      <c r="X165" s="3236"/>
      <c r="AZ165" s="1655"/>
      <c r="BA165" s="1618">
        <v>165</v>
      </c>
    </row>
    <row r="166" spans="1:53" s="144" customFormat="1" ht="14.15" customHeight="1">
      <c r="B166" s="144" t="s">
        <v>1898</v>
      </c>
      <c r="J166" s="3264">
        <f>J164*J165</f>
        <v>0</v>
      </c>
      <c r="K166" s="3266"/>
      <c r="M166" s="3248">
        <f>+M164</f>
        <v>0</v>
      </c>
      <c r="N166" s="3250"/>
      <c r="P166" s="3264">
        <f>P164*P165</f>
        <v>0</v>
      </c>
      <c r="Q166" s="3266"/>
      <c r="R166" s="3294"/>
      <c r="S166" s="3295"/>
      <c r="T166" s="3296"/>
      <c r="U166" s="1111"/>
      <c r="V166" s="836"/>
      <c r="W166" s="3235"/>
      <c r="X166" s="3236"/>
      <c r="AZ166" s="1655"/>
      <c r="BA166" s="1618">
        <v>166</v>
      </c>
    </row>
    <row r="167" spans="1:53" s="144" customFormat="1" ht="14.15" customHeight="1">
      <c r="B167" s="144" t="s">
        <v>2333</v>
      </c>
      <c r="J167" s="3279" t="e">
        <f>MIN('Part V-Revenues &amp; Expenses'!$P$63/'Part V-Revenues &amp; Expenses'!$P$65,'Part V-Revenues &amp; Expenses'!$P$168/'Part V-Revenues &amp; Expenses'!$P$170)</f>
        <v>#DIV/0!</v>
      </c>
      <c r="K167" s="3280"/>
      <c r="M167" s="3279" t="e">
        <f>MIN('Part V-Revenues &amp; Expenses'!$P$63/'Part V-Revenues &amp; Expenses'!$P$65,'Part V-Revenues &amp; Expenses'!$P$168/'Part V-Revenues &amp; Expenses'!$P$170)</f>
        <v>#DIV/0!</v>
      </c>
      <c r="N167" s="3280"/>
      <c r="P167" s="3279" t="e">
        <f>MIN('Part V-Revenues &amp; Expenses'!$P$63/'Part V-Revenues &amp; Expenses'!$P$65,'Part V-Revenues &amp; Expenses'!$P$168/'Part V-Revenues &amp; Expenses'!$P$170)</f>
        <v>#DIV/0!</v>
      </c>
      <c r="Q167" s="3280"/>
      <c r="R167" s="3281" t="s">
        <v>4758</v>
      </c>
      <c r="S167" s="3282"/>
      <c r="T167" s="3283"/>
      <c r="V167" s="836"/>
      <c r="W167" s="3235"/>
      <c r="X167" s="3236"/>
      <c r="AZ167" s="1655"/>
      <c r="BA167" s="1618">
        <v>167</v>
      </c>
    </row>
    <row r="168" spans="1:53" s="144" customFormat="1" ht="14.15" customHeight="1">
      <c r="B168" s="144" t="s">
        <v>1890</v>
      </c>
      <c r="J168" s="3264" t="e">
        <f>J166*J167</f>
        <v>#DIV/0!</v>
      </c>
      <c r="K168" s="3266"/>
      <c r="M168" s="3264" t="e">
        <f>M166*M167</f>
        <v>#DIV/0!</v>
      </c>
      <c r="N168" s="3266"/>
      <c r="P168" s="3264" t="e">
        <f>P166*P167</f>
        <v>#DIV/0!</v>
      </c>
      <c r="Q168" s="3266"/>
      <c r="V168" s="836"/>
      <c r="W168" s="3235"/>
      <c r="X168" s="3236"/>
      <c r="AZ168" s="1655"/>
      <c r="BA168" s="1618">
        <v>168</v>
      </c>
    </row>
    <row r="169" spans="1:53" s="144" customFormat="1" ht="14.15" customHeight="1">
      <c r="B169" s="144" t="s">
        <v>1891</v>
      </c>
      <c r="J169" s="3277"/>
      <c r="K169" s="3278"/>
      <c r="M169" s="3277"/>
      <c r="N169" s="3278"/>
      <c r="P169" s="3277"/>
      <c r="Q169" s="3278"/>
      <c r="V169" s="836"/>
      <c r="W169" s="3235"/>
      <c r="X169" s="3236"/>
      <c r="AZ169" s="1655"/>
      <c r="BA169" s="1618">
        <v>169</v>
      </c>
    </row>
    <row r="170" spans="1:53" s="144" customFormat="1" ht="14.15" customHeight="1" thickBot="1">
      <c r="B170" s="144" t="s">
        <v>2334</v>
      </c>
      <c r="J170" s="3284" t="e">
        <f>J168*J169</f>
        <v>#DIV/0!</v>
      </c>
      <c r="K170" s="3285"/>
      <c r="M170" s="3284" t="e">
        <f>M168*M169</f>
        <v>#DIV/0!</v>
      </c>
      <c r="N170" s="3285"/>
      <c r="P170" s="3284" t="e">
        <f>P168*P169</f>
        <v>#DIV/0!</v>
      </c>
      <c r="Q170" s="3285"/>
      <c r="V170" s="843"/>
      <c r="W170" s="3286"/>
      <c r="X170" s="3287"/>
      <c r="AZ170" s="1655"/>
      <c r="BA170" s="1618">
        <v>170</v>
      </c>
    </row>
    <row r="171" spans="1:53" s="144" customFormat="1" ht="14.15" customHeight="1" thickBot="1">
      <c r="B171" s="243" t="s">
        <v>1337</v>
      </c>
      <c r="J171" s="3095" t="e">
        <f>ROUNDDOWN(J170+M170+P170,0)</f>
        <v>#DIV/0!</v>
      </c>
      <c r="K171" s="3241"/>
      <c r="L171" s="3241"/>
      <c r="M171" s="3241"/>
      <c r="N171" s="3241"/>
      <c r="O171" s="3241"/>
      <c r="P171" s="3241"/>
      <c r="Q171" s="3096"/>
      <c r="V171" s="838"/>
      <c r="W171" s="3275"/>
      <c r="X171" s="3276"/>
      <c r="AZ171" s="1655"/>
      <c r="BA171" s="1618">
        <v>171</v>
      </c>
    </row>
    <row r="172" spans="1:53" s="144" customFormat="1" ht="6" customHeight="1">
      <c r="B172" s="296"/>
      <c r="L172" s="297"/>
      <c r="M172" s="297"/>
      <c r="N172" s="297"/>
      <c r="O172" s="297"/>
      <c r="V172" s="839"/>
      <c r="AZ172" s="1655"/>
      <c r="BA172" s="1618">
        <v>172</v>
      </c>
    </row>
    <row r="173" spans="1:53" s="144" customFormat="1" ht="14.15"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3814</v>
      </c>
      <c r="J176" s="3248">
        <f>G146</f>
        <v>0</v>
      </c>
      <c r="K176" s="3249"/>
      <c r="L176" s="3250"/>
      <c r="N176" s="3251" t="s">
        <v>4615</v>
      </c>
      <c r="O176" s="3252"/>
      <c r="P176" s="3252"/>
      <c r="Q176" s="3253"/>
      <c r="S176" s="3260" t="s">
        <v>3104</v>
      </c>
      <c r="T176" s="3261"/>
      <c r="V176" s="836"/>
      <c r="W176" s="3235"/>
      <c r="X176" s="3236"/>
      <c r="AZ176" s="1655"/>
      <c r="BA176" s="1618">
        <v>176</v>
      </c>
    </row>
    <row r="177" spans="1:53" s="144" customFormat="1" ht="14.15" customHeight="1">
      <c r="B177" s="144" t="s">
        <v>252</v>
      </c>
      <c r="J177" s="3264">
        <f>'Part II-Sources of Funds'!$I$60-'Part II-Sources of Funds'!$I$44-'Part II-Sources of Funds'!$I$45-'Part II-Sources of Funds'!$I$51-'Part II-Sources of Funds'!$I$52</f>
        <v>0</v>
      </c>
      <c r="K177" s="3265"/>
      <c r="L177" s="3266"/>
      <c r="M177" s="1879"/>
      <c r="N177" s="3254"/>
      <c r="O177" s="3255"/>
      <c r="P177" s="3255"/>
      <c r="Q177" s="3256"/>
      <c r="S177" s="3262"/>
      <c r="T177" s="3263"/>
      <c r="V177" s="836"/>
      <c r="W177" s="3235"/>
      <c r="X177" s="3236"/>
      <c r="AZ177" s="1655"/>
      <c r="BA177" s="1618">
        <v>177</v>
      </c>
    </row>
    <row r="178" spans="1:53" s="144" customFormat="1" ht="14.15" customHeight="1">
      <c r="B178" s="144" t="s">
        <v>2059</v>
      </c>
      <c r="J178" s="3267">
        <f>+J176-J177</f>
        <v>0</v>
      </c>
      <c r="K178" s="3268"/>
      <c r="L178" s="3269"/>
      <c r="M178" s="1879"/>
      <c r="N178" s="3257"/>
      <c r="O178" s="3258"/>
      <c r="P178" s="3258"/>
      <c r="Q178" s="3259"/>
      <c r="S178" s="3262"/>
      <c r="T178" s="3263"/>
      <c r="V178" s="836"/>
      <c r="W178" s="3235"/>
      <c r="X178" s="3236"/>
      <c r="AZ178" s="1655"/>
      <c r="BA178" s="1618">
        <v>178</v>
      </c>
    </row>
    <row r="179" spans="1:53" s="144" customFormat="1" ht="14.15" customHeight="1" thickBot="1">
      <c r="B179" s="144" t="s">
        <v>1207</v>
      </c>
      <c r="J179" s="3140" t="str">
        <f>"/ 10"</f>
        <v>/ 10</v>
      </c>
      <c r="K179" s="3140"/>
      <c r="L179" s="3140"/>
      <c r="M179" s="223"/>
      <c r="N179" s="3242">
        <f>'Part II-Sources of Funds'!$I$44</f>
        <v>0</v>
      </c>
      <c r="O179" s="3243"/>
      <c r="P179" s="3243"/>
      <c r="Q179" s="3244"/>
      <c r="S179" s="328" t="s">
        <v>1546</v>
      </c>
      <c r="T179" s="329"/>
      <c r="V179" s="836"/>
      <c r="W179" s="3235"/>
      <c r="X179" s="3236"/>
      <c r="AZ179" s="1655"/>
      <c r="BA179" s="1618">
        <v>179</v>
      </c>
    </row>
    <row r="180" spans="1:53" s="144" customFormat="1" ht="14.15" customHeight="1">
      <c r="B180" s="144" t="s">
        <v>1208</v>
      </c>
      <c r="J180" s="3245">
        <f>J178/10</f>
        <v>0</v>
      </c>
      <c r="K180" s="3246"/>
      <c r="L180" s="3247"/>
      <c r="N180" s="368"/>
      <c r="O180" s="368"/>
      <c r="P180" s="368"/>
      <c r="Q180" s="368"/>
      <c r="R180" s="368"/>
      <c r="V180" s="836"/>
      <c r="W180" s="3235"/>
      <c r="X180" s="3236"/>
      <c r="AZ180" s="1655"/>
      <c r="BA180" s="1618">
        <v>180</v>
      </c>
    </row>
    <row r="181" spans="1:53" s="144" customFormat="1" ht="14.15" customHeight="1">
      <c r="M181" s="145"/>
      <c r="N181" s="3153" t="s">
        <v>1209</v>
      </c>
      <c r="O181" s="3153"/>
      <c r="Q181" s="3153" t="s">
        <v>1666</v>
      </c>
      <c r="R181" s="3153"/>
      <c r="V181" s="836"/>
      <c r="W181" s="3235"/>
      <c r="X181" s="3236"/>
      <c r="Z181" s="1729" t="s">
        <v>1641</v>
      </c>
      <c r="AZ181" s="1655"/>
      <c r="BA181" s="1618">
        <v>181</v>
      </c>
    </row>
    <row r="182" spans="1:53" s="144" customFormat="1" ht="14.15" customHeight="1" thickBot="1">
      <c r="B182" s="144" t="s">
        <v>1387</v>
      </c>
      <c r="J182" s="3270">
        <f>N182+Q182</f>
        <v>0</v>
      </c>
      <c r="K182" s="3271"/>
      <c r="L182" s="3272"/>
      <c r="M182" s="248" t="s">
        <v>1210</v>
      </c>
      <c r="N182" s="3273"/>
      <c r="O182" s="3274"/>
      <c r="P182" s="248" t="s">
        <v>569</v>
      </c>
      <c r="Q182" s="3273"/>
      <c r="R182" s="3274"/>
      <c r="V182" s="836"/>
      <c r="W182" s="3235"/>
      <c r="X182" s="3236"/>
      <c r="Z182" s="1730">
        <f>'DCA Underwriting Assumptions'!Q134</f>
        <v>0</v>
      </c>
      <c r="AZ182" s="1655"/>
      <c r="BA182" s="1618">
        <v>182</v>
      </c>
    </row>
    <row r="183" spans="1:53" s="144" customFormat="1" ht="14.15" customHeight="1" thickBot="1">
      <c r="B183" s="243" t="s">
        <v>1338</v>
      </c>
      <c r="J183" s="3095" t="e">
        <f>ROUNDDOWN(IF(J182=0,"",J180/J182),0)</f>
        <v>#VALUE!</v>
      </c>
      <c r="K183" s="3241"/>
      <c r="L183" s="3096"/>
      <c r="M183" s="145"/>
      <c r="V183" s="836"/>
      <c r="W183" s="3235"/>
      <c r="X183" s="3236"/>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5" customHeight="1">
      <c r="A185" s="343" t="s">
        <v>1661</v>
      </c>
      <c r="B185" s="343" t="s">
        <v>3813</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99999999999999" customHeight="1">
      <c r="B187" s="243" t="s">
        <v>4614</v>
      </c>
      <c r="J187" s="3230"/>
      <c r="K187" s="3231"/>
      <c r="L187" s="3232"/>
      <c r="Q187" s="147" t="s">
        <v>4149</v>
      </c>
      <c r="R187" s="147"/>
      <c r="S187" s="3233" t="str">
        <f>'Part VIII Scoring Criteria'!$J$12</f>
        <v>&lt;&lt; Select Pool &gt;&gt;</v>
      </c>
      <c r="T187" s="3234"/>
      <c r="U187" s="1534" t="str">
        <f>IF(OR(S187="Atlanta Metro", "Other Metro"), "Metro", IF(S187="Rural","Rural",""))</f>
        <v/>
      </c>
      <c r="V187" s="836"/>
      <c r="W187" s="3235"/>
      <c r="X187" s="3236"/>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99999999999999" customHeight="1">
      <c r="B189" s="243" t="s">
        <v>3947</v>
      </c>
      <c r="J189" s="3230"/>
      <c r="K189" s="3231"/>
      <c r="L189" s="3232"/>
      <c r="M189" s="3237" t="str">
        <f>IF(J187=0,"",IF(J189&gt;J187,"Request can't exceed Maximum - REVISE (Try Round Down)!",""))</f>
        <v/>
      </c>
      <c r="N189" s="3237"/>
      <c r="O189" s="3237"/>
      <c r="P189" s="3237"/>
      <c r="Q189" s="241" t="s">
        <v>4443</v>
      </c>
      <c r="R189" s="147"/>
      <c r="S189" s="3233" t="str">
        <f>'Part VIII Scoring Criteria'!$F$12</f>
        <v>&lt;&lt; Select Activity Type &gt;&gt;</v>
      </c>
      <c r="T189" s="3234"/>
      <c r="V189" s="836"/>
      <c r="W189" s="3235"/>
      <c r="X189" s="3236"/>
      <c r="AZ189" s="1651"/>
      <c r="BA189" s="1618">
        <v>189</v>
      </c>
    </row>
    <row r="190" spans="1:53" s="144" customFormat="1" ht="3" customHeight="1">
      <c r="J190" s="298"/>
      <c r="K190" s="298"/>
      <c r="L190" s="298"/>
      <c r="M190" s="3237"/>
      <c r="N190" s="3237"/>
      <c r="O190" s="3237"/>
      <c r="P190" s="3237"/>
      <c r="Q190" s="147"/>
      <c r="R190" s="147"/>
      <c r="S190" s="241"/>
      <c r="T190" s="241"/>
      <c r="V190" s="839"/>
      <c r="W190" s="834"/>
      <c r="X190" s="835"/>
      <c r="AZ190" s="1651"/>
      <c r="BA190" s="1618">
        <v>190</v>
      </c>
    </row>
    <row r="191" spans="1:53" s="144" customFormat="1" ht="16.399999999999999" customHeight="1">
      <c r="A191" s="343"/>
      <c r="B191" s="343" t="s">
        <v>3948</v>
      </c>
      <c r="D191" s="145"/>
      <c r="E191" s="145"/>
      <c r="F191" s="246"/>
      <c r="J191" s="3238">
        <f>IF(J189="",0,+MIN(J187,J189))</f>
        <v>0</v>
      </c>
      <c r="K191" s="3239"/>
      <c r="L191" s="3240"/>
      <c r="M191" s="3237"/>
      <c r="N191" s="3237"/>
      <c r="O191" s="3237"/>
      <c r="P191" s="3237"/>
      <c r="Q191" s="236" t="s">
        <v>3805</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1" s="1123"/>
      <c r="V191" s="836"/>
      <c r="W191" s="3235"/>
      <c r="X191" s="3236"/>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4.25" customHeight="1">
      <c r="A195" s="3083" t="s">
        <v>3145</v>
      </c>
      <c r="B195" s="3083"/>
      <c r="C195" s="3083"/>
      <c r="D195" s="3083"/>
      <c r="E195" s="3083"/>
      <c r="F195" s="3083"/>
      <c r="G195" s="3083"/>
      <c r="H195" s="3083"/>
      <c r="I195" s="3083"/>
      <c r="J195" s="3083"/>
      <c r="K195" s="3083"/>
      <c r="L195" s="3083"/>
      <c r="M195" s="3083"/>
      <c r="N195" s="3229"/>
      <c r="O195" s="3229"/>
      <c r="P195" s="3229"/>
      <c r="Q195" s="3229"/>
      <c r="R195" s="3229"/>
      <c r="S195" s="3229"/>
      <c r="T195" s="3229"/>
      <c r="V195" s="739"/>
      <c r="W195" s="3085" t="s">
        <v>2445</v>
      </c>
      <c r="X195" s="3085"/>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qaAhRs3nbvSHHCbDpkWABF+zZQTRY1KycuREDWq2sY5xbylBazc3uHGWJ3xpJfoFVraMpx4n3CRuHKk0MlRIfA==" saltValue="K81s1zFn4uFf3KlKBiexAQ=="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3" manualBreakCount="3">
    <brk id="49" max="16383" man="1"/>
    <brk id="93"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6953125" defaultRowHeight="15.5"/>
  <cols>
    <col min="1" max="1" width="7.26953125" style="431" customWidth="1"/>
    <col min="2" max="2" width="12.7265625" style="431" customWidth="1"/>
    <col min="3" max="3" width="7.7265625" style="431" customWidth="1"/>
    <col min="4" max="4" width="12.7265625" style="431" customWidth="1"/>
    <col min="5" max="5" width="0.7265625" style="431" customWidth="1"/>
    <col min="6" max="6" width="46.7265625" style="431" customWidth="1"/>
    <col min="7" max="7" width="0.7265625" style="431" customWidth="1"/>
    <col min="8" max="8" width="46.7265625" style="431" customWidth="1"/>
    <col min="9" max="17" width="9.26953125" style="431"/>
    <col min="18" max="18" width="9.26953125" style="504"/>
    <col min="19" max="16384" width="9.26953125" style="431"/>
  </cols>
  <sheetData>
    <row r="1" spans="1:18">
      <c r="A1" s="3419" t="str">
        <f>CONCATENATE("PART THREE (B) -  OTHER COSTS","  -  ",'Part I-Project Identification'!$O$7," - ",'Part I-Project Identification'!$F$26,"  -  ",'Part I-Project Identification'!$F$27,"  -  ",'Part I-Project Identification'!$J$27,",  ","County")</f>
        <v>PART THREE (B) -  OTHER COSTS  -  2024-5 -   -  &lt;&lt; Select from list &gt;&gt;  -  Select City first,  County</v>
      </c>
      <c r="B1" s="3420"/>
      <c r="C1" s="3420"/>
      <c r="D1" s="3420"/>
      <c r="E1" s="3420"/>
      <c r="F1" s="3420"/>
      <c r="G1" s="3420"/>
      <c r="H1" s="3420"/>
      <c r="I1" s="709"/>
      <c r="J1" s="709"/>
      <c r="K1" s="709"/>
      <c r="L1" s="709"/>
      <c r="M1" s="709"/>
      <c r="N1" s="709"/>
      <c r="R1" s="2477">
        <v>1</v>
      </c>
    </row>
    <row r="2" spans="1:18" ht="9" customHeight="1">
      <c r="R2" s="2477">
        <v>2</v>
      </c>
    </row>
    <row r="3" spans="1:18" ht="57" customHeight="1">
      <c r="A3" s="3421" t="s">
        <v>3131</v>
      </c>
      <c r="B3" s="3422"/>
      <c r="C3" s="3422"/>
      <c r="D3" s="3422"/>
      <c r="E3" s="3422"/>
      <c r="F3" s="3422"/>
      <c r="G3" s="3422"/>
      <c r="H3" s="3423"/>
      <c r="R3" s="2477">
        <v>3</v>
      </c>
    </row>
    <row r="4" spans="1:18" ht="6" customHeight="1">
      <c r="R4" s="2477">
        <v>4</v>
      </c>
    </row>
    <row r="5" spans="1:18" ht="38.25" customHeight="1">
      <c r="A5" s="3424" t="s">
        <v>3195</v>
      </c>
      <c r="B5" s="3424"/>
      <c r="C5" s="3424"/>
      <c r="D5" s="3424"/>
      <c r="F5" s="710" t="s">
        <v>3123</v>
      </c>
      <c r="G5" s="438"/>
      <c r="H5" s="710" t="s">
        <v>3124</v>
      </c>
      <c r="R5" s="2477">
        <v>5</v>
      </c>
    </row>
    <row r="6" spans="1:18" ht="6.75" customHeight="1">
      <c r="A6" s="438"/>
      <c r="B6" s="438"/>
      <c r="C6" s="438"/>
      <c r="D6" s="438"/>
      <c r="R6" s="2477">
        <v>6</v>
      </c>
    </row>
    <row r="7" spans="1:18" s="712" customFormat="1" ht="4.5" customHeight="1">
      <c r="A7" s="711"/>
      <c r="B7" s="711"/>
      <c r="C7" s="711"/>
      <c r="D7" s="711"/>
      <c r="E7" s="711"/>
      <c r="F7" s="711"/>
      <c r="G7" s="711"/>
      <c r="R7" s="2478">
        <v>7</v>
      </c>
    </row>
    <row r="8" spans="1:18" s="712" customFormat="1">
      <c r="A8" s="723" t="s">
        <v>96</v>
      </c>
      <c r="B8" s="713"/>
      <c r="C8" s="713"/>
      <c r="D8" s="713"/>
      <c r="E8" s="713"/>
      <c r="F8" s="713"/>
      <c r="G8" s="713"/>
      <c r="H8" s="713"/>
      <c r="R8" s="2478">
        <v>8</v>
      </c>
    </row>
    <row r="9" spans="1:18" s="712" customFormat="1" ht="41.25" customHeight="1">
      <c r="A9" s="3416" t="str">
        <f>'Part III-A-Uses of Funds'!$C$15</f>
        <v>&lt;&lt; Enter description here; provide detail &amp; justification in tab Part III-b &gt;&gt;</v>
      </c>
      <c r="B9" s="3417"/>
      <c r="C9" s="3417"/>
      <c r="D9" s="3418"/>
      <c r="F9" s="3413"/>
      <c r="G9" s="713"/>
      <c r="H9" s="3413"/>
      <c r="R9" s="2478">
        <v>9</v>
      </c>
    </row>
    <row r="10" spans="1:18" s="712" customFormat="1" ht="41.25" customHeight="1">
      <c r="A10" s="3407"/>
      <c r="B10" s="3408"/>
      <c r="C10" s="3408"/>
      <c r="D10" s="3409"/>
      <c r="F10" s="3414"/>
      <c r="G10" s="713"/>
      <c r="H10" s="3414"/>
      <c r="R10" s="2477">
        <v>10</v>
      </c>
    </row>
    <row r="11" spans="1:18" s="712" customFormat="1" ht="4.5" customHeight="1">
      <c r="F11" s="3414"/>
      <c r="G11" s="713"/>
      <c r="H11" s="3414"/>
      <c r="R11" s="2477">
        <v>11</v>
      </c>
    </row>
    <row r="12" spans="1:18" s="712" customFormat="1" ht="15" customHeight="1">
      <c r="A12" s="722" t="s">
        <v>3126</v>
      </c>
      <c r="B12" s="721">
        <f>'Part III-A-Uses of Funds'!$G$15</f>
        <v>0</v>
      </c>
      <c r="C12" s="722" t="s">
        <v>1660</v>
      </c>
      <c r="D12" s="721">
        <f>'Part III-A-Uses of Funds'!$J$15+'Part III-A-Uses of Funds'!$M$15+'Part III-A-Uses of Funds'!$P$15</f>
        <v>0</v>
      </c>
      <c r="F12" s="3414"/>
      <c r="G12" s="713"/>
      <c r="H12" s="3414"/>
      <c r="R12" s="2477">
        <v>12</v>
      </c>
    </row>
    <row r="13" spans="1:18" s="712" customFormat="1" ht="6" customHeight="1">
      <c r="A13" s="713"/>
      <c r="B13" s="714"/>
      <c r="C13" s="713"/>
      <c r="D13" s="713"/>
      <c r="F13" s="3414"/>
      <c r="G13" s="715"/>
      <c r="H13" s="3414"/>
      <c r="R13" s="2477">
        <v>13</v>
      </c>
    </row>
    <row r="14" spans="1:18" s="712" customFormat="1" ht="41.25" customHeight="1">
      <c r="A14" s="3416" t="str">
        <f>'Part III-A-Uses of Funds'!$C$16</f>
        <v>&lt;&lt; Enter description here; provide detail &amp; justification in tab Part III-b &gt;&gt;</v>
      </c>
      <c r="B14" s="3417"/>
      <c r="C14" s="3417"/>
      <c r="D14" s="3418"/>
      <c r="F14" s="3414"/>
      <c r="G14" s="713"/>
      <c r="H14" s="3414"/>
      <c r="R14" s="2477">
        <v>14</v>
      </c>
    </row>
    <row r="15" spans="1:18" s="712" customFormat="1" ht="41.25" customHeight="1">
      <c r="A15" s="3407"/>
      <c r="B15" s="3408"/>
      <c r="C15" s="3408"/>
      <c r="D15" s="3409"/>
      <c r="F15" s="3414"/>
      <c r="G15" s="713"/>
      <c r="H15" s="3414"/>
      <c r="R15" s="2477">
        <v>15</v>
      </c>
    </row>
    <row r="16" spans="1:18" s="712" customFormat="1" ht="4.5" customHeight="1">
      <c r="F16" s="3414"/>
      <c r="G16" s="713"/>
      <c r="H16" s="3414"/>
      <c r="R16" s="2478">
        <v>16</v>
      </c>
    </row>
    <row r="17" spans="1:18" s="712" customFormat="1" ht="15" customHeight="1">
      <c r="A17" s="722" t="s">
        <v>3126</v>
      </c>
      <c r="B17" s="721">
        <f>'Part III-A-Uses of Funds'!$G$16</f>
        <v>0</v>
      </c>
      <c r="C17" s="722" t="s">
        <v>1660</v>
      </c>
      <c r="D17" s="721">
        <f>'Part III-A-Uses of Funds'!$J$16+'Part III-A-Uses of Funds'!$M$16+'Part III-A-Uses of Funds'!$P$16</f>
        <v>0</v>
      </c>
      <c r="F17" s="3414"/>
      <c r="G17" s="713"/>
      <c r="H17" s="3414"/>
      <c r="R17" s="2478">
        <v>17</v>
      </c>
    </row>
    <row r="18" spans="1:18" s="712" customFormat="1" ht="6" customHeight="1">
      <c r="A18" s="713"/>
      <c r="B18" s="714"/>
      <c r="C18" s="713"/>
      <c r="D18" s="713"/>
      <c r="F18" s="3414"/>
      <c r="G18" s="715"/>
      <c r="H18" s="3414"/>
      <c r="R18" s="2478">
        <v>18</v>
      </c>
    </row>
    <row r="19" spans="1:18" s="712" customFormat="1" ht="41.25" customHeight="1">
      <c r="A19" s="3416" t="str">
        <f>'Part III-A-Uses of Funds'!$C$17</f>
        <v>&lt;&lt; Enter description here; provide detail &amp; justification in tab Part III-b &gt;&gt;</v>
      </c>
      <c r="B19" s="3417"/>
      <c r="C19" s="3417"/>
      <c r="D19" s="3418"/>
      <c r="F19" s="3414"/>
      <c r="G19" s="713"/>
      <c r="H19" s="3414"/>
      <c r="R19" s="2477">
        <v>19</v>
      </c>
    </row>
    <row r="20" spans="1:18" s="712" customFormat="1" ht="41.25" customHeight="1">
      <c r="A20" s="3407"/>
      <c r="B20" s="3408"/>
      <c r="C20" s="3408"/>
      <c r="D20" s="3409"/>
      <c r="F20" s="3414"/>
      <c r="G20" s="713"/>
      <c r="H20" s="3414"/>
      <c r="R20" s="2477">
        <v>20</v>
      </c>
    </row>
    <row r="21" spans="1:18" s="712" customFormat="1" ht="4.5" customHeight="1">
      <c r="F21" s="3414"/>
      <c r="G21" s="713"/>
      <c r="H21" s="3414"/>
      <c r="R21" s="2477">
        <v>21</v>
      </c>
    </row>
    <row r="22" spans="1:18" s="712" customFormat="1" ht="15" customHeight="1">
      <c r="A22" s="722" t="s">
        <v>3126</v>
      </c>
      <c r="B22" s="721">
        <f>'Part III-A-Uses of Funds'!$G$17</f>
        <v>0</v>
      </c>
      <c r="C22" s="722" t="s">
        <v>1660</v>
      </c>
      <c r="D22" s="721">
        <f>'Part III-A-Uses of Funds'!$J$17+'Part III-A-Uses of Funds'!$M$17+'Part III-A-Uses of Funds'!$P$17</f>
        <v>0</v>
      </c>
      <c r="F22" s="3414"/>
      <c r="G22" s="713"/>
      <c r="H22" s="3414"/>
      <c r="R22" s="2477">
        <v>22</v>
      </c>
    </row>
    <row r="23" spans="1:18" s="712" customFormat="1" ht="6" customHeight="1">
      <c r="A23" s="713"/>
      <c r="B23" s="714"/>
      <c r="C23" s="713"/>
      <c r="D23" s="713"/>
      <c r="F23" s="3415"/>
      <c r="G23" s="715"/>
      <c r="H23" s="3415"/>
      <c r="R23" s="2477">
        <v>23</v>
      </c>
    </row>
    <row r="24" spans="1:18" s="712" customFormat="1">
      <c r="A24" s="723" t="s">
        <v>3125</v>
      </c>
      <c r="B24" s="713"/>
      <c r="C24" s="713"/>
      <c r="D24" s="713"/>
      <c r="E24" s="713"/>
      <c r="F24" s="713"/>
      <c r="G24" s="713"/>
      <c r="R24" s="2477">
        <v>24</v>
      </c>
    </row>
    <row r="25" spans="1:18" s="712" customFormat="1" ht="41.25" customHeight="1">
      <c r="A25" s="3416" t="str">
        <f>'Part III-A-Uses of Funds'!$C$46</f>
        <v>&lt;&lt; Enter description here; provide detail &amp; justification in tab Part III-b &gt;&gt;</v>
      </c>
      <c r="B25" s="3417"/>
      <c r="C25" s="3417"/>
      <c r="D25" s="3418"/>
      <c r="E25" s="713"/>
      <c r="F25" s="3410"/>
      <c r="G25" s="713"/>
      <c r="H25" s="3410"/>
      <c r="R25" s="2478">
        <v>25</v>
      </c>
    </row>
    <row r="26" spans="1:18" s="712" customFormat="1" ht="41.25" customHeight="1">
      <c r="A26" s="3407"/>
      <c r="B26" s="3408"/>
      <c r="C26" s="3408"/>
      <c r="D26" s="3409"/>
      <c r="E26" s="713"/>
      <c r="F26" s="3411"/>
      <c r="G26" s="713"/>
      <c r="H26" s="3411"/>
      <c r="R26" s="2478">
        <v>26</v>
      </c>
    </row>
    <row r="27" spans="1:18" s="712" customFormat="1" ht="4.5" customHeight="1">
      <c r="A27" s="713"/>
      <c r="B27" s="713"/>
      <c r="C27" s="713"/>
      <c r="D27" s="713"/>
      <c r="E27" s="713"/>
      <c r="F27" s="3411"/>
      <c r="G27" s="713"/>
      <c r="H27" s="3411"/>
      <c r="R27" s="2478">
        <v>27</v>
      </c>
    </row>
    <row r="28" spans="1:18" s="712" customFormat="1">
      <c r="A28" s="722" t="s">
        <v>3126</v>
      </c>
      <c r="B28" s="721">
        <f>'Part III-A-Uses of Funds'!$G$46</f>
        <v>0</v>
      </c>
      <c r="C28" s="722" t="s">
        <v>1660</v>
      </c>
      <c r="D28" s="721">
        <f>'Part III-A-Uses of Funds'!$J$46+'Part III-A-Uses of Funds'!$M$46+'Part III-A-Uses of Funds'!$P$46</f>
        <v>0</v>
      </c>
      <c r="E28" s="713"/>
      <c r="F28" s="3411"/>
      <c r="G28" s="713"/>
      <c r="H28" s="3411"/>
      <c r="R28" s="2477">
        <v>28</v>
      </c>
    </row>
    <row r="29" spans="1:18" s="712" customFormat="1" ht="6" customHeight="1">
      <c r="A29" s="713"/>
      <c r="B29" s="714"/>
      <c r="C29" s="713"/>
      <c r="D29" s="713"/>
      <c r="E29" s="713"/>
      <c r="F29" s="3412"/>
      <c r="G29" s="715"/>
      <c r="H29" s="3412"/>
      <c r="R29" s="2477">
        <v>29</v>
      </c>
    </row>
    <row r="30" spans="1:18" s="712" customFormat="1">
      <c r="A30" s="723" t="s">
        <v>674</v>
      </c>
      <c r="B30" s="713"/>
      <c r="C30" s="713"/>
      <c r="D30" s="713"/>
      <c r="E30" s="713"/>
      <c r="F30" s="713"/>
      <c r="G30" s="713"/>
      <c r="R30" s="2477">
        <v>30</v>
      </c>
    </row>
    <row r="31" spans="1:18" s="712" customFormat="1" ht="41.25" customHeight="1">
      <c r="A31" s="3404" t="str">
        <f>'Part III-A-Uses of Funds'!$C$71</f>
        <v>&lt;&lt; Enter description here; provide detail &amp; justification in tab Part III-b &gt;&gt;</v>
      </c>
      <c r="B31" s="3405"/>
      <c r="C31" s="3405"/>
      <c r="D31" s="3406"/>
      <c r="E31" s="713"/>
      <c r="F31" s="3413"/>
      <c r="G31" s="713"/>
      <c r="H31" s="3413"/>
      <c r="R31" s="2477">
        <v>31</v>
      </c>
    </row>
    <row r="32" spans="1:18" s="712" customFormat="1" ht="41.25" customHeight="1">
      <c r="A32" s="3407"/>
      <c r="B32" s="3408"/>
      <c r="C32" s="3408"/>
      <c r="D32" s="3409"/>
      <c r="E32" s="713"/>
      <c r="F32" s="3414"/>
      <c r="G32" s="713"/>
      <c r="H32" s="3414"/>
      <c r="R32" s="2477">
        <v>32</v>
      </c>
    </row>
    <row r="33" spans="1:18" s="712" customFormat="1" ht="4.5" customHeight="1">
      <c r="A33" s="713"/>
      <c r="B33" s="713"/>
      <c r="C33" s="713"/>
      <c r="D33" s="713"/>
      <c r="E33" s="713"/>
      <c r="F33" s="3414"/>
      <c r="G33" s="713"/>
      <c r="H33" s="3414"/>
      <c r="R33" s="2477">
        <v>33</v>
      </c>
    </row>
    <row r="34" spans="1:18" s="712" customFormat="1" ht="14.25" customHeight="1">
      <c r="A34" s="722" t="s">
        <v>3126</v>
      </c>
      <c r="B34" s="721">
        <f>'Part III-A-Uses of Funds'!$G$71</f>
        <v>0</v>
      </c>
      <c r="C34" s="722" t="s">
        <v>1660</v>
      </c>
      <c r="D34" s="721">
        <f>'Part III-A-Uses of Funds'!$J$71+'Part III-A-Uses of Funds'!$M$71+'Part III-A-Uses of Funds'!$P$71</f>
        <v>0</v>
      </c>
      <c r="E34" s="713"/>
      <c r="F34" s="3414"/>
      <c r="G34" s="713"/>
      <c r="H34" s="3414"/>
      <c r="R34" s="2478">
        <v>34</v>
      </c>
    </row>
    <row r="35" spans="1:18" s="712" customFormat="1" ht="6" customHeight="1">
      <c r="D35" s="713"/>
      <c r="E35" s="713"/>
      <c r="F35" s="3414"/>
      <c r="G35" s="715"/>
      <c r="H35" s="3414"/>
      <c r="R35" s="2478">
        <v>35</v>
      </c>
    </row>
    <row r="36" spans="1:18" s="712" customFormat="1" ht="41.25" customHeight="1">
      <c r="A36" s="3404" t="str">
        <f>'Part III-A-Uses of Funds'!$C$72</f>
        <v>&lt;&lt; Enter description here; provide detail &amp; justification in tab Part III-b &gt;&gt;</v>
      </c>
      <c r="B36" s="3405"/>
      <c r="C36" s="3405"/>
      <c r="D36" s="3406"/>
      <c r="E36" s="713"/>
      <c r="F36" s="3414"/>
      <c r="G36" s="713"/>
      <c r="H36" s="3414"/>
      <c r="R36" s="2478">
        <v>36</v>
      </c>
    </row>
    <row r="37" spans="1:18" s="712" customFormat="1" ht="41.25" customHeight="1">
      <c r="A37" s="3407"/>
      <c r="B37" s="3408"/>
      <c r="C37" s="3408"/>
      <c r="D37" s="3409"/>
      <c r="E37" s="713"/>
      <c r="F37" s="3414"/>
      <c r="G37" s="713"/>
      <c r="H37" s="3414"/>
      <c r="R37" s="2477">
        <v>37</v>
      </c>
    </row>
    <row r="38" spans="1:18" s="712" customFormat="1" ht="4.5" customHeight="1">
      <c r="A38" s="713"/>
      <c r="B38" s="713"/>
      <c r="C38" s="713"/>
      <c r="D38" s="713"/>
      <c r="E38" s="713"/>
      <c r="F38" s="3414"/>
      <c r="G38" s="713"/>
      <c r="H38" s="3414"/>
      <c r="R38" s="2477">
        <v>38</v>
      </c>
    </row>
    <row r="39" spans="1:18" s="712" customFormat="1" ht="14.25" customHeight="1">
      <c r="A39" s="722" t="s">
        <v>3126</v>
      </c>
      <c r="B39" s="721">
        <f>'Part III-A-Uses of Funds'!$G$72</f>
        <v>0</v>
      </c>
      <c r="C39" s="722" t="s">
        <v>1660</v>
      </c>
      <c r="D39" s="721">
        <f>'Part III-A-Uses of Funds'!$J$72+'Part III-A-Uses of Funds'!$M$72+'Part III-A-Uses of Funds'!$P$72</f>
        <v>0</v>
      </c>
      <c r="E39" s="713"/>
      <c r="F39" s="3414"/>
      <c r="G39" s="713"/>
      <c r="H39" s="3414"/>
      <c r="R39" s="2477">
        <v>39</v>
      </c>
    </row>
    <row r="40" spans="1:18" s="712" customFormat="1" ht="6" customHeight="1">
      <c r="D40" s="713"/>
      <c r="E40" s="713"/>
      <c r="F40" s="3415"/>
      <c r="G40" s="715"/>
      <c r="H40" s="3415"/>
      <c r="R40" s="2477">
        <v>40</v>
      </c>
    </row>
    <row r="41" spans="1:18" s="712" customFormat="1">
      <c r="A41" s="723" t="s">
        <v>448</v>
      </c>
      <c r="B41" s="713"/>
      <c r="C41" s="713"/>
      <c r="D41" s="713"/>
      <c r="E41" s="717"/>
      <c r="F41" s="717"/>
      <c r="G41" s="713"/>
      <c r="R41" s="2477">
        <v>41</v>
      </c>
    </row>
    <row r="42" spans="1:18" s="712" customFormat="1" ht="41.25" customHeight="1">
      <c r="A42" s="3404" t="str">
        <f>'Part III-A-Uses of Funds'!$C$85</f>
        <v>&lt;&lt; Enter description here; provide detail &amp; justification in tab Part III-b &gt;&gt;</v>
      </c>
      <c r="B42" s="3405"/>
      <c r="C42" s="3405"/>
      <c r="D42" s="3406"/>
      <c r="F42" s="3410"/>
      <c r="G42" s="713"/>
      <c r="H42" s="3410"/>
      <c r="R42" s="2477">
        <v>42</v>
      </c>
    </row>
    <row r="43" spans="1:18" s="712" customFormat="1" ht="41.25" customHeight="1">
      <c r="A43" s="3407"/>
      <c r="B43" s="3408"/>
      <c r="C43" s="3408"/>
      <c r="D43" s="3409"/>
      <c r="E43" s="713"/>
      <c r="F43" s="3411"/>
      <c r="G43" s="713"/>
      <c r="H43" s="3411"/>
      <c r="R43" s="2478">
        <v>43</v>
      </c>
    </row>
    <row r="44" spans="1:18" s="712" customFormat="1" ht="4.5" customHeight="1">
      <c r="A44" s="713"/>
      <c r="B44" s="713"/>
      <c r="C44" s="713"/>
      <c r="D44" s="713"/>
      <c r="E44" s="713"/>
      <c r="F44" s="3411"/>
      <c r="G44" s="713"/>
      <c r="H44" s="3411"/>
      <c r="R44" s="2478">
        <v>44</v>
      </c>
    </row>
    <row r="45" spans="1:18" s="712" customFormat="1" ht="13.5" customHeight="1">
      <c r="A45" s="722" t="s">
        <v>3126</v>
      </c>
      <c r="B45" s="721">
        <f>'Part III-A-Uses of Funds'!$G$85</f>
        <v>0</v>
      </c>
      <c r="C45" s="722" t="s">
        <v>1660</v>
      </c>
      <c r="D45" s="721">
        <f>'Part III-A-Uses of Funds'!$J$85+'Part III-A-Uses of Funds'!$M$85+'Part III-A-Uses of Funds'!$P$85</f>
        <v>0</v>
      </c>
      <c r="E45" s="713"/>
      <c r="F45" s="3411"/>
      <c r="G45" s="713"/>
      <c r="H45" s="3411"/>
      <c r="R45" s="2478">
        <v>45</v>
      </c>
    </row>
    <row r="46" spans="1:18" s="712" customFormat="1" ht="6" customHeight="1">
      <c r="A46" s="713"/>
      <c r="B46" s="714"/>
      <c r="C46" s="713"/>
      <c r="D46" s="713"/>
      <c r="E46" s="713"/>
      <c r="F46" s="3412"/>
      <c r="G46" s="715"/>
      <c r="H46" s="3412"/>
      <c r="R46" s="2477">
        <v>46</v>
      </c>
    </row>
    <row r="47" spans="1:18" s="712" customFormat="1">
      <c r="A47" s="723" t="s">
        <v>676</v>
      </c>
      <c r="B47" s="713"/>
      <c r="C47" s="713"/>
      <c r="D47" s="713"/>
      <c r="E47" s="713"/>
      <c r="F47" s="713"/>
      <c r="G47" s="713"/>
      <c r="R47" s="2477">
        <v>47</v>
      </c>
    </row>
    <row r="48" spans="1:18" s="712" customFormat="1" ht="41.25" customHeight="1">
      <c r="A48" s="3404" t="str">
        <f>'Part III-A-Uses of Funds'!$C$102</f>
        <v>&lt;&lt; Enter description here; provide detail &amp; justification in tab Part III-b &gt;&gt;</v>
      </c>
      <c r="B48" s="3405"/>
      <c r="C48" s="3405"/>
      <c r="D48" s="3406"/>
      <c r="F48" s="3410"/>
      <c r="G48" s="713"/>
      <c r="R48" s="2477">
        <v>48</v>
      </c>
    </row>
    <row r="49" spans="1:18" s="712" customFormat="1" ht="41.25" customHeight="1">
      <c r="A49" s="3407"/>
      <c r="B49" s="3408"/>
      <c r="C49" s="3408"/>
      <c r="D49" s="3409"/>
      <c r="E49" s="713"/>
      <c r="F49" s="3411"/>
      <c r="G49" s="713"/>
      <c r="R49" s="2477">
        <v>49</v>
      </c>
    </row>
    <row r="50" spans="1:18" s="712" customFormat="1" ht="3" customHeight="1">
      <c r="A50" s="713"/>
      <c r="B50" s="713"/>
      <c r="C50" s="713"/>
      <c r="D50" s="713"/>
      <c r="E50" s="713"/>
      <c r="F50" s="3411"/>
      <c r="G50" s="713"/>
      <c r="R50" s="2477">
        <v>50</v>
      </c>
    </row>
    <row r="51" spans="1:18" s="712" customFormat="1" ht="13.5" customHeight="1">
      <c r="A51" s="722" t="s">
        <v>3126</v>
      </c>
      <c r="B51" s="721">
        <f>'Part III-A-Uses of Funds'!$G$102</f>
        <v>0</v>
      </c>
      <c r="C51" s="716"/>
      <c r="D51" s="716"/>
      <c r="E51" s="713"/>
      <c r="F51" s="3411"/>
      <c r="G51" s="713"/>
      <c r="R51" s="2477">
        <v>51</v>
      </c>
    </row>
    <row r="52" spans="1:18" s="712" customFormat="1" ht="3.75" customHeight="1">
      <c r="A52" s="713"/>
      <c r="B52" s="713"/>
      <c r="C52" s="713"/>
      <c r="D52" s="713"/>
      <c r="E52" s="713"/>
      <c r="F52" s="3412"/>
      <c r="G52" s="715"/>
      <c r="R52" s="2478">
        <v>52</v>
      </c>
    </row>
    <row r="53" spans="1:18" s="712" customFormat="1">
      <c r="A53" s="723" t="s">
        <v>3127</v>
      </c>
      <c r="B53" s="713"/>
      <c r="C53" s="713"/>
      <c r="D53" s="713"/>
      <c r="E53" s="713"/>
      <c r="F53" s="713"/>
      <c r="G53" s="713"/>
      <c r="R53" s="2478">
        <v>53</v>
      </c>
    </row>
    <row r="54" spans="1:18" s="712" customFormat="1" ht="41.25" customHeight="1">
      <c r="A54" s="3404" t="str">
        <f>'Part III-A-Uses of Funds'!$C$112</f>
        <v>&lt;&lt; Enter description here; provide detail &amp; justification in tab Part III-b &gt;&gt;</v>
      </c>
      <c r="B54" s="3405"/>
      <c r="C54" s="3405"/>
      <c r="D54" s="3406"/>
      <c r="F54" s="3413"/>
      <c r="G54" s="713"/>
      <c r="R54" s="2478">
        <v>54</v>
      </c>
    </row>
    <row r="55" spans="1:18" s="712" customFormat="1" ht="41.25" customHeight="1">
      <c r="A55" s="3407"/>
      <c r="B55" s="3408"/>
      <c r="C55" s="3408"/>
      <c r="D55" s="3409"/>
      <c r="E55" s="713"/>
      <c r="F55" s="3414"/>
      <c r="G55" s="713"/>
      <c r="R55" s="2477">
        <v>55</v>
      </c>
    </row>
    <row r="56" spans="1:18" s="712" customFormat="1" ht="3" customHeight="1">
      <c r="A56" s="713"/>
      <c r="B56" s="713"/>
      <c r="C56" s="713"/>
      <c r="D56" s="713"/>
      <c r="E56" s="713"/>
      <c r="F56" s="3414"/>
      <c r="G56" s="713"/>
      <c r="R56" s="2477">
        <v>56</v>
      </c>
    </row>
    <row r="57" spans="1:18" s="712" customFormat="1">
      <c r="A57" s="722" t="s">
        <v>3126</v>
      </c>
      <c r="B57" s="721">
        <f>'Part III-A-Uses of Funds'!$G$112</f>
        <v>0</v>
      </c>
      <c r="C57" s="716"/>
      <c r="D57" s="716"/>
      <c r="E57" s="713"/>
      <c r="F57" s="3414"/>
      <c r="G57" s="713"/>
      <c r="R57" s="2477">
        <v>57</v>
      </c>
    </row>
    <row r="58" spans="1:18" s="712" customFormat="1" ht="3.75" customHeight="1">
      <c r="A58" s="711"/>
      <c r="B58" s="711"/>
      <c r="C58" s="711"/>
      <c r="D58" s="711"/>
      <c r="E58" s="711"/>
      <c r="F58" s="3414"/>
      <c r="G58" s="715"/>
      <c r="R58" s="2477">
        <v>58</v>
      </c>
    </row>
    <row r="59" spans="1:18" s="712" customFormat="1" ht="41.25" customHeight="1">
      <c r="A59" s="3404" t="str">
        <f>'Part III-A-Uses of Funds'!$C$113</f>
        <v>&lt;&lt; Enter description here; provide detail &amp; justification in tab Part III-b &gt;&gt;</v>
      </c>
      <c r="B59" s="3405"/>
      <c r="C59" s="3405"/>
      <c r="D59" s="3406"/>
      <c r="F59" s="3414"/>
      <c r="G59" s="713"/>
      <c r="R59" s="2477">
        <v>59</v>
      </c>
    </row>
    <row r="60" spans="1:18" s="712" customFormat="1" ht="41.25" customHeight="1">
      <c r="A60" s="3407"/>
      <c r="B60" s="3408"/>
      <c r="C60" s="3408"/>
      <c r="D60" s="3409"/>
      <c r="E60" s="713"/>
      <c r="F60" s="3414"/>
      <c r="G60" s="713"/>
      <c r="R60" s="2477">
        <v>60</v>
      </c>
    </row>
    <row r="61" spans="1:18" s="712" customFormat="1" ht="3" customHeight="1">
      <c r="A61" s="713"/>
      <c r="B61" s="713"/>
      <c r="C61" s="713"/>
      <c r="D61" s="713"/>
      <c r="E61" s="713"/>
      <c r="F61" s="3414"/>
      <c r="G61" s="713"/>
      <c r="R61" s="2478">
        <v>61</v>
      </c>
    </row>
    <row r="62" spans="1:18" s="712" customFormat="1">
      <c r="A62" s="722" t="s">
        <v>3126</v>
      </c>
      <c r="B62" s="721">
        <f>'Part III-A-Uses of Funds'!$G$113</f>
        <v>0</v>
      </c>
      <c r="C62" s="716"/>
      <c r="D62" s="716"/>
      <c r="E62" s="713"/>
      <c r="F62" s="3414"/>
      <c r="G62" s="713"/>
      <c r="R62" s="2478">
        <v>62</v>
      </c>
    </row>
    <row r="63" spans="1:18" s="712" customFormat="1" ht="3.75" customHeight="1">
      <c r="A63" s="711"/>
      <c r="B63" s="711"/>
      <c r="C63" s="711"/>
      <c r="D63" s="711"/>
      <c r="E63" s="711"/>
      <c r="F63" s="3415"/>
      <c r="G63" s="715"/>
      <c r="R63" s="2478">
        <v>63</v>
      </c>
    </row>
    <row r="64" spans="1:18" s="712" customFormat="1">
      <c r="A64" s="723" t="s">
        <v>3128</v>
      </c>
      <c r="B64" s="713"/>
      <c r="C64" s="713"/>
      <c r="D64" s="713"/>
      <c r="E64" s="713"/>
      <c r="F64" s="713"/>
      <c r="G64" s="713"/>
      <c r="R64" s="2477">
        <v>64</v>
      </c>
    </row>
    <row r="65" spans="1:18" s="712" customFormat="1" ht="41.25" customHeight="1">
      <c r="A65" s="3404" t="str">
        <f>'Part III-A-Uses of Funds'!$C$119</f>
        <v>&lt;&lt; Enter description here; provide detail &amp; justification in tab Part III-b &gt;&gt;</v>
      </c>
      <c r="B65" s="3405"/>
      <c r="C65" s="3405"/>
      <c r="D65" s="3406"/>
      <c r="F65" s="3410"/>
      <c r="G65" s="713"/>
      <c r="R65" s="2477">
        <v>65</v>
      </c>
    </row>
    <row r="66" spans="1:18" s="712" customFormat="1" ht="41.25" customHeight="1">
      <c r="A66" s="3407"/>
      <c r="B66" s="3408"/>
      <c r="C66" s="3408"/>
      <c r="D66" s="3409"/>
      <c r="E66" s="713"/>
      <c r="F66" s="3411"/>
      <c r="G66" s="713"/>
      <c r="R66" s="2477">
        <v>66</v>
      </c>
    </row>
    <row r="67" spans="1:18" s="712" customFormat="1" ht="3" customHeight="1">
      <c r="A67" s="713"/>
      <c r="B67" s="713"/>
      <c r="C67" s="713"/>
      <c r="D67" s="713"/>
      <c r="E67" s="713"/>
      <c r="F67" s="3411"/>
      <c r="G67" s="713"/>
      <c r="R67" s="2477">
        <v>67</v>
      </c>
    </row>
    <row r="68" spans="1:18" s="712" customFormat="1">
      <c r="A68" s="722" t="s">
        <v>3126</v>
      </c>
      <c r="B68" s="721">
        <f>'Part III-A-Uses of Funds'!$G$119</f>
        <v>0</v>
      </c>
      <c r="C68" s="716"/>
      <c r="D68" s="716"/>
      <c r="E68" s="713"/>
      <c r="F68" s="3411"/>
      <c r="G68" s="713"/>
      <c r="R68" s="2477">
        <v>68</v>
      </c>
    </row>
    <row r="69" spans="1:18" s="712" customFormat="1" ht="3.75" customHeight="1">
      <c r="A69" s="713"/>
      <c r="B69" s="714"/>
      <c r="C69" s="713"/>
      <c r="D69" s="713"/>
      <c r="E69" s="713"/>
      <c r="F69" s="3412"/>
      <c r="G69" s="715"/>
      <c r="R69" s="2477">
        <v>69</v>
      </c>
    </row>
    <row r="70" spans="1:18" s="712" customFormat="1">
      <c r="A70" s="723" t="s">
        <v>1229</v>
      </c>
      <c r="B70" s="713"/>
      <c r="C70" s="713"/>
      <c r="D70" s="713"/>
      <c r="E70" s="713"/>
      <c r="F70" s="713"/>
      <c r="G70" s="713"/>
      <c r="R70" s="2478">
        <v>70</v>
      </c>
    </row>
    <row r="71" spans="1:18" s="712" customFormat="1" ht="41.25" customHeight="1">
      <c r="A71" s="3404" t="str">
        <f>'Part III-A-Uses of Funds'!$C$134</f>
        <v>&lt;&lt; Enter description here; provide detail &amp; justification in tab Part III-b &gt;&gt;</v>
      </c>
      <c r="B71" s="3405"/>
      <c r="C71" s="3405"/>
      <c r="D71" s="3406"/>
      <c r="F71" s="3410"/>
      <c r="G71" s="713"/>
      <c r="H71" s="3410"/>
      <c r="R71" s="2478">
        <v>71</v>
      </c>
    </row>
    <row r="72" spans="1:18" s="712" customFormat="1" ht="41.25" customHeight="1">
      <c r="A72" s="3407"/>
      <c r="B72" s="3408"/>
      <c r="C72" s="3408"/>
      <c r="D72" s="3409"/>
      <c r="E72" s="713"/>
      <c r="F72" s="3411"/>
      <c r="G72" s="713"/>
      <c r="H72" s="3411"/>
      <c r="R72" s="2478">
        <v>72</v>
      </c>
    </row>
    <row r="73" spans="1:18" s="712" customFormat="1" ht="4.5" customHeight="1">
      <c r="A73" s="713"/>
      <c r="B73" s="713"/>
      <c r="C73" s="713"/>
      <c r="D73" s="713"/>
      <c r="E73" s="713"/>
      <c r="F73" s="3411"/>
      <c r="G73" s="713"/>
      <c r="H73" s="3411"/>
      <c r="R73" s="2477">
        <v>73</v>
      </c>
    </row>
    <row r="74" spans="1:18" s="712" customFormat="1" ht="12.75" customHeight="1">
      <c r="A74" s="722" t="s">
        <v>3126</v>
      </c>
      <c r="B74" s="721">
        <f>'Part III-A-Uses of Funds'!$G$134</f>
        <v>0</v>
      </c>
      <c r="C74" s="722" t="s">
        <v>1660</v>
      </c>
      <c r="D74" s="721">
        <f>'Part III-A-Uses of Funds'!$J$134+'Part III-A-Uses of Funds'!$M$134+'Part III-A-Uses of Funds'!$P$134</f>
        <v>0</v>
      </c>
      <c r="E74" s="713"/>
      <c r="F74" s="3411"/>
      <c r="G74" s="713"/>
      <c r="H74" s="3411"/>
      <c r="R74" s="2477">
        <v>74</v>
      </c>
    </row>
    <row r="75" spans="1:18" s="712" customFormat="1" ht="6" customHeight="1">
      <c r="A75" s="713"/>
      <c r="B75" s="714"/>
      <c r="C75" s="713"/>
      <c r="D75" s="713"/>
      <c r="E75" s="713"/>
      <c r="F75" s="3412"/>
      <c r="G75" s="715"/>
      <c r="H75" s="3412"/>
      <c r="R75" s="2477">
        <v>75</v>
      </c>
    </row>
    <row r="76" spans="1:18" s="712" customFormat="1">
      <c r="A76" s="723" t="s">
        <v>3129</v>
      </c>
      <c r="B76" s="714"/>
      <c r="C76" s="713"/>
      <c r="D76" s="713"/>
      <c r="E76" s="713"/>
      <c r="F76" s="713"/>
      <c r="G76" s="715"/>
      <c r="R76" s="2477">
        <v>76</v>
      </c>
    </row>
    <row r="77" spans="1:18" s="712" customFormat="1" ht="41.25" customHeight="1">
      <c r="A77" s="3404" t="str">
        <f>'Part III-A-Uses of Funds'!$C$143</f>
        <v>&lt;&lt; Enter description here; provide detail &amp; justification in tab Part III-b &gt;&gt;</v>
      </c>
      <c r="B77" s="3405"/>
      <c r="C77" s="3405"/>
      <c r="D77" s="3406"/>
      <c r="F77" s="3410"/>
      <c r="G77" s="713"/>
      <c r="H77" s="3410"/>
      <c r="R77" s="2477">
        <v>77</v>
      </c>
    </row>
    <row r="78" spans="1:18" s="712" customFormat="1" ht="41.25" customHeight="1">
      <c r="A78" s="3407"/>
      <c r="B78" s="3408"/>
      <c r="C78" s="3408"/>
      <c r="D78" s="3409"/>
      <c r="E78" s="713"/>
      <c r="F78" s="3411"/>
      <c r="G78" s="713"/>
      <c r="H78" s="3411"/>
      <c r="R78" s="2477">
        <v>78</v>
      </c>
    </row>
    <row r="79" spans="1:18" s="712" customFormat="1" ht="4.5" customHeight="1">
      <c r="A79" s="713"/>
      <c r="B79" s="713"/>
      <c r="C79" s="713"/>
      <c r="D79" s="713"/>
      <c r="E79" s="713"/>
      <c r="F79" s="3411"/>
      <c r="G79" s="713"/>
      <c r="H79" s="3411"/>
      <c r="R79" s="2478">
        <v>79</v>
      </c>
    </row>
    <row r="80" spans="1:18" s="712" customFormat="1" ht="12.75" customHeight="1">
      <c r="A80" s="722" t="s">
        <v>3126</v>
      </c>
      <c r="B80" s="721">
        <f>'Part III-A-Uses of Funds'!$G$143</f>
        <v>0</v>
      </c>
      <c r="C80" s="722" t="s">
        <v>1660</v>
      </c>
      <c r="D80" s="721">
        <f>'Part III-A-Uses of Funds'!$J$143+'Part III-A-Uses of Funds'!$M$143+'Part III-A-Uses of Funds'!$P$143</f>
        <v>0</v>
      </c>
      <c r="E80" s="718"/>
      <c r="F80" s="3411"/>
      <c r="G80" s="713"/>
      <c r="H80" s="3411"/>
      <c r="R80" s="2478">
        <v>80</v>
      </c>
    </row>
    <row r="81" spans="4:18" s="712" customFormat="1" ht="6" customHeight="1">
      <c r="D81" s="719"/>
      <c r="E81" s="720"/>
      <c r="F81" s="3412"/>
      <c r="G81" s="715"/>
      <c r="H81" s="3412"/>
      <c r="R81" s="2478">
        <v>81</v>
      </c>
    </row>
    <row r="82" spans="4:18" s="712" customFormat="1">
      <c r="R82" s="2477">
        <v>82</v>
      </c>
    </row>
    <row r="83" spans="4:18" s="712" customFormat="1">
      <c r="R83" s="2477">
        <v>83</v>
      </c>
    </row>
    <row r="84" spans="4:18" s="712" customFormat="1">
      <c r="R84" s="796"/>
    </row>
    <row r="85" spans="4:18" s="712" customFormat="1">
      <c r="R85" s="796"/>
    </row>
    <row r="86" spans="4:18" s="712" customFormat="1">
      <c r="R86" s="796"/>
    </row>
    <row r="87" spans="4:18" s="712" customFormat="1">
      <c r="R87" s="796"/>
    </row>
    <row r="88" spans="4:18" s="712" customFormat="1">
      <c r="R88" s="796"/>
    </row>
    <row r="89" spans="4:18" s="712" customFormat="1">
      <c r="R89" s="796"/>
    </row>
    <row r="90" spans="4:18" s="712" customFormat="1">
      <c r="R90" s="796"/>
    </row>
    <row r="91" spans="4:18" s="712" customFormat="1">
      <c r="R91" s="796"/>
    </row>
    <row r="92" spans="4:18" s="712" customFormat="1">
      <c r="R92" s="796"/>
    </row>
  </sheetData>
  <sheetProtection algorithmName="SHA-512" hashValue="Dspg/uVtxKOqTOSMpJljJ4UojfhWZtPguztjclz9mZq6Vw/xjaYbSGK1nqAKQ8dlMd2ZrGJr/HAa2eO7U3fi8Q==" saltValue="KDujr4s6G1fSiF8aDqoyO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3" sqref="I3:J3"/>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2480"/>
  </cols>
  <sheetData>
    <row r="1" spans="1:27" s="6" customFormat="1" ht="14.15" customHeight="1">
      <c r="A1" s="3447" t="str">
        <f>CONCATENATE("PART FOUR - UTILITY ALLOWANCES","  -  ",'Part I-Project Identification'!$O$7," ",'Part I-Project Identification'!$F$26,", ",'Part I-Project Identification'!F27,", ",'Part I-Project Identification'!J27," County")</f>
        <v>PART FOUR - UTILITY ALLOWANCES  -  2024-5 , &lt;&lt; Select from list &gt;&gt;, Select City first County</v>
      </c>
      <c r="B1" s="3448"/>
      <c r="C1" s="3448"/>
      <c r="D1" s="3448"/>
      <c r="E1" s="3448"/>
      <c r="F1" s="3448"/>
      <c r="G1" s="3448"/>
      <c r="H1" s="3448"/>
      <c r="I1" s="3448"/>
      <c r="J1" s="3448"/>
      <c r="K1" s="3448"/>
      <c r="L1" s="3448"/>
      <c r="M1" s="3448"/>
      <c r="N1" s="4"/>
      <c r="O1" s="4"/>
      <c r="P1" s="4"/>
      <c r="Q1" s="4"/>
      <c r="AA1" s="2479">
        <v>1</v>
      </c>
    </row>
    <row r="2" spans="1:27" s="6" customFormat="1" ht="7.5" customHeight="1">
      <c r="AA2" s="2479">
        <v>2</v>
      </c>
    </row>
    <row r="3" spans="1:27" s="6" customFormat="1" ht="12.75" customHeight="1">
      <c r="B3" s="3449" t="str">
        <f>'Part I-Project Identification'!$A$6</f>
        <v>4% Credit Core
Sept 26, 2024</v>
      </c>
      <c r="C3" s="3449"/>
      <c r="D3" s="3449"/>
      <c r="E3" s="3449"/>
      <c r="F3" s="4" t="s">
        <v>4635</v>
      </c>
      <c r="I3" s="3450"/>
      <c r="J3" s="3451"/>
      <c r="AA3" s="2479">
        <v>3</v>
      </c>
    </row>
    <row r="4" spans="1:27" s="6" customFormat="1" ht="6" customHeight="1">
      <c r="AA4" s="2479">
        <v>4</v>
      </c>
    </row>
    <row r="5" spans="1:27" ht="13">
      <c r="A5" s="206" t="s">
        <v>4399</v>
      </c>
      <c r="O5" s="826"/>
      <c r="P5" s="826"/>
      <c r="Q5" s="826"/>
      <c r="R5" s="826"/>
      <c r="S5" s="826"/>
      <c r="T5" s="826"/>
      <c r="U5" s="826"/>
      <c r="V5" s="392"/>
      <c r="W5" s="392"/>
      <c r="X5" s="392"/>
      <c r="Y5" s="392"/>
      <c r="AA5" s="2479">
        <v>5</v>
      </c>
    </row>
    <row r="6" spans="1:27" ht="6" customHeight="1">
      <c r="A6" s="6"/>
      <c r="O6" s="826"/>
      <c r="P6" s="826"/>
      <c r="Q6" s="826"/>
      <c r="R6" s="826"/>
      <c r="S6" s="826"/>
      <c r="T6" s="826"/>
      <c r="U6" s="826"/>
      <c r="V6" s="392"/>
      <c r="W6" s="392"/>
      <c r="X6" s="392"/>
      <c r="Y6" s="392"/>
      <c r="AA6" s="2479">
        <v>6</v>
      </c>
    </row>
    <row r="7" spans="1:27" s="6" customFormat="1" ht="13.5" customHeight="1">
      <c r="A7" s="10" t="s">
        <v>572</v>
      </c>
      <c r="B7" s="10" t="s">
        <v>2054</v>
      </c>
      <c r="F7" s="1" t="s">
        <v>2311</v>
      </c>
      <c r="G7" s="1"/>
      <c r="H7" s="1"/>
      <c r="I7" s="3440"/>
      <c r="J7" s="3441"/>
      <c r="K7" s="3441"/>
      <c r="L7" s="3441"/>
      <c r="M7" s="3442"/>
      <c r="O7" s="826"/>
      <c r="P7" s="826"/>
      <c r="Q7" s="826"/>
      <c r="R7" s="826"/>
      <c r="S7" s="826"/>
      <c r="T7" s="826"/>
      <c r="U7" s="826"/>
      <c r="V7" s="392"/>
      <c r="W7" s="392"/>
      <c r="X7" s="392"/>
      <c r="Y7" s="392"/>
      <c r="AA7" s="2479">
        <v>7</v>
      </c>
    </row>
    <row r="8" spans="1:27" s="6" customFormat="1" ht="13.4" customHeight="1">
      <c r="A8" s="10"/>
      <c r="F8" s="1" t="s">
        <v>592</v>
      </c>
      <c r="G8" s="1"/>
      <c r="H8" s="26"/>
      <c r="I8" s="3443"/>
      <c r="J8" s="3444"/>
      <c r="K8" s="5" t="s">
        <v>504</v>
      </c>
      <c r="L8" s="3445"/>
      <c r="M8" s="3446"/>
      <c r="O8" s="826"/>
      <c r="P8" s="826"/>
      <c r="Q8" s="826"/>
      <c r="R8" s="826"/>
      <c r="S8" s="826"/>
      <c r="T8" s="826"/>
      <c r="U8" s="826"/>
      <c r="V8" s="392"/>
      <c r="W8" s="392"/>
      <c r="X8" s="392"/>
      <c r="Y8" s="392"/>
      <c r="AA8" s="2479">
        <v>8</v>
      </c>
    </row>
    <row r="9" spans="1:27" s="6" customFormat="1" ht="4.5" customHeight="1">
      <c r="A9" s="10"/>
      <c r="O9" s="826"/>
      <c r="P9" s="826"/>
      <c r="Q9" s="826"/>
      <c r="R9" s="826"/>
      <c r="S9" s="826"/>
      <c r="T9" s="826"/>
      <c r="U9" s="826"/>
      <c r="V9" s="392"/>
      <c r="W9" s="392"/>
      <c r="X9" s="392"/>
      <c r="Y9" s="392"/>
      <c r="AA9" s="2479">
        <v>9</v>
      </c>
    </row>
    <row r="10" spans="1:27" s="10" customFormat="1" ht="13.5" customHeight="1">
      <c r="F10" s="3439" t="s">
        <v>566</v>
      </c>
      <c r="G10" s="3439"/>
      <c r="I10" s="3439" t="s">
        <v>193</v>
      </c>
      <c r="J10" s="3439"/>
      <c r="K10" s="3439"/>
      <c r="L10" s="3439"/>
      <c r="M10" s="3439"/>
      <c r="O10" s="826"/>
      <c r="P10" s="826"/>
      <c r="Q10" s="826"/>
      <c r="R10" s="826"/>
      <c r="S10" s="826"/>
      <c r="T10" s="826"/>
      <c r="U10" s="826"/>
      <c r="AA10" s="2479">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79">
        <v>11</v>
      </c>
    </row>
    <row r="12" spans="1:27" s="6" customFormat="1" ht="12" customHeight="1">
      <c r="B12" s="1208" t="s">
        <v>1711</v>
      </c>
      <c r="C12" s="1209"/>
      <c r="D12" s="3437" t="s">
        <v>1684</v>
      </c>
      <c r="E12" s="3438"/>
      <c r="F12" s="207"/>
      <c r="G12" s="207"/>
      <c r="H12" s="791"/>
      <c r="I12" s="1203"/>
      <c r="J12" s="1203"/>
      <c r="K12" s="1203"/>
      <c r="L12" s="1203"/>
      <c r="M12" s="1203"/>
      <c r="O12" s="826"/>
      <c r="P12" s="826"/>
      <c r="Q12" s="826"/>
      <c r="R12" s="826"/>
      <c r="S12" s="826"/>
      <c r="T12" s="826"/>
      <c r="U12" s="826"/>
      <c r="AA12" s="2479">
        <v>12</v>
      </c>
    </row>
    <row r="13" spans="1:27" s="6" customFormat="1" ht="12" customHeight="1">
      <c r="B13" s="1210" t="s">
        <v>1490</v>
      </c>
      <c r="C13" s="1211"/>
      <c r="D13" s="3425" t="s">
        <v>1684</v>
      </c>
      <c r="E13" s="3426"/>
      <c r="F13" s="208"/>
      <c r="G13" s="208"/>
      <c r="H13" s="790"/>
      <c r="I13" s="1204"/>
      <c r="J13" s="1204"/>
      <c r="K13" s="1204"/>
      <c r="L13" s="1205"/>
      <c r="M13" s="1205"/>
      <c r="O13" s="3427" t="s">
        <v>3194</v>
      </c>
      <c r="P13" s="3427"/>
      <c r="Q13" s="3427"/>
      <c r="AA13" s="2479">
        <v>13</v>
      </c>
    </row>
    <row r="14" spans="1:27" s="6" customFormat="1" ht="12" customHeight="1">
      <c r="B14" s="1212" t="s">
        <v>1491</v>
      </c>
      <c r="C14" s="1213"/>
      <c r="D14" s="3425" t="s">
        <v>1684</v>
      </c>
      <c r="E14" s="3426"/>
      <c r="F14" s="208"/>
      <c r="G14" s="208"/>
      <c r="H14" s="203"/>
      <c r="I14" s="1204"/>
      <c r="J14" s="1204"/>
      <c r="K14" s="1204"/>
      <c r="L14" s="1205"/>
      <c r="M14" s="1205"/>
      <c r="O14" s="3427"/>
      <c r="P14" s="3427"/>
      <c r="Q14" s="3427"/>
      <c r="AA14" s="2479">
        <v>14</v>
      </c>
    </row>
    <row r="15" spans="1:27" s="6" customFormat="1" ht="12" customHeight="1">
      <c r="B15" s="1214" t="s">
        <v>439</v>
      </c>
      <c r="C15" s="1215"/>
      <c r="D15" s="1214" t="s">
        <v>1489</v>
      </c>
      <c r="E15" s="204"/>
      <c r="F15" s="208"/>
      <c r="G15" s="208"/>
      <c r="H15" s="789"/>
      <c r="I15" s="1204"/>
      <c r="J15" s="1204"/>
      <c r="K15" s="1204"/>
      <c r="L15" s="1205"/>
      <c r="M15" s="1205"/>
      <c r="O15" s="3427"/>
      <c r="P15" s="3427"/>
      <c r="Q15" s="3427"/>
      <c r="AA15" s="2479">
        <v>15</v>
      </c>
    </row>
    <row r="16" spans="1:27" s="6" customFormat="1" ht="12" customHeight="1">
      <c r="B16" s="1216" t="s">
        <v>3188</v>
      </c>
      <c r="C16" s="1211"/>
      <c r="D16" s="1210" t="s">
        <v>1489</v>
      </c>
      <c r="E16" s="788"/>
      <c r="F16" s="208"/>
      <c r="G16" s="208"/>
      <c r="H16" s="790"/>
      <c r="I16" s="1204"/>
      <c r="J16" s="1204"/>
      <c r="K16" s="1204"/>
      <c r="L16" s="1205"/>
      <c r="M16" s="1205"/>
      <c r="O16" s="3427"/>
      <c r="P16" s="3427"/>
      <c r="Q16" s="3427"/>
      <c r="AA16" s="2479">
        <v>16</v>
      </c>
    </row>
    <row r="17" spans="1:27" s="6" customFormat="1" ht="12" customHeight="1">
      <c r="B17" s="1216" t="s">
        <v>3189</v>
      </c>
      <c r="C17" s="1211"/>
      <c r="D17" s="1210" t="s">
        <v>1489</v>
      </c>
      <c r="E17" s="788"/>
      <c r="F17" s="208"/>
      <c r="G17" s="208"/>
      <c r="H17" s="790"/>
      <c r="I17" s="1204"/>
      <c r="J17" s="1204"/>
      <c r="K17" s="1204"/>
      <c r="L17" s="1205"/>
      <c r="M17" s="1205"/>
      <c r="O17" s="3427"/>
      <c r="P17" s="3427"/>
      <c r="Q17" s="3427"/>
      <c r="AA17" s="2479">
        <v>17</v>
      </c>
    </row>
    <row r="18" spans="1:27" s="6" customFormat="1" ht="12" customHeight="1">
      <c r="B18" s="1217" t="s">
        <v>3190</v>
      </c>
      <c r="C18" s="1213"/>
      <c r="D18" s="1212" t="s">
        <v>1489</v>
      </c>
      <c r="E18" s="788"/>
      <c r="F18" s="208"/>
      <c r="G18" s="208"/>
      <c r="H18" s="203"/>
      <c r="I18" s="1204"/>
      <c r="J18" s="1204"/>
      <c r="K18" s="1204"/>
      <c r="L18" s="1205"/>
      <c r="M18" s="1205"/>
      <c r="O18" s="3427"/>
      <c r="P18" s="3427"/>
      <c r="Q18" s="3427"/>
      <c r="AA18" s="2479">
        <v>18</v>
      </c>
    </row>
    <row r="19" spans="1:27" s="6" customFormat="1" ht="12" customHeight="1">
      <c r="B19" s="1214" t="s">
        <v>1290</v>
      </c>
      <c r="C19" s="1215"/>
      <c r="D19" s="1220" t="s">
        <v>2993</v>
      </c>
      <c r="E19" s="1202" t="s">
        <v>194</v>
      </c>
      <c r="F19" s="208"/>
      <c r="G19" s="208"/>
      <c r="H19" s="789"/>
      <c r="I19" s="1204"/>
      <c r="J19" s="1204"/>
      <c r="K19" s="1204"/>
      <c r="L19" s="1205"/>
      <c r="M19" s="1205"/>
      <c r="O19" s="3427"/>
      <c r="P19" s="3427"/>
      <c r="Q19" s="3427"/>
      <c r="AA19" s="2479">
        <v>19</v>
      </c>
    </row>
    <row r="20" spans="1:27" s="6" customFormat="1" ht="12" customHeight="1">
      <c r="B20" s="1218" t="s">
        <v>1710</v>
      </c>
      <c r="C20" s="1219"/>
      <c r="D20" s="205"/>
      <c r="E20" s="187"/>
      <c r="F20" s="208"/>
      <c r="G20" s="208"/>
      <c r="H20" s="790"/>
      <c r="I20" s="1204"/>
      <c r="J20" s="1204"/>
      <c r="K20" s="1204"/>
      <c r="L20" s="1205"/>
      <c r="M20" s="1205"/>
      <c r="O20" s="3427"/>
      <c r="P20" s="3427"/>
      <c r="Q20" s="3427"/>
      <c r="AA20" s="2479">
        <v>20</v>
      </c>
    </row>
    <row r="21" spans="1:27" s="6" customFormat="1" ht="12" customHeight="1">
      <c r="B21" s="1218" t="s">
        <v>689</v>
      </c>
      <c r="C21" s="3428"/>
      <c r="D21" s="3429"/>
      <c r="E21" s="3430"/>
      <c r="F21" s="209"/>
      <c r="G21" s="209"/>
      <c r="H21" s="792"/>
      <c r="I21" s="1206"/>
      <c r="J21" s="1206"/>
      <c r="K21" s="1206"/>
      <c r="L21" s="1207"/>
      <c r="M21" s="1207"/>
      <c r="O21" s="3427"/>
      <c r="P21" s="3427"/>
      <c r="Q21" s="3427"/>
      <c r="AA21" s="2479">
        <v>21</v>
      </c>
    </row>
    <row r="22" spans="1:27" s="6" customFormat="1" ht="13">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79">
        <v>22</v>
      </c>
    </row>
    <row r="23" spans="1:27" s="6" customFormat="1" ht="7.5" customHeight="1">
      <c r="M23"/>
      <c r="N23"/>
      <c r="O23" s="826"/>
      <c r="P23" s="826"/>
      <c r="Q23" s="826"/>
      <c r="R23" s="826"/>
      <c r="S23" s="826"/>
      <c r="T23" s="826"/>
      <c r="U23" s="826"/>
      <c r="V23" s="392"/>
      <c r="W23" s="392"/>
      <c r="X23" s="392"/>
      <c r="Y23" s="392"/>
      <c r="AA23" s="2479">
        <v>23</v>
      </c>
    </row>
    <row r="24" spans="1:27" s="6" customFormat="1" ht="12.75" customHeight="1">
      <c r="A24" s="10" t="s">
        <v>688</v>
      </c>
      <c r="B24" s="10" t="s">
        <v>2055</v>
      </c>
      <c r="F24" s="1" t="s">
        <v>2311</v>
      </c>
      <c r="G24" s="1"/>
      <c r="H24" s="1"/>
      <c r="I24" s="3440"/>
      <c r="J24" s="3441"/>
      <c r="K24" s="3441"/>
      <c r="L24" s="3441"/>
      <c r="M24" s="3442"/>
      <c r="O24" s="826"/>
      <c r="P24" s="826"/>
      <c r="Q24" s="826"/>
      <c r="R24" s="826"/>
      <c r="S24" s="826"/>
      <c r="T24" s="826"/>
      <c r="U24" s="826"/>
      <c r="V24" s="392"/>
      <c r="W24" s="392"/>
      <c r="X24" s="392"/>
      <c r="Y24" s="392"/>
      <c r="AA24" s="2479">
        <v>24</v>
      </c>
    </row>
    <row r="25" spans="1:27" s="6" customFormat="1" ht="13.4" customHeight="1">
      <c r="A25" s="10"/>
      <c r="B25" s="10"/>
      <c r="F25" s="1" t="s">
        <v>592</v>
      </c>
      <c r="G25" s="1"/>
      <c r="H25" s="26"/>
      <c r="I25" s="3443"/>
      <c r="J25" s="3444"/>
      <c r="K25" s="5" t="s">
        <v>504</v>
      </c>
      <c r="L25" s="3445"/>
      <c r="M25" s="3446"/>
      <c r="O25" s="826"/>
      <c r="P25" s="826"/>
      <c r="Q25" s="826"/>
      <c r="R25" s="826"/>
      <c r="S25" s="826"/>
      <c r="T25" s="826"/>
      <c r="U25" s="826"/>
      <c r="V25" s="392"/>
      <c r="W25" s="392"/>
      <c r="X25" s="392"/>
      <c r="Y25" s="392"/>
      <c r="AA25" s="2479">
        <v>25</v>
      </c>
    </row>
    <row r="26" spans="1:27" s="6" customFormat="1" ht="4.5" customHeight="1">
      <c r="A26" s="10"/>
      <c r="O26" s="826"/>
      <c r="P26" s="826"/>
      <c r="Q26" s="826"/>
      <c r="R26" s="826"/>
      <c r="S26" s="826"/>
      <c r="T26" s="826"/>
      <c r="U26" s="826"/>
      <c r="V26" s="392"/>
      <c r="W26" s="392"/>
      <c r="X26" s="392"/>
      <c r="Y26" s="392"/>
      <c r="AA26" s="2479">
        <v>26</v>
      </c>
    </row>
    <row r="27" spans="1:27" s="10" customFormat="1" ht="13">
      <c r="F27" s="3439" t="s">
        <v>566</v>
      </c>
      <c r="G27" s="3439"/>
      <c r="I27" s="3439" t="s">
        <v>193</v>
      </c>
      <c r="J27" s="3439"/>
      <c r="K27" s="3439"/>
      <c r="L27" s="3439"/>
      <c r="M27" s="3439"/>
      <c r="O27" s="826"/>
      <c r="P27" s="826"/>
      <c r="Q27" s="826"/>
      <c r="R27" s="826"/>
      <c r="S27" s="826"/>
      <c r="T27" s="826"/>
      <c r="U27" s="826"/>
      <c r="V27" s="392"/>
      <c r="W27" s="392"/>
      <c r="X27" s="392"/>
      <c r="Y27" s="392"/>
      <c r="AA27" s="2479">
        <v>27</v>
      </c>
    </row>
    <row r="28" spans="1:27" s="10" customFormat="1" ht="13">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79">
        <v>28</v>
      </c>
    </row>
    <row r="29" spans="1:27" s="6" customFormat="1" ht="12" customHeight="1">
      <c r="B29" s="1208" t="s">
        <v>1711</v>
      </c>
      <c r="C29" s="1209"/>
      <c r="D29" s="3437" t="s">
        <v>1684</v>
      </c>
      <c r="E29" s="3438"/>
      <c r="F29" s="207"/>
      <c r="G29" s="207"/>
      <c r="H29" s="791"/>
      <c r="I29" s="1203"/>
      <c r="J29" s="1203"/>
      <c r="K29" s="1203"/>
      <c r="L29" s="1203"/>
      <c r="M29" s="1203"/>
      <c r="O29" s="826"/>
      <c r="P29" s="826"/>
      <c r="Q29" s="826"/>
      <c r="R29" s="826"/>
      <c r="S29" s="826"/>
      <c r="T29" s="826"/>
      <c r="U29" s="826"/>
      <c r="V29" s="10"/>
      <c r="W29" s="10"/>
      <c r="X29" s="10"/>
      <c r="Y29" s="10"/>
      <c r="AA29" s="2479">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79">
        <v>30</v>
      </c>
    </row>
    <row r="31" spans="1:27" s="6" customFormat="1" ht="12" customHeight="1">
      <c r="B31" s="1212" t="s">
        <v>1491</v>
      </c>
      <c r="C31" s="1213"/>
      <c r="D31" s="3425" t="s">
        <v>1684</v>
      </c>
      <c r="E31" s="3426"/>
      <c r="F31" s="208"/>
      <c r="G31" s="208"/>
      <c r="H31" s="203"/>
      <c r="I31" s="1204"/>
      <c r="J31" s="1204"/>
      <c r="K31" s="1204"/>
      <c r="L31" s="1205"/>
      <c r="M31" s="1205"/>
      <c r="O31" s="3427" t="s">
        <v>3194</v>
      </c>
      <c r="P31" s="3427"/>
      <c r="Q31" s="3427"/>
      <c r="AA31" s="2479">
        <v>31</v>
      </c>
    </row>
    <row r="32" spans="1:27" s="6" customFormat="1" ht="12" customHeight="1">
      <c r="B32" s="1214" t="s">
        <v>439</v>
      </c>
      <c r="C32" s="1215"/>
      <c r="D32" s="1214" t="s">
        <v>1489</v>
      </c>
      <c r="E32" s="204"/>
      <c r="F32" s="208"/>
      <c r="G32" s="208"/>
      <c r="H32" s="789"/>
      <c r="I32" s="1204"/>
      <c r="J32" s="1204"/>
      <c r="K32" s="1204"/>
      <c r="L32" s="1205"/>
      <c r="M32" s="1205"/>
      <c r="O32" s="3427"/>
      <c r="P32" s="3427"/>
      <c r="Q32" s="3427"/>
      <c r="AA32" s="2479">
        <v>32</v>
      </c>
    </row>
    <row r="33" spans="1:27" s="6" customFormat="1" ht="12" customHeight="1">
      <c r="B33" s="1216" t="s">
        <v>3188</v>
      </c>
      <c r="C33" s="1211"/>
      <c r="D33" s="1210" t="s">
        <v>1489</v>
      </c>
      <c r="E33" s="788"/>
      <c r="F33" s="208"/>
      <c r="G33" s="208"/>
      <c r="H33" s="790"/>
      <c r="I33" s="1204"/>
      <c r="J33" s="1204"/>
      <c r="K33" s="1204"/>
      <c r="L33" s="1205"/>
      <c r="M33" s="1205"/>
      <c r="O33" s="3427"/>
      <c r="P33" s="3427"/>
      <c r="Q33" s="3427"/>
      <c r="AA33" s="2479">
        <v>33</v>
      </c>
    </row>
    <row r="34" spans="1:27" s="6" customFormat="1" ht="12" customHeight="1">
      <c r="B34" s="1216" t="s">
        <v>3189</v>
      </c>
      <c r="C34" s="1211"/>
      <c r="D34" s="1210" t="s">
        <v>1489</v>
      </c>
      <c r="E34" s="788"/>
      <c r="F34" s="208"/>
      <c r="G34" s="208"/>
      <c r="H34" s="790"/>
      <c r="I34" s="1204"/>
      <c r="J34" s="1204"/>
      <c r="K34" s="1204"/>
      <c r="L34" s="1205"/>
      <c r="M34" s="1205"/>
      <c r="O34" s="3427"/>
      <c r="P34" s="3427"/>
      <c r="Q34" s="3427"/>
      <c r="AA34" s="2479">
        <v>34</v>
      </c>
    </row>
    <row r="35" spans="1:27" s="6" customFormat="1" ht="12" customHeight="1">
      <c r="B35" s="1217" t="s">
        <v>3190</v>
      </c>
      <c r="C35" s="1213"/>
      <c r="D35" s="1212" t="s">
        <v>1489</v>
      </c>
      <c r="E35" s="788"/>
      <c r="F35" s="208"/>
      <c r="G35" s="208"/>
      <c r="H35" s="203"/>
      <c r="I35" s="1204"/>
      <c r="J35" s="1204"/>
      <c r="K35" s="1204"/>
      <c r="L35" s="1205"/>
      <c r="M35" s="1205"/>
      <c r="O35" s="3427"/>
      <c r="P35" s="3427"/>
      <c r="Q35" s="3427"/>
      <c r="AA35" s="2479">
        <v>35</v>
      </c>
    </row>
    <row r="36" spans="1:27" s="6" customFormat="1" ht="12" customHeight="1">
      <c r="B36" s="1214" t="s">
        <v>1290</v>
      </c>
      <c r="C36" s="1215"/>
      <c r="D36" s="1220" t="s">
        <v>2993</v>
      </c>
      <c r="E36" s="1202" t="s">
        <v>194</v>
      </c>
      <c r="F36" s="208"/>
      <c r="G36" s="208"/>
      <c r="H36" s="789"/>
      <c r="I36" s="1204"/>
      <c r="J36" s="1204"/>
      <c r="K36" s="1204"/>
      <c r="L36" s="1205"/>
      <c r="M36" s="1205"/>
      <c r="O36" s="3427"/>
      <c r="P36" s="3427"/>
      <c r="Q36" s="3427"/>
      <c r="AA36" s="2479">
        <v>36</v>
      </c>
    </row>
    <row r="37" spans="1:27" s="6" customFormat="1" ht="12" customHeight="1">
      <c r="B37" s="1218" t="s">
        <v>1710</v>
      </c>
      <c r="C37" s="1219"/>
      <c r="D37" s="205"/>
      <c r="E37" s="187"/>
      <c r="F37" s="208"/>
      <c r="G37" s="208"/>
      <c r="H37" s="790"/>
      <c r="I37" s="1204"/>
      <c r="J37" s="1204"/>
      <c r="K37" s="1204"/>
      <c r="L37" s="1205"/>
      <c r="M37" s="1205"/>
      <c r="O37" s="3427"/>
      <c r="P37" s="3427"/>
      <c r="Q37" s="3427"/>
      <c r="AA37" s="2479">
        <v>37</v>
      </c>
    </row>
    <row r="38" spans="1:27" s="6" customFormat="1" ht="12" customHeight="1">
      <c r="B38" s="1218" t="s">
        <v>689</v>
      </c>
      <c r="C38" s="3428"/>
      <c r="D38" s="3429"/>
      <c r="E38" s="3430"/>
      <c r="F38" s="209"/>
      <c r="G38" s="209"/>
      <c r="H38" s="792"/>
      <c r="I38" s="1206"/>
      <c r="J38" s="1206"/>
      <c r="K38" s="1206"/>
      <c r="L38" s="1207"/>
      <c r="M38" s="1207"/>
      <c r="O38" s="3427"/>
      <c r="P38" s="3427"/>
      <c r="Q38" s="3427"/>
      <c r="AA38" s="2479">
        <v>38</v>
      </c>
    </row>
    <row r="39" spans="1:27" s="6" customFormat="1" ht="13">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7"/>
      <c r="P39" s="3427"/>
      <c r="Q39" s="3427"/>
      <c r="AA39" s="2479">
        <v>39</v>
      </c>
    </row>
    <row r="40" spans="1:27" ht="6" customHeight="1">
      <c r="A40" s="6"/>
      <c r="AA40" s="2479">
        <v>40</v>
      </c>
    </row>
    <row r="41" spans="1:27" s="6" customFormat="1" ht="13">
      <c r="B41" s="44" t="s">
        <v>2994</v>
      </c>
      <c r="D41"/>
      <c r="E41"/>
      <c r="F41" s="60"/>
      <c r="G41" s="60"/>
      <c r="I41" s="24"/>
      <c r="J41" s="24"/>
      <c r="K41" s="24"/>
      <c r="L41" s="24"/>
      <c r="M41" s="24"/>
      <c r="AA41" s="2479">
        <v>41</v>
      </c>
    </row>
    <row r="42" spans="1:27" s="6" customFormat="1" ht="12" customHeight="1">
      <c r="A42" s="10"/>
      <c r="B42" s="10" t="s">
        <v>529</v>
      </c>
      <c r="M42"/>
      <c r="N42"/>
      <c r="O42"/>
      <c r="P42"/>
      <c r="Q42"/>
      <c r="R42"/>
      <c r="S42"/>
      <c r="AA42" s="2479">
        <v>42</v>
      </c>
    </row>
    <row r="43" spans="1:27" s="6" customFormat="1" ht="49.5" customHeight="1">
      <c r="B43" s="3431"/>
      <c r="C43" s="3432"/>
      <c r="D43" s="3432"/>
      <c r="E43" s="3432"/>
      <c r="F43" s="3432"/>
      <c r="G43" s="3432"/>
      <c r="H43" s="3432"/>
      <c r="I43" s="3432"/>
      <c r="J43" s="3432"/>
      <c r="K43" s="3432"/>
      <c r="L43" s="3432"/>
      <c r="M43" s="3433"/>
      <c r="N43"/>
      <c r="O43" s="2908" t="s">
        <v>2445</v>
      </c>
      <c r="P43" s="2908"/>
      <c r="Q43" s="2908"/>
      <c r="R43" s="2908"/>
      <c r="S43" s="2908"/>
      <c r="AA43" s="2479">
        <v>43</v>
      </c>
    </row>
    <row r="44" spans="1:27" s="6" customFormat="1" ht="3" customHeight="1">
      <c r="M44"/>
      <c r="N44"/>
      <c r="O44" s="2908"/>
      <c r="P44" s="2908"/>
      <c r="Q44" s="2908"/>
      <c r="R44" s="2908"/>
      <c r="S44" s="2908"/>
      <c r="AA44" s="2479">
        <v>44</v>
      </c>
    </row>
    <row r="45" spans="1:27" s="6" customFormat="1" ht="12" customHeight="1">
      <c r="A45" s="10"/>
      <c r="B45" s="10" t="s">
        <v>1706</v>
      </c>
      <c r="M45"/>
      <c r="N45"/>
      <c r="O45" s="2908"/>
      <c r="P45" s="2908"/>
      <c r="Q45" s="2908"/>
      <c r="R45" s="2908"/>
      <c r="S45" s="2908"/>
      <c r="AA45" s="2479">
        <v>45</v>
      </c>
    </row>
    <row r="46" spans="1:27" s="6" customFormat="1" ht="24.75" customHeight="1">
      <c r="B46" s="3434"/>
      <c r="C46" s="3435"/>
      <c r="D46" s="3435"/>
      <c r="E46" s="3435"/>
      <c r="F46" s="3435"/>
      <c r="G46" s="3435"/>
      <c r="H46" s="3435"/>
      <c r="I46" s="3435"/>
      <c r="J46" s="3435"/>
      <c r="K46" s="3435"/>
      <c r="L46" s="3435"/>
      <c r="M46" s="3436"/>
      <c r="N46"/>
      <c r="O46" s="2908"/>
      <c r="P46" s="2908"/>
      <c r="Q46" s="2908"/>
      <c r="R46" s="2908"/>
      <c r="S46" s="2908"/>
      <c r="AA46" s="2479">
        <v>46</v>
      </c>
    </row>
    <row r="47" spans="1:27">
      <c r="AA47" s="2479">
        <v>47</v>
      </c>
    </row>
  </sheetData>
  <sheetProtection algorithmName="SHA-512" hashValue="fpexRI3rd1z34rVPjm87fJI/k2iKhpMZHQfeY72AwtlEQP5SkR8Mdn7CQn6GS4nPcnEWGF5PfY132lOCjpsCDA==" saltValue="Cz5ZUkPzeb4XgKfULIUFNA=="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29" zoomScaleNormal="100" workbookViewId="0">
      <selection activeCell="N239" sqref="N239:N245"/>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6"/>
    <col min="138" max="138" width="12.54296875" style="356" customWidth="1"/>
    <col min="139" max="139" width="8.26953125" style="356" customWidth="1"/>
    <col min="140" max="143" width="7.26953125" style="356" customWidth="1"/>
    <col min="144" max="144" width="8.26953125" style="356" customWidth="1"/>
    <col min="145" max="148" width="7.26953125" style="356" customWidth="1"/>
    <col min="149" max="158" width="9.26953125" style="356"/>
    <col min="159" max="159" width="8.26953125" style="356" customWidth="1"/>
    <col min="160" max="163" width="7.26953125" style="356" customWidth="1"/>
    <col min="164" max="168" width="9.26953125" style="356"/>
    <col min="169" max="169" width="8.26953125" style="356" customWidth="1"/>
    <col min="170" max="173" width="7.26953125" style="356" customWidth="1"/>
    <col min="174" max="253" width="9.26953125" style="356"/>
    <col min="254" max="258" width="11.26953125" style="356" customWidth="1"/>
    <col min="259" max="273" width="9.26953125" style="356"/>
    <col min="274" max="274" width="10.26953125" style="356" customWidth="1"/>
    <col min="275" max="278" width="10" style="356" customWidth="1"/>
    <col min="279" max="282" width="9.26953125" style="356"/>
    <col min="283" max="283" width="9.26953125" style="1658"/>
    <col min="284" max="287" width="9.26953125" style="356"/>
    <col min="288" max="288" width="9.26953125" style="1658"/>
    <col min="289" max="292" width="11.453125" style="356" customWidth="1"/>
    <col min="293" max="293" width="11.453125" style="1658" customWidth="1"/>
    <col min="294" max="297" width="11.453125" style="356" customWidth="1"/>
    <col min="298" max="298" width="11.453125" style="1658" customWidth="1"/>
    <col min="299" max="313" width="9.26953125" style="1658"/>
    <col min="314" max="318" width="11" style="1658" customWidth="1"/>
    <col min="319" max="319" width="9.26953125" style="1658"/>
    <col min="320" max="325" width="9.26953125" style="356"/>
    <col min="326" max="326" width="9.26953125" style="360"/>
    <col min="327" max="341" width="9.26953125" style="356"/>
    <col min="342" max="343" width="9.26953125" style="360"/>
    <col min="344" max="350" width="10.26953125" style="356" customWidth="1"/>
    <col min="351" max="353" width="9.26953125" style="356"/>
    <col min="354" max="354" width="10.453125" style="356" customWidth="1"/>
    <col min="355" max="358" width="10.26953125" style="356" customWidth="1"/>
    <col min="359" max="378" width="9.26953125" style="115"/>
    <col min="379" max="379" width="9.26953125" style="356"/>
    <col min="380" max="380" width="9.26953125" style="1631"/>
    <col min="381" max="381" width="9.26953125" style="2479"/>
    <col min="382" max="493" width="9.26953125" style="115"/>
    <col min="494" max="16384" width="9.26953125" style="62"/>
  </cols>
  <sheetData>
    <row r="1" spans="1:493" s="1631" customFormat="1" hidden="1">
      <c r="B1" s="1631" t="s">
        <v>4295</v>
      </c>
      <c r="C1" s="1631" t="s">
        <v>164</v>
      </c>
      <c r="D1" s="1631" t="s">
        <v>166</v>
      </c>
      <c r="E1" s="1631" t="s">
        <v>4296</v>
      </c>
      <c r="F1" s="1631" t="s">
        <v>4297</v>
      </c>
      <c r="G1" s="1631" t="s">
        <v>4298</v>
      </c>
      <c r="H1" s="1631" t="s">
        <v>4299</v>
      </c>
      <c r="I1" s="1631" t="s">
        <v>4300</v>
      </c>
      <c r="J1" s="1631" t="s">
        <v>4301</v>
      </c>
      <c r="K1" s="1631" t="s">
        <v>3052</v>
      </c>
      <c r="L1" s="1631" t="s">
        <v>4302</v>
      </c>
      <c r="M1" s="1631" t="s">
        <v>4303</v>
      </c>
      <c r="N1" s="1631" t="s">
        <v>4304</v>
      </c>
      <c r="O1" s="1631" t="s">
        <v>4305</v>
      </c>
      <c r="P1" s="1631" t="s">
        <v>362</v>
      </c>
      <c r="Q1" s="1631" t="s">
        <v>4306</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79"/>
      <c r="NR1" s="1869"/>
      <c r="NS1" s="1869"/>
      <c r="NT1" s="1869"/>
      <c r="NU1" s="1869"/>
      <c r="NV1" s="1869"/>
      <c r="NW1" s="1869"/>
      <c r="NX1" s="1869"/>
      <c r="NY1" s="1869"/>
      <c r="NZ1" s="1869"/>
      <c r="OA1" s="1869"/>
      <c r="OB1" s="1869"/>
      <c r="OC1" s="1869"/>
      <c r="OD1" s="1869"/>
      <c r="OE1" s="1869"/>
      <c r="OF1" s="1869"/>
      <c r="OG1" s="1869"/>
      <c r="OH1" s="1869"/>
    </row>
    <row r="2" spans="1:493" s="69" customFormat="1" ht="14.15" customHeight="1">
      <c r="A2" s="3538" t="str">
        <f>CONCATENATE("PART FOUR - PROJECTED REVENUES &amp; EXPENSES","  -  ",'Part I-Project Identification'!$O$7," ",'Part I-Project Identification'!$F$26,", ",'Part I-Project Identification'!F27,", ",'Part I-Project Identification'!J27," County")</f>
        <v>PART FOUR - PROJECTED REVENUES &amp; EXPENSES  -  2024-5 , &lt;&lt; Select from list &gt;&gt;, Select City first County</v>
      </c>
      <c r="B2" s="3539"/>
      <c r="C2" s="3539"/>
      <c r="D2" s="3539"/>
      <c r="E2" s="3539"/>
      <c r="F2" s="3539"/>
      <c r="G2" s="3539"/>
      <c r="H2" s="3539"/>
      <c r="I2" s="3539"/>
      <c r="J2" s="3539"/>
      <c r="K2" s="3539"/>
      <c r="L2" s="3539"/>
      <c r="M2" s="3539"/>
      <c r="N2" s="3539"/>
      <c r="O2" s="3539"/>
      <c r="P2" s="3539"/>
      <c r="Q2" s="3540"/>
      <c r="T2" s="1363" t="str">
        <f>A2</f>
        <v>PART FOUR - PROJECTED REVENUES &amp; EXPENSES  -  2024-5 , &lt;&lt; Select from list &gt;&gt;, Select City first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1">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79">
        <v>3</v>
      </c>
    </row>
    <row r="4" spans="1:493" s="69" customFormat="1" ht="12.65" customHeight="1">
      <c r="A4" s="4" t="s">
        <v>572</v>
      </c>
      <c r="B4" s="4" t="s">
        <v>2177</v>
      </c>
      <c r="C4" s="1"/>
      <c r="D4" s="1430" t="s">
        <v>3999</v>
      </c>
      <c r="E4" s="1430"/>
      <c r="F4" s="1430"/>
      <c r="G4" s="1430"/>
      <c r="H4" s="1430"/>
      <c r="I4" s="1430"/>
      <c r="J4" s="1430"/>
      <c r="K4" s="93"/>
      <c r="L4" s="93"/>
      <c r="M4" s="93"/>
      <c r="O4" s="153" t="s">
        <v>533</v>
      </c>
      <c r="P4" s="3541" t="str">
        <f>'Part I-Project Identification'!$O$29</f>
        <v>Select City first</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2963</v>
      </c>
      <c r="MG4" s="3519" t="s">
        <v>2964</v>
      </c>
      <c r="MH4" s="3519" t="s">
        <v>2965</v>
      </c>
      <c r="MI4" s="3519" t="s">
        <v>2966</v>
      </c>
      <c r="MJ4" s="3519"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1">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3120</v>
      </c>
      <c r="R5" s="817"/>
      <c r="S5" s="336"/>
      <c r="T5" s="336"/>
      <c r="U5" s="336"/>
      <c r="W5" s="337"/>
      <c r="X5" s="3520" t="s">
        <v>3564</v>
      </c>
      <c r="Y5" s="3520" t="s">
        <v>3565</v>
      </c>
      <c r="Z5" s="3520" t="s">
        <v>3566</v>
      </c>
      <c r="AA5" s="3520" t="s">
        <v>3567</v>
      </c>
      <c r="AB5" s="3520" t="s">
        <v>3568</v>
      </c>
      <c r="AC5" s="3520" t="s">
        <v>3569</v>
      </c>
      <c r="AD5" s="3520" t="s">
        <v>3570</v>
      </c>
      <c r="AE5" s="3520" t="s">
        <v>3571</v>
      </c>
      <c r="AF5" s="3520" t="s">
        <v>3572</v>
      </c>
      <c r="AG5" s="3520" t="s">
        <v>3573</v>
      </c>
      <c r="AH5" s="3520" t="s">
        <v>860</v>
      </c>
      <c r="AI5" s="3520" t="s">
        <v>704</v>
      </c>
      <c r="AJ5" s="3520" t="s">
        <v>705</v>
      </c>
      <c r="AK5" s="3520" t="s">
        <v>706</v>
      </c>
      <c r="AL5" s="3520" t="s">
        <v>707</v>
      </c>
      <c r="AM5" s="3520" t="s">
        <v>861</v>
      </c>
      <c r="AN5" s="3520" t="s">
        <v>2125</v>
      </c>
      <c r="AO5" s="3520" t="s">
        <v>2126</v>
      </c>
      <c r="AP5" s="3520" t="s">
        <v>2127</v>
      </c>
      <c r="AQ5" s="3520" t="s">
        <v>2128</v>
      </c>
      <c r="AR5" s="3520" t="s">
        <v>3575</v>
      </c>
      <c r="AS5" s="3520" t="s">
        <v>3576</v>
      </c>
      <c r="AT5" s="3520" t="s">
        <v>3577</v>
      </c>
      <c r="AU5" s="3520" t="s">
        <v>3578</v>
      </c>
      <c r="AV5" s="3520" t="s">
        <v>3574</v>
      </c>
      <c r="AW5" s="3520" t="s">
        <v>862</v>
      </c>
      <c r="AX5" s="3520" t="s">
        <v>2129</v>
      </c>
      <c r="AY5" s="3520" t="s">
        <v>2130</v>
      </c>
      <c r="AZ5" s="3520" t="s">
        <v>2131</v>
      </c>
      <c r="BA5" s="3520" t="s">
        <v>2132</v>
      </c>
      <c r="BB5" s="3520" t="s">
        <v>3579</v>
      </c>
      <c r="BC5" s="3520" t="s">
        <v>3580</v>
      </c>
      <c r="BD5" s="3520" t="s">
        <v>3581</v>
      </c>
      <c r="BE5" s="3520" t="s">
        <v>3582</v>
      </c>
      <c r="BF5" s="3520" t="s">
        <v>3583</v>
      </c>
      <c r="BG5" s="3520" t="s">
        <v>123</v>
      </c>
      <c r="BH5" s="3520" t="s">
        <v>2133</v>
      </c>
      <c r="BI5" s="3520" t="s">
        <v>2134</v>
      </c>
      <c r="BJ5" s="3520" t="s">
        <v>2135</v>
      </c>
      <c r="BK5" s="3520" t="s">
        <v>1079</v>
      </c>
      <c r="BL5" s="3520" t="s">
        <v>3584</v>
      </c>
      <c r="BM5" s="3520" t="s">
        <v>3585</v>
      </c>
      <c r="BN5" s="3520" t="s">
        <v>3586</v>
      </c>
      <c r="BO5" s="3520" t="s">
        <v>3587</v>
      </c>
      <c r="BP5" s="3520" t="s">
        <v>3588</v>
      </c>
      <c r="BQ5" s="3520" t="s">
        <v>516</v>
      </c>
      <c r="BR5" s="3520" t="s">
        <v>517</v>
      </c>
      <c r="BS5" s="3520" t="s">
        <v>534</v>
      </c>
      <c r="BT5" s="3520" t="s">
        <v>535</v>
      </c>
      <c r="BU5" s="3520" t="s">
        <v>536</v>
      </c>
      <c r="BV5" s="3520" t="s">
        <v>3589</v>
      </c>
      <c r="BW5" s="3520" t="s">
        <v>3590</v>
      </c>
      <c r="BX5" s="3520" t="s">
        <v>3591</v>
      </c>
      <c r="BY5" s="3520" t="s">
        <v>3592</v>
      </c>
      <c r="BZ5" s="3520" t="s">
        <v>3593</v>
      </c>
      <c r="CA5" s="3520" t="s">
        <v>537</v>
      </c>
      <c r="CB5" s="3520" t="s">
        <v>538</v>
      </c>
      <c r="CC5" s="3520" t="s">
        <v>539</v>
      </c>
      <c r="CD5" s="3520" t="s">
        <v>540</v>
      </c>
      <c r="CE5" s="3520" t="s">
        <v>541</v>
      </c>
      <c r="CF5" s="3520" t="s">
        <v>542</v>
      </c>
      <c r="CG5" s="3520" t="s">
        <v>543</v>
      </c>
      <c r="CH5" s="3520" t="s">
        <v>871</v>
      </c>
      <c r="CI5" s="3520" t="s">
        <v>872</v>
      </c>
      <c r="CJ5" s="3520" t="s">
        <v>873</v>
      </c>
      <c r="CK5" s="3520" t="s">
        <v>3599</v>
      </c>
      <c r="CL5" s="3520" t="s">
        <v>3600</v>
      </c>
      <c r="CM5" s="3520" t="s">
        <v>3601</v>
      </c>
      <c r="CN5" s="3520" t="s">
        <v>3602</v>
      </c>
      <c r="CO5" s="3520" t="s">
        <v>3603</v>
      </c>
      <c r="CP5" s="3520" t="s">
        <v>3594</v>
      </c>
      <c r="CQ5" s="3520" t="s">
        <v>3595</v>
      </c>
      <c r="CR5" s="3520" t="s">
        <v>3596</v>
      </c>
      <c r="CS5" s="3520" t="s">
        <v>3597</v>
      </c>
      <c r="CT5" s="3520" t="s">
        <v>3598</v>
      </c>
      <c r="CU5" s="3520" t="s">
        <v>3604</v>
      </c>
      <c r="CV5" s="3520" t="s">
        <v>3605</v>
      </c>
      <c r="CW5" s="3520" t="s">
        <v>3606</v>
      </c>
      <c r="CX5" s="3520" t="s">
        <v>3607</v>
      </c>
      <c r="CY5" s="3520" t="s">
        <v>3608</v>
      </c>
      <c r="CZ5" s="3520" t="s">
        <v>465</v>
      </c>
      <c r="DA5" s="3520" t="s">
        <v>466</v>
      </c>
      <c r="DB5" s="3520" t="s">
        <v>467</v>
      </c>
      <c r="DC5" s="3520" t="s">
        <v>468</v>
      </c>
      <c r="DD5" s="3520" t="s">
        <v>469</v>
      </c>
      <c r="DE5" s="3520" t="s">
        <v>3609</v>
      </c>
      <c r="DF5" s="3520" t="s">
        <v>3610</v>
      </c>
      <c r="DG5" s="3520" t="s">
        <v>3611</v>
      </c>
      <c r="DH5" s="3520" t="s">
        <v>3612</v>
      </c>
      <c r="DI5" s="3520" t="s">
        <v>3613</v>
      </c>
      <c r="DJ5" s="3520" t="s">
        <v>821</v>
      </c>
      <c r="DK5" s="3520" t="s">
        <v>822</v>
      </c>
      <c r="DL5" s="3520" t="s">
        <v>823</v>
      </c>
      <c r="DM5" s="3520" t="s">
        <v>824</v>
      </c>
      <c r="DN5" s="3520" t="s">
        <v>825</v>
      </c>
      <c r="DO5" s="3520" t="s">
        <v>826</v>
      </c>
      <c r="DP5" s="3520" t="s">
        <v>827</v>
      </c>
      <c r="DQ5" s="3520" t="s">
        <v>828</v>
      </c>
      <c r="DR5" s="3520" t="s">
        <v>829</v>
      </c>
      <c r="DS5" s="3520" t="s">
        <v>830</v>
      </c>
      <c r="DT5" s="3520" t="s">
        <v>3614</v>
      </c>
      <c r="DU5" s="3520" t="s">
        <v>3615</v>
      </c>
      <c r="DV5" s="3520" t="s">
        <v>3616</v>
      </c>
      <c r="DW5" s="3520" t="s">
        <v>3617</v>
      </c>
      <c r="DX5" s="3520" t="s">
        <v>3618</v>
      </c>
      <c r="DY5" s="3520" t="s">
        <v>3619</v>
      </c>
      <c r="DZ5" s="3520" t="s">
        <v>3620</v>
      </c>
      <c r="EA5" s="3520" t="s">
        <v>3621</v>
      </c>
      <c r="EB5" s="3520" t="s">
        <v>3622</v>
      </c>
      <c r="EC5" s="3520" t="s">
        <v>3623</v>
      </c>
      <c r="ED5" s="3520" t="s">
        <v>2229</v>
      </c>
      <c r="EE5" s="3520" t="s">
        <v>2230</v>
      </c>
      <c r="EF5" s="3520" t="s">
        <v>2231</v>
      </c>
      <c r="EG5" s="3520" t="s">
        <v>2232</v>
      </c>
      <c r="EH5" s="3520" t="s">
        <v>2233</v>
      </c>
      <c r="EI5" s="3520" t="s">
        <v>3624</v>
      </c>
      <c r="EJ5" s="3520" t="s">
        <v>3625</v>
      </c>
      <c r="EK5" s="3520" t="s">
        <v>3626</v>
      </c>
      <c r="EL5" s="3520" t="s">
        <v>3627</v>
      </c>
      <c r="EM5" s="3520" t="s">
        <v>3628</v>
      </c>
      <c r="EN5" s="3520" t="s">
        <v>3629</v>
      </c>
      <c r="EO5" s="3520" t="s">
        <v>3630</v>
      </c>
      <c r="EP5" s="3520" t="s">
        <v>3631</v>
      </c>
      <c r="EQ5" s="3520" t="s">
        <v>3632</v>
      </c>
      <c r="ER5" s="3520" t="s">
        <v>3633</v>
      </c>
      <c r="ES5" s="3520" t="s">
        <v>111</v>
      </c>
      <c r="ET5" s="3520" t="s">
        <v>1082</v>
      </c>
      <c r="EU5" s="3520" t="s">
        <v>1083</v>
      </c>
      <c r="EV5" s="3520" t="s">
        <v>1138</v>
      </c>
      <c r="EW5" s="3520" t="s">
        <v>1139</v>
      </c>
      <c r="EX5" s="3520" t="s">
        <v>126</v>
      </c>
      <c r="EY5" s="3520" t="s">
        <v>1140</v>
      </c>
      <c r="EZ5" s="3520" t="s">
        <v>1141</v>
      </c>
      <c r="FA5" s="3520" t="s">
        <v>1142</v>
      </c>
      <c r="FB5" s="3520" t="s">
        <v>1143</v>
      </c>
      <c r="FC5" s="3520" t="s">
        <v>3634</v>
      </c>
      <c r="FD5" s="3520" t="s">
        <v>3635</v>
      </c>
      <c r="FE5" s="3520" t="s">
        <v>3636</v>
      </c>
      <c r="FF5" s="3520" t="s">
        <v>3637</v>
      </c>
      <c r="FG5" s="3520" t="s">
        <v>3638</v>
      </c>
      <c r="FH5" s="3520" t="s">
        <v>125</v>
      </c>
      <c r="FI5" s="3520" t="s">
        <v>852</v>
      </c>
      <c r="FJ5" s="3520" t="s">
        <v>853</v>
      </c>
      <c r="FK5" s="3520" t="s">
        <v>854</v>
      </c>
      <c r="FL5" s="3520" t="s">
        <v>855</v>
      </c>
      <c r="FM5" s="3520" t="s">
        <v>3639</v>
      </c>
      <c r="FN5" s="3520" t="s">
        <v>3640</v>
      </c>
      <c r="FO5" s="3520" t="s">
        <v>3641</v>
      </c>
      <c r="FP5" s="3520" t="s">
        <v>3642</v>
      </c>
      <c r="FQ5" s="3520" t="s">
        <v>3643</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2228</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2315</v>
      </c>
      <c r="LI5" s="3519" t="s">
        <v>2316</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1">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532" t="str">
        <f>IF(A49&gt;0,"Finish Row!","")</f>
        <v/>
      </c>
      <c r="B6" s="141" t="s">
        <v>4000</v>
      </c>
      <c r="D6" s="1430"/>
      <c r="E6" s="1430"/>
      <c r="F6" s="1430"/>
      <c r="G6" s="1152" t="s">
        <v>194</v>
      </c>
      <c r="H6" s="3533" t="s">
        <v>4002</v>
      </c>
      <c r="I6" s="3534"/>
      <c r="J6" s="3534"/>
      <c r="K6" s="674" t="s">
        <v>3052</v>
      </c>
      <c r="L6" s="3535" t="str">
        <f>'Part I-Project Identification'!$A$6</f>
        <v>4% Credit Core
Sept 26, 2024</v>
      </c>
      <c r="M6" s="3535"/>
      <c r="N6" s="3535"/>
      <c r="O6" s="1629" t="s">
        <v>3982</v>
      </c>
      <c r="P6" s="1420"/>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2958</v>
      </c>
      <c r="ML6" s="3563" t="s">
        <v>2959</v>
      </c>
      <c r="MM6" s="3563" t="s">
        <v>2960</v>
      </c>
      <c r="MN6" s="3563" t="s">
        <v>2961</v>
      </c>
      <c r="MO6" s="3563" t="s">
        <v>2962</v>
      </c>
      <c r="MP6" s="3519" t="s">
        <v>4182</v>
      </c>
      <c r="MQ6" s="3519" t="s">
        <v>4183</v>
      </c>
      <c r="MR6" s="3519" t="s">
        <v>4184</v>
      </c>
      <c r="MS6" s="3519" t="s">
        <v>4185</v>
      </c>
      <c r="MT6" s="3519" t="s">
        <v>4186</v>
      </c>
      <c r="MU6" s="72"/>
      <c r="MV6" s="72"/>
      <c r="MW6" s="72"/>
      <c r="MX6" s="72"/>
      <c r="MY6" s="72"/>
      <c r="MZ6" s="72"/>
      <c r="NA6" s="72"/>
      <c r="NB6" s="72"/>
      <c r="NC6" s="72"/>
      <c r="ND6" s="72"/>
      <c r="NE6" s="72"/>
      <c r="NF6" s="72"/>
      <c r="NG6" s="72"/>
      <c r="NH6" s="72"/>
      <c r="NI6" s="72"/>
      <c r="NJ6" s="72"/>
      <c r="NK6" s="72"/>
      <c r="NL6" s="72"/>
      <c r="NM6" s="72"/>
      <c r="NN6" s="72"/>
      <c r="NO6" s="358"/>
      <c r="NP6" s="1632"/>
      <c r="NQ6" s="2481">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532"/>
      <c r="B7" s="23" t="s">
        <v>4001</v>
      </c>
      <c r="E7" s="4"/>
      <c r="G7" s="1187" t="s">
        <v>194</v>
      </c>
      <c r="I7" s="3521" t="s">
        <v>3944</v>
      </c>
      <c r="J7" s="674" t="s">
        <v>741</v>
      </c>
      <c r="K7" s="674" t="s">
        <v>3099</v>
      </c>
      <c r="L7" s="3535"/>
      <c r="M7" s="3535"/>
      <c r="N7" s="3535"/>
      <c r="O7" s="1630" t="s">
        <v>3981</v>
      </c>
      <c r="P7" s="1458"/>
      <c r="Q7" s="3536"/>
      <c r="R7" s="3523" t="s">
        <v>2451</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1">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532"/>
      <c r="B8" s="818" t="s">
        <v>3646</v>
      </c>
      <c r="C8" s="1"/>
      <c r="E8" s="1"/>
      <c r="F8" s="1"/>
      <c r="I8" s="3521"/>
      <c r="J8" s="674" t="s">
        <v>742</v>
      </c>
      <c r="K8" s="674" t="s">
        <v>3100</v>
      </c>
      <c r="L8" s="655"/>
      <c r="M8" s="655"/>
      <c r="N8" s="1628" t="s">
        <v>4381</v>
      </c>
      <c r="O8" s="3524"/>
      <c r="P8" s="3525"/>
      <c r="Q8" s="3536"/>
      <c r="R8" s="656"/>
      <c r="S8" s="658" t="s">
        <v>2448</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1">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3647</v>
      </c>
      <c r="C9" s="674" t="s">
        <v>165</v>
      </c>
      <c r="D9" s="674" t="s">
        <v>509</v>
      </c>
      <c r="E9" s="674" t="s">
        <v>1380</v>
      </c>
      <c r="F9" s="674" t="s">
        <v>1380</v>
      </c>
      <c r="G9" s="3521" t="s">
        <v>3997</v>
      </c>
      <c r="H9" s="817" t="s">
        <v>3220</v>
      </c>
      <c r="I9" s="3521"/>
      <c r="J9" s="3526" t="s">
        <v>3991</v>
      </c>
      <c r="K9" s="674" t="s">
        <v>2211</v>
      </c>
      <c r="L9" s="3528" t="s">
        <v>139</v>
      </c>
      <c r="M9" s="3529"/>
      <c r="N9" s="674" t="s">
        <v>2178</v>
      </c>
      <c r="O9" s="674" t="s">
        <v>4384</v>
      </c>
      <c r="P9" s="3530" t="s">
        <v>4146</v>
      </c>
      <c r="Q9" s="3536"/>
      <c r="R9" s="674" t="s">
        <v>2447</v>
      </c>
      <c r="S9" s="674" t="s">
        <v>2449</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2239</v>
      </c>
      <c r="IB9" s="869" t="s">
        <v>2240</v>
      </c>
      <c r="IC9" s="869" t="s">
        <v>2241</v>
      </c>
      <c r="ID9" s="869" t="s">
        <v>2242</v>
      </c>
      <c r="IE9" s="3520" t="s">
        <v>2293</v>
      </c>
      <c r="IF9" s="3520" t="s">
        <v>2293</v>
      </c>
      <c r="IG9" s="3520" t="s">
        <v>2293</v>
      </c>
      <c r="IH9" s="3520" t="s">
        <v>2293</v>
      </c>
      <c r="II9" s="3520" t="s">
        <v>2293</v>
      </c>
      <c r="IJ9" s="3520" t="s">
        <v>2929</v>
      </c>
      <c r="IK9" s="3520" t="s">
        <v>2929</v>
      </c>
      <c r="IL9" s="3520" t="s">
        <v>2929</v>
      </c>
      <c r="IM9" s="3520" t="s">
        <v>2929</v>
      </c>
      <c r="IN9" s="3520" t="s">
        <v>2929</v>
      </c>
      <c r="IO9" s="869" t="s">
        <v>525</v>
      </c>
      <c r="IP9" s="869" t="s">
        <v>2239</v>
      </c>
      <c r="IQ9" s="869" t="s">
        <v>2240</v>
      </c>
      <c r="IR9" s="869" t="s">
        <v>2241</v>
      </c>
      <c r="IS9" s="869" t="s">
        <v>2242</v>
      </c>
      <c r="IT9" s="869" t="s">
        <v>525</v>
      </c>
      <c r="IU9" s="869" t="s">
        <v>2239</v>
      </c>
      <c r="IV9" s="869" t="s">
        <v>2240</v>
      </c>
      <c r="IW9" s="869" t="s">
        <v>2241</v>
      </c>
      <c r="IX9" s="869" t="s">
        <v>2242</v>
      </c>
      <c r="IY9" s="3520" t="s">
        <v>4187</v>
      </c>
      <c r="IZ9" s="3520" t="s">
        <v>4187</v>
      </c>
      <c r="JA9" s="3520" t="s">
        <v>4187</v>
      </c>
      <c r="JB9" s="3520" t="s">
        <v>4187</v>
      </c>
      <c r="JC9" s="3520" t="s">
        <v>4187</v>
      </c>
      <c r="JD9" s="3520" t="s">
        <v>4188</v>
      </c>
      <c r="JE9" s="3520" t="s">
        <v>4188</v>
      </c>
      <c r="JF9" s="3520" t="s">
        <v>4188</v>
      </c>
      <c r="JG9" s="3520" t="s">
        <v>4188</v>
      </c>
      <c r="JH9" s="3520" t="s">
        <v>4188</v>
      </c>
      <c r="JI9" s="3520" t="s">
        <v>4190</v>
      </c>
      <c r="JJ9" s="3520" t="s">
        <v>4190</v>
      </c>
      <c r="JK9" s="3520" t="s">
        <v>4190</v>
      </c>
      <c r="JL9" s="3520" t="s">
        <v>4190</v>
      </c>
      <c r="JM9" s="3520" t="s">
        <v>4190</v>
      </c>
      <c r="JN9" s="3520" t="s">
        <v>4191</v>
      </c>
      <c r="JO9" s="3520" t="s">
        <v>4191</v>
      </c>
      <c r="JP9" s="3520" t="s">
        <v>4191</v>
      </c>
      <c r="JQ9" s="3520" t="s">
        <v>4191</v>
      </c>
      <c r="JR9" s="3520" t="s">
        <v>4191</v>
      </c>
      <c r="JS9" s="3520" t="s">
        <v>4192</v>
      </c>
      <c r="JT9" s="3520" t="s">
        <v>4192</v>
      </c>
      <c r="JU9" s="3520" t="s">
        <v>4192</v>
      </c>
      <c r="JV9" s="3520" t="s">
        <v>4192</v>
      </c>
      <c r="JW9" s="3520" t="s">
        <v>4192</v>
      </c>
      <c r="JX9" s="3520" t="s">
        <v>4385</v>
      </c>
      <c r="JY9" s="3520" t="s">
        <v>4385</v>
      </c>
      <c r="JZ9" s="3520" t="s">
        <v>4385</v>
      </c>
      <c r="KA9" s="3520" t="s">
        <v>4385</v>
      </c>
      <c r="KB9" s="3520" t="s">
        <v>4385</v>
      </c>
      <c r="KC9" s="3520" t="s">
        <v>4836</v>
      </c>
      <c r="KD9" s="3520" t="s">
        <v>4836</v>
      </c>
      <c r="KE9" s="3520" t="s">
        <v>4836</v>
      </c>
      <c r="KF9" s="3520" t="s">
        <v>4836</v>
      </c>
      <c r="KG9" s="3520" t="s">
        <v>4836</v>
      </c>
      <c r="KH9" s="3520" t="s">
        <v>4837</v>
      </c>
      <c r="KI9" s="3519" t="s">
        <v>4548</v>
      </c>
      <c r="KJ9" s="3519" t="s">
        <v>4548</v>
      </c>
      <c r="KK9" s="3519" t="s">
        <v>4548</v>
      </c>
      <c r="KL9" s="3519" t="s">
        <v>4548</v>
      </c>
      <c r="KM9" s="3519" t="s">
        <v>4194</v>
      </c>
      <c r="KN9" s="3519" t="s">
        <v>4194</v>
      </c>
      <c r="KO9" s="3519" t="s">
        <v>4194</v>
      </c>
      <c r="KP9" s="3519" t="s">
        <v>4194</v>
      </c>
      <c r="KQ9" s="3519" t="s">
        <v>4194</v>
      </c>
      <c r="KR9" s="3519" t="s">
        <v>4386</v>
      </c>
      <c r="KS9" s="3519" t="s">
        <v>4386</v>
      </c>
      <c r="KT9" s="3519" t="s">
        <v>4386</v>
      </c>
      <c r="KU9" s="3519" t="s">
        <v>4386</v>
      </c>
      <c r="KV9" s="3519" t="s">
        <v>4386</v>
      </c>
      <c r="KW9" s="3519" t="s">
        <v>4549</v>
      </c>
      <c r="KX9" s="3519" t="s">
        <v>4549</v>
      </c>
      <c r="KY9" s="3519" t="s">
        <v>4549</v>
      </c>
      <c r="KZ9" s="3519" t="s">
        <v>4549</v>
      </c>
      <c r="LA9" s="3519" t="s">
        <v>4549</v>
      </c>
      <c r="LB9" s="3519" t="s">
        <v>4550</v>
      </c>
      <c r="LC9" s="3519" t="s">
        <v>4550</v>
      </c>
      <c r="LD9" s="3519" t="s">
        <v>4550</v>
      </c>
      <c r="LE9" s="3519" t="s">
        <v>4550</v>
      </c>
      <c r="LF9" s="3519" t="s">
        <v>4550</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2">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3811</v>
      </c>
      <c r="C10" s="674" t="s">
        <v>164</v>
      </c>
      <c r="D10" s="674" t="s">
        <v>166</v>
      </c>
      <c r="E10" s="674" t="s">
        <v>1381</v>
      </c>
      <c r="F10" s="674" t="s">
        <v>1201</v>
      </c>
      <c r="G10" s="3522"/>
      <c r="H10" s="674" t="s">
        <v>3998</v>
      </c>
      <c r="I10" s="3522"/>
      <c r="J10" s="3527"/>
      <c r="K10" s="357" t="s">
        <v>334</v>
      </c>
      <c r="L10" s="674" t="s">
        <v>1430</v>
      </c>
      <c r="M10" s="674" t="s">
        <v>503</v>
      </c>
      <c r="N10" s="674" t="s">
        <v>1380</v>
      </c>
      <c r="O10" s="674" t="s">
        <v>4398</v>
      </c>
      <c r="P10" s="3531"/>
      <c r="Q10" s="3537"/>
      <c r="R10" s="674" t="s">
        <v>1382</v>
      </c>
      <c r="S10" s="674" t="s">
        <v>2450</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2292</v>
      </c>
      <c r="IB10" s="869" t="s">
        <v>2292</v>
      </c>
      <c r="IC10" s="869" t="s">
        <v>2292</v>
      </c>
      <c r="ID10" s="869" t="s">
        <v>2292</v>
      </c>
      <c r="IE10" s="3520"/>
      <c r="IF10" s="3520"/>
      <c r="IG10" s="3520"/>
      <c r="IH10" s="3520"/>
      <c r="II10" s="3520"/>
      <c r="IJ10" s="3520"/>
      <c r="IK10" s="3520"/>
      <c r="IL10" s="3520"/>
      <c r="IM10" s="3520"/>
      <c r="IN10" s="3520"/>
      <c r="IO10" s="869" t="s">
        <v>2294</v>
      </c>
      <c r="IP10" s="869" t="s">
        <v>2294</v>
      </c>
      <c r="IQ10" s="869" t="s">
        <v>2294</v>
      </c>
      <c r="IR10" s="869" t="s">
        <v>2294</v>
      </c>
      <c r="IS10" s="869" t="s">
        <v>2294</v>
      </c>
      <c r="IT10" s="869" t="s">
        <v>2930</v>
      </c>
      <c r="IU10" s="869" t="s">
        <v>2930</v>
      </c>
      <c r="IV10" s="869" t="s">
        <v>2930</v>
      </c>
      <c r="IW10" s="869" t="s">
        <v>2930</v>
      </c>
      <c r="IX10" s="869" t="s">
        <v>2930</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1">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3557</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4307</v>
      </c>
      <c r="NQ11" s="2479">
        <v>11</v>
      </c>
    </row>
    <row r="12" spans="1:493" ht="13.9" customHeight="1">
      <c r="A12" s="86" t="str">
        <f t="shared" si="0"/>
        <v/>
      </c>
      <c r="B12" s="1022" t="s">
        <v>3557</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4308</v>
      </c>
      <c r="NQ12" s="2481">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4309</v>
      </c>
      <c r="NQ13" s="2481">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4310</v>
      </c>
      <c r="NQ14" s="2479">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4311</v>
      </c>
      <c r="NQ15" s="2481">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4312</v>
      </c>
      <c r="NQ16" s="2481">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4313</v>
      </c>
      <c r="NQ17" s="2481">
        <v>17</v>
      </c>
    </row>
    <row r="18" spans="1:381" ht="13.9" customHeight="1">
      <c r="A18" s="86" t="str">
        <f t="shared" si="0"/>
        <v/>
      </c>
      <c r="B18" s="1059"/>
      <c r="C18" s="1024"/>
      <c r="D18" s="1663"/>
      <c r="E18" s="1025"/>
      <c r="F18" s="1025"/>
      <c r="G18" s="1025"/>
      <c r="H18" s="1025"/>
      <c r="I18" s="1025"/>
      <c r="J18" s="1041">
        <f>IF(C18="",0,HLOOKUP(C18,'Part IV-Utility Allowances'!$I$11:$M$22,12))</f>
        <v>0</v>
      </c>
      <c r="K18" s="1042"/>
      <c r="L18" s="1043">
        <f t="shared" si="1"/>
        <v>0</v>
      </c>
      <c r="M18" s="1043">
        <f t="shared" si="2"/>
        <v>0</v>
      </c>
      <c r="N18" s="1044"/>
      <c r="O18" s="1597"/>
      <c r="P18" s="1044"/>
      <c r="Q18" s="1045"/>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4314</v>
      </c>
      <c r="NQ18" s="2481">
        <v>18</v>
      </c>
    </row>
    <row r="19" spans="1:381" ht="13.9" customHeight="1">
      <c r="A19" s="86" t="str">
        <f t="shared" si="0"/>
        <v/>
      </c>
      <c r="B19" s="1060"/>
      <c r="C19" s="132"/>
      <c r="D19" s="1661"/>
      <c r="E19" s="133"/>
      <c r="F19" s="133"/>
      <c r="G19" s="133"/>
      <c r="H19" s="133"/>
      <c r="I19" s="133"/>
      <c r="J19" s="743">
        <f>IF(C19="",0,HLOOKUP(C19,'Part IV-Utility Allowances'!$I$11:$M$22,12))</f>
        <v>0</v>
      </c>
      <c r="K19" s="632"/>
      <c r="L19" s="460">
        <f t="shared" si="1"/>
        <v>0</v>
      </c>
      <c r="M19" s="460">
        <f t="shared" si="2"/>
        <v>0</v>
      </c>
      <c r="N19" s="683"/>
      <c r="O19" s="1595"/>
      <c r="P19" s="683"/>
      <c r="Q19" s="134"/>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4315</v>
      </c>
      <c r="NQ19" s="2481">
        <v>19</v>
      </c>
    </row>
    <row r="20" spans="1:381" ht="13.9" customHeight="1">
      <c r="A20" s="86" t="str">
        <f t="shared" si="0"/>
        <v/>
      </c>
      <c r="B20" s="1060"/>
      <c r="C20" s="132"/>
      <c r="D20" s="1661"/>
      <c r="E20" s="133"/>
      <c r="F20" s="133"/>
      <c r="G20" s="133"/>
      <c r="H20" s="133"/>
      <c r="I20" s="133"/>
      <c r="J20" s="743">
        <f>IF(C20="",0,HLOOKUP(C20,'Part IV-Utility Allowances'!$I$11:$M$22,12))</f>
        <v>0</v>
      </c>
      <c r="K20" s="632"/>
      <c r="L20" s="460">
        <f t="shared" si="1"/>
        <v>0</v>
      </c>
      <c r="M20" s="460">
        <f t="shared" si="2"/>
        <v>0</v>
      </c>
      <c r="N20" s="683"/>
      <c r="O20" s="1595"/>
      <c r="P20" s="683"/>
      <c r="Q20" s="134"/>
      <c r="R20" s="726"/>
      <c r="S20" s="727"/>
      <c r="T20" s="3487"/>
      <c r="U20" s="3488"/>
      <c r="V20" s="3488"/>
      <c r="W20" s="3489"/>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4316</v>
      </c>
      <c r="NQ20" s="2482">
        <v>20</v>
      </c>
    </row>
    <row r="21" spans="1:381" ht="13.9" customHeight="1">
      <c r="A21" s="86" t="str">
        <f t="shared" si="0"/>
        <v/>
      </c>
      <c r="B21" s="1060"/>
      <c r="C21" s="132"/>
      <c r="D21" s="1661"/>
      <c r="E21" s="133"/>
      <c r="F21" s="133"/>
      <c r="G21" s="133"/>
      <c r="H21" s="133"/>
      <c r="I21" s="133"/>
      <c r="J21" s="743">
        <f>IF(C21="",0,HLOOKUP(C21,'Part IV-Utility Allowances'!$I$11:$M$22,12))</f>
        <v>0</v>
      </c>
      <c r="K21" s="632"/>
      <c r="L21" s="460">
        <f t="shared" si="1"/>
        <v>0</v>
      </c>
      <c r="M21" s="460">
        <f t="shared" si="2"/>
        <v>0</v>
      </c>
      <c r="N21" s="683"/>
      <c r="O21" s="1595"/>
      <c r="P21" s="683"/>
      <c r="Q21" s="134"/>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4317</v>
      </c>
      <c r="NQ21" s="2481">
        <v>21</v>
      </c>
    </row>
    <row r="22" spans="1:381" ht="13.9" customHeight="1">
      <c r="A22" s="86" t="str">
        <f t="shared" si="0"/>
        <v/>
      </c>
      <c r="B22" s="1060"/>
      <c r="C22" s="132"/>
      <c r="D22" s="1661"/>
      <c r="E22" s="133"/>
      <c r="F22" s="133"/>
      <c r="G22" s="133"/>
      <c r="H22" s="133"/>
      <c r="I22" s="133"/>
      <c r="J22" s="743">
        <f>IF(C22="",0,HLOOKUP(C22,'Part IV-Utility Allowances'!$I$11:$M$22,12))</f>
        <v>0</v>
      </c>
      <c r="K22" s="632"/>
      <c r="L22" s="460">
        <f t="shared" si="1"/>
        <v>0</v>
      </c>
      <c r="M22" s="460">
        <f t="shared" si="2"/>
        <v>0</v>
      </c>
      <c r="N22" s="683"/>
      <c r="O22" s="1595"/>
      <c r="P22" s="683"/>
      <c r="Q22" s="134"/>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4318</v>
      </c>
      <c r="NQ22" s="2479">
        <v>22</v>
      </c>
    </row>
    <row r="23" spans="1:381" ht="13.9" customHeight="1">
      <c r="A23" s="86" t="str">
        <f t="shared" si="0"/>
        <v/>
      </c>
      <c r="B23" s="1060"/>
      <c r="C23" s="132"/>
      <c r="D23" s="1661"/>
      <c r="E23" s="133"/>
      <c r="F23" s="133"/>
      <c r="G23" s="133"/>
      <c r="H23" s="133"/>
      <c r="I23" s="133"/>
      <c r="J23" s="743">
        <f>IF(C23="",0,HLOOKUP(C23,'Part IV-Utility Allowances'!$I$11:$M$22,12))</f>
        <v>0</v>
      </c>
      <c r="K23" s="632"/>
      <c r="L23" s="460">
        <f t="shared" si="1"/>
        <v>0</v>
      </c>
      <c r="M23" s="460">
        <f t="shared" si="2"/>
        <v>0</v>
      </c>
      <c r="N23" s="683"/>
      <c r="O23" s="1595"/>
      <c r="P23" s="683"/>
      <c r="Q23" s="134"/>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4319</v>
      </c>
      <c r="NQ23" s="2481">
        <v>23</v>
      </c>
    </row>
    <row r="24" spans="1:381" ht="13.9"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4320</v>
      </c>
      <c r="NQ24" s="2481">
        <v>24</v>
      </c>
    </row>
    <row r="25" spans="1:381" ht="13.9"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4321</v>
      </c>
      <c r="NQ25" s="2479">
        <v>25</v>
      </c>
    </row>
    <row r="26" spans="1:381" ht="13.9"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4322</v>
      </c>
      <c r="NQ26" s="2481">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4323</v>
      </c>
      <c r="NQ27" s="2481">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4324</v>
      </c>
      <c r="NQ28" s="2481">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7"/>
      <c r="U29" s="3488"/>
      <c r="V29" s="3488"/>
      <c r="W29" s="3489"/>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4325</v>
      </c>
      <c r="NQ29" s="2481">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7"/>
      <c r="U30" s="3488"/>
      <c r="V30" s="3488"/>
      <c r="W30" s="3489"/>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4326</v>
      </c>
      <c r="NQ30" s="2481">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4327</v>
      </c>
      <c r="NQ31" s="2482">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4328</v>
      </c>
      <c r="NQ32" s="2481">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4329</v>
      </c>
      <c r="NQ33" s="2479">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4330</v>
      </c>
      <c r="NQ34" s="2481">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4331</v>
      </c>
      <c r="NQ35" s="2481">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4332</v>
      </c>
      <c r="NQ36" s="2479">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4333</v>
      </c>
      <c r="NQ37" s="2481">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4334</v>
      </c>
      <c r="NQ38" s="2481">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4335</v>
      </c>
      <c r="NQ39" s="2481">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4336</v>
      </c>
      <c r="NQ40" s="2481">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4337</v>
      </c>
      <c r="NQ41" s="2481">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4338</v>
      </c>
      <c r="NQ42" s="2482">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4339</v>
      </c>
      <c r="NQ43" s="2481">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4340</v>
      </c>
      <c r="NQ44" s="2479">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4341</v>
      </c>
      <c r="NQ45" s="2481">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4342</v>
      </c>
      <c r="NQ46" s="2481">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4343</v>
      </c>
      <c r="NQ47" s="2479">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4344</v>
      </c>
      <c r="NQ48" s="2481">
        <v>48</v>
      </c>
    </row>
    <row r="49" spans="1:381" s="115" customFormat="1" ht="13.9" customHeight="1">
      <c r="A49" s="1368">
        <f>COUNT(A11,A12,A13,A14,A15,A16,A17,A18,A19,A20,A21,A22,A23,A24,A25,A26,A27,A28,A29,A30,A31,A32,A33,A34,A35,A36,A37,A38,A39,A40)</f>
        <v>0</v>
      </c>
      <c r="B49" s="3556" t="s">
        <v>3651</v>
      </c>
      <c r="C49" s="3557"/>
      <c r="D49" s="107" t="s">
        <v>953</v>
      </c>
      <c r="E49" s="1054">
        <f>SUM(E11:E48)</f>
        <v>0</v>
      </c>
      <c r="F49" s="1052">
        <f>(E11*F11+E12*F12+E13*F13+E14*F14+E15*F15+E16*F16+E17*F17+E18*F18+E19*F19+E20*F20+E21*F21+E22*F22+E23*F23+E24*F24+E25*F25+E26*F26+E27*F27+E28*F28+E29*F29+E30*F30+E31*F31+E32*F32+E33*F33+E34*F34+E35*F35+E36*F36+E37*F37+E38*F38+E39*F39+E40*F40+E41*F41+E42*F42+E43*F43+E44*F44+E45*F45+E46*F46+E47*F47+E48*F48)</f>
        <v>0</v>
      </c>
      <c r="H49" s="3558" t="s">
        <v>3648</v>
      </c>
      <c r="I49" s="1055" t="s">
        <v>3649</v>
      </c>
      <c r="J49" s="1056" t="str">
        <f>IF(P67=0,"",IF(SUM(P58:P62)/P67&gt;=0.4,"Pass","Fail"))</f>
        <v/>
      </c>
      <c r="K49" s="447"/>
      <c r="L49" s="687" t="s">
        <v>1223</v>
      </c>
      <c r="M49" s="94">
        <f>SUM(M11:M48)</f>
        <v>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0</v>
      </c>
      <c r="AJ49" s="1659">
        <f t="shared" si="338"/>
        <v>0</v>
      </c>
      <c r="AK49" s="1659">
        <f t="shared" si="338"/>
        <v>0</v>
      </c>
      <c r="AL49" s="1659">
        <f t="shared" si="338"/>
        <v>0</v>
      </c>
      <c r="AM49" s="1659">
        <f>SUM(AM11:AM48)</f>
        <v>0</v>
      </c>
      <c r="AN49" s="1659">
        <f>SUM(AN11:AN48)</f>
        <v>0</v>
      </c>
      <c r="AO49" s="1659">
        <f>SUM(AO11:AO48)</f>
        <v>0</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0</v>
      </c>
      <c r="EU49" s="1659">
        <f t="shared" si="338"/>
        <v>0</v>
      </c>
      <c r="EV49" s="1659">
        <f t="shared" si="338"/>
        <v>0</v>
      </c>
      <c r="EW49" s="1659">
        <f t="shared" si="338"/>
        <v>0</v>
      </c>
      <c r="EX49" s="1659">
        <f t="shared" si="338"/>
        <v>0</v>
      </c>
      <c r="EY49" s="1659">
        <f t="shared" si="338"/>
        <v>0</v>
      </c>
      <c r="EZ49" s="1659">
        <f t="shared" si="338"/>
        <v>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0</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0</v>
      </c>
      <c r="IB49" s="1659">
        <f t="shared" si="341"/>
        <v>0</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0</v>
      </c>
      <c r="MM49" s="1659">
        <f t="shared" si="343"/>
        <v>0</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4345</v>
      </c>
      <c r="NQ49" s="2481">
        <v>49</v>
      </c>
    </row>
    <row r="50" spans="1:381" s="115" customFormat="1" ht="13.9" customHeight="1">
      <c r="B50" s="3560" t="str">
        <f>IF(SUM(E18:E48)=0,"",(B18*E18+B19*E19+B20*E20+B21*E21+B22*E22+B23*E23+B24*E24+B25*E25+B26*E26+B27*E27+B28*E28+B29*E29+B30*E30+B31*E31+B32*E32+B33*E33+B34*E34+B35*E35+B36*E36+B37*E37+B38*E38+B39*E39+B40*E40+B41*E41+B42*E42+B43*E43+B44*E44+B45*E45+B46*E46+B47*E47+B48*E48)/SUM(E18:E48))</f>
        <v/>
      </c>
      <c r="C50" s="3561"/>
      <c r="D50" s="119" t="s">
        <v>3558</v>
      </c>
      <c r="E50" s="1051">
        <f>SUM(E18:E48)</f>
        <v>0</v>
      </c>
      <c r="F50" s="1053">
        <f>(E18*F18+E19*F19+E20*F20+E21*F21+E22*F22+E23*F23+E24*F24+E25*F25+E26*F26+E27*F27+E28*F28+E29*F29+E30*F30+E31*F31+E32*F32+E33*F33+E34*F34+E35*F35+E36*F36+E37*F37+E38*F38+E39*F39+E40*F40+E41*F41+E42*F42+E43*F43+E44*F44+E45*F45+E46*F46+E47*F47+E48*F48)</f>
        <v>0</v>
      </c>
      <c r="H50" s="3559"/>
      <c r="I50" s="1057" t="s">
        <v>3650</v>
      </c>
      <c r="J50" s="1058" t="str">
        <f>IF(P67=0,"",IF(SUM(P59:P62)/P67&gt;=0.2,"Pass","Fail"))</f>
        <v/>
      </c>
      <c r="K50" s="447"/>
      <c r="L50" s="107" t="s">
        <v>756</v>
      </c>
      <c r="M50" s="94">
        <f>M49*12</f>
        <v>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4346</v>
      </c>
      <c r="NQ50" s="2481">
        <v>50</v>
      </c>
    </row>
    <row r="51" spans="1:381" ht="7" customHeight="1">
      <c r="A51" s="3562" t="s">
        <v>5030</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1">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1">
        <v>52</v>
      </c>
    </row>
    <row r="53" spans="1:381" ht="14.65" customHeight="1">
      <c r="A53" s="10" t="s">
        <v>688</v>
      </c>
      <c r="B53" s="10" t="s">
        <v>498</v>
      </c>
      <c r="K53" s="1801" t="s">
        <v>4541</v>
      </c>
      <c r="O53" s="3554" t="s">
        <v>3776</v>
      </c>
      <c r="P53" s="3555"/>
      <c r="S53" s="3503" t="str">
        <f>B53</f>
        <v>UNIT SUMMARY</v>
      </c>
      <c r="T53" s="3503"/>
      <c r="U53" s="3503"/>
      <c r="V53" s="3503"/>
      <c r="AY53" s="358"/>
      <c r="BD53" s="358"/>
      <c r="LO53" s="360"/>
      <c r="MD53" s="356"/>
      <c r="NQ53" s="2482">
        <v>53</v>
      </c>
    </row>
    <row r="54" spans="1:381" ht="14.25" customHeight="1">
      <c r="A54" s="10"/>
      <c r="B54" s="10"/>
      <c r="K54" s="144" t="s">
        <v>4543</v>
      </c>
      <c r="O54" s="3512" t="s">
        <v>3121</v>
      </c>
      <c r="P54" s="3513"/>
      <c r="S54" s="95"/>
      <c r="T54" s="95"/>
      <c r="U54" s="367"/>
      <c r="AY54" s="358"/>
      <c r="BD54" s="358"/>
      <c r="LO54" s="360"/>
      <c r="MD54" s="356"/>
      <c r="NQ54" s="2481">
        <v>54</v>
      </c>
    </row>
    <row r="55" spans="1:381" ht="14.65" customHeight="1">
      <c r="A55" s="10"/>
      <c r="B55" s="10" t="s">
        <v>4395</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79">
        <v>55</v>
      </c>
    </row>
    <row r="56" spans="1:381" ht="15" customHeight="1">
      <c r="A56" s="3514" t="s">
        <v>3949</v>
      </c>
      <c r="B56" s="3514"/>
      <c r="C56" s="72" t="s">
        <v>1068</v>
      </c>
      <c r="D56" s="1"/>
      <c r="E56" s="1"/>
      <c r="F56" s="1"/>
      <c r="G56" s="62"/>
      <c r="H56" s="81" t="s">
        <v>3559</v>
      </c>
      <c r="I56" s="29"/>
      <c r="J56" s="62"/>
      <c r="K56" s="1065">
        <f>X49</f>
        <v>0</v>
      </c>
      <c r="L56" s="1066">
        <f>Y49</f>
        <v>0</v>
      </c>
      <c r="M56" s="1066">
        <f>Z49</f>
        <v>0</v>
      </c>
      <c r="N56" s="1066">
        <f>AA49</f>
        <v>0</v>
      </c>
      <c r="O56" s="1067">
        <f>AB49</f>
        <v>0</v>
      </c>
      <c r="P56" s="736">
        <f t="shared" ref="P56:P67" si="344">SUM(K56:O56)</f>
        <v>0</v>
      </c>
      <c r="Q56" s="3515" t="s">
        <v>3101</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1">
        <v>56</v>
      </c>
    </row>
    <row r="57" spans="1:381" ht="15" customHeight="1">
      <c r="A57" s="3514"/>
      <c r="B57" s="3514"/>
      <c r="C57" s="72"/>
      <c r="D57" s="1"/>
      <c r="E57" s="1"/>
      <c r="F57" s="1"/>
      <c r="G57" s="62"/>
      <c r="H57" s="81" t="s">
        <v>3560</v>
      </c>
      <c r="I57" s="29"/>
      <c r="J57" s="62"/>
      <c r="K57" s="1068">
        <f>AC49</f>
        <v>0</v>
      </c>
      <c r="L57" s="1069">
        <f>AD49</f>
        <v>0</v>
      </c>
      <c r="M57" s="1069">
        <f>AE49</f>
        <v>0</v>
      </c>
      <c r="N57" s="1069">
        <f>AF49</f>
        <v>0</v>
      </c>
      <c r="O57" s="1070">
        <f>AG49</f>
        <v>0</v>
      </c>
      <c r="P57" s="732">
        <f t="shared" si="344"/>
        <v>0</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1">
        <v>57</v>
      </c>
    </row>
    <row r="58" spans="1:381" ht="15" customHeight="1">
      <c r="A58" s="3514"/>
      <c r="B58" s="3514"/>
      <c r="C58" s="72"/>
      <c r="D58" s="1"/>
      <c r="E58" s="1"/>
      <c r="F58" s="1"/>
      <c r="G58" s="62"/>
      <c r="H58" s="81" t="s">
        <v>1080</v>
      </c>
      <c r="I58" s="29"/>
      <c r="J58" s="62"/>
      <c r="K58" s="1068">
        <f>AH49</f>
        <v>0</v>
      </c>
      <c r="L58" s="1069">
        <f>AI49</f>
        <v>0</v>
      </c>
      <c r="M58" s="1069">
        <f>AJ49</f>
        <v>0</v>
      </c>
      <c r="N58" s="1069">
        <f>AK49</f>
        <v>0</v>
      </c>
      <c r="O58" s="1070">
        <f>AL49</f>
        <v>0</v>
      </c>
      <c r="P58" s="732">
        <f t="shared" si="344"/>
        <v>0</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79">
        <v>58</v>
      </c>
    </row>
    <row r="59" spans="1:381" ht="15" customHeight="1">
      <c r="A59" s="3514"/>
      <c r="B59" s="3514"/>
      <c r="C59" s="72"/>
      <c r="D59" s="1"/>
      <c r="E59" s="1"/>
      <c r="F59" s="1"/>
      <c r="G59" s="62"/>
      <c r="H59" s="81" t="s">
        <v>112</v>
      </c>
      <c r="I59" s="29"/>
      <c r="J59" s="899"/>
      <c r="K59" s="1089">
        <f>AM49</f>
        <v>0</v>
      </c>
      <c r="L59" s="1090">
        <f>AN49</f>
        <v>0</v>
      </c>
      <c r="M59" s="1090">
        <f>AO49</f>
        <v>0</v>
      </c>
      <c r="N59" s="1090">
        <f>AP49</f>
        <v>0</v>
      </c>
      <c r="O59" s="1091">
        <f>AQ49</f>
        <v>0</v>
      </c>
      <c r="P59" s="465">
        <f t="shared" si="344"/>
        <v>0</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1">
        <v>59</v>
      </c>
    </row>
    <row r="60" spans="1:381" ht="15" customHeight="1">
      <c r="A60" s="3514"/>
      <c r="B60" s="3514"/>
      <c r="C60" s="72"/>
      <c r="D60" s="1"/>
      <c r="E60" s="1"/>
      <c r="F60" s="1"/>
      <c r="G60" s="62"/>
      <c r="H60" s="81" t="s">
        <v>3561</v>
      </c>
      <c r="I60" s="29"/>
      <c r="J60" s="899"/>
      <c r="K60" s="1068">
        <f>AR49</f>
        <v>0</v>
      </c>
      <c r="L60" s="1069">
        <f>AS49</f>
        <v>0</v>
      </c>
      <c r="M60" s="1069">
        <f>AT49</f>
        <v>0</v>
      </c>
      <c r="N60" s="1069">
        <f>AU49</f>
        <v>0</v>
      </c>
      <c r="O60" s="1070">
        <f>AV49</f>
        <v>0</v>
      </c>
      <c r="P60" s="732">
        <f t="shared" si="344"/>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1">
        <v>60</v>
      </c>
    </row>
    <row r="61" spans="1:381" ht="15" customHeight="1">
      <c r="A61" s="3514"/>
      <c r="B61" s="3514"/>
      <c r="C61" s="72"/>
      <c r="D61" s="1"/>
      <c r="E61" s="1"/>
      <c r="F61" s="1"/>
      <c r="G61" s="62"/>
      <c r="H61" s="81" t="s">
        <v>3562</v>
      </c>
      <c r="I61" s="29"/>
      <c r="J61" s="62"/>
      <c r="K61" s="1068">
        <f>AW49</f>
        <v>0</v>
      </c>
      <c r="L61" s="1069">
        <f>AX49</f>
        <v>0</v>
      </c>
      <c r="M61" s="1069">
        <f>AY49</f>
        <v>0</v>
      </c>
      <c r="N61" s="1069">
        <f>AZ49</f>
        <v>0</v>
      </c>
      <c r="O61" s="1070">
        <f>BA49</f>
        <v>0</v>
      </c>
      <c r="P61" s="732">
        <f t="shared" si="344"/>
        <v>0</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1">
        <v>61</v>
      </c>
    </row>
    <row r="62" spans="1:381" ht="15" customHeight="1">
      <c r="A62" s="3514"/>
      <c r="B62" s="3514"/>
      <c r="C62" s="4"/>
      <c r="D62" s="1"/>
      <c r="E62" s="1"/>
      <c r="F62" s="1"/>
      <c r="G62" s="62"/>
      <c r="H62" s="81" t="s">
        <v>3563</v>
      </c>
      <c r="I62" s="29"/>
      <c r="J62" s="62"/>
      <c r="K62" s="1071">
        <f>BB49</f>
        <v>0</v>
      </c>
      <c r="L62" s="1072">
        <f>BC49</f>
        <v>0</v>
      </c>
      <c r="M62" s="1072">
        <f>BD49</f>
        <v>0</v>
      </c>
      <c r="N62" s="1072">
        <f>BE49</f>
        <v>0</v>
      </c>
      <c r="O62" s="1073">
        <f>BF49</f>
        <v>0</v>
      </c>
      <c r="P62" s="465">
        <f t="shared" si="344"/>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1">
        <v>62</v>
      </c>
    </row>
    <row r="63" spans="1:381" ht="15" customHeight="1">
      <c r="A63" s="3514"/>
      <c r="B63" s="3514"/>
      <c r="C63" s="81" t="s">
        <v>3645</v>
      </c>
      <c r="D63" s="1"/>
      <c r="E63" s="1"/>
      <c r="F63" s="1"/>
      <c r="G63" s="62"/>
      <c r="H63" s="68"/>
      <c r="I63" s="44"/>
      <c r="J63" s="62"/>
      <c r="K63" s="1033">
        <f>SUM(K56:K62)</f>
        <v>0</v>
      </c>
      <c r="L63" s="1033">
        <f>SUM(L56:L62)</f>
        <v>0</v>
      </c>
      <c r="M63" s="1033">
        <f>SUM(M56:M62)</f>
        <v>0</v>
      </c>
      <c r="N63" s="1033">
        <f>SUM(N56:N62)</f>
        <v>0</v>
      </c>
      <c r="O63" s="1033">
        <f>SUM(O56:O62)</f>
        <v>0</v>
      </c>
      <c r="P63" s="1033">
        <f t="shared" si="344"/>
        <v>0</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1">
        <v>63</v>
      </c>
    </row>
    <row r="64" spans="1:381" ht="15" customHeight="1">
      <c r="A64" s="3514"/>
      <c r="B64" s="3514"/>
      <c r="D64" s="1"/>
      <c r="E64" s="1"/>
      <c r="F64" s="1"/>
      <c r="G64" s="62"/>
      <c r="H64" s="81" t="s">
        <v>290</v>
      </c>
      <c r="I64" s="29"/>
      <c r="J64" s="62"/>
      <c r="K64" s="733">
        <f>BG49</f>
        <v>0</v>
      </c>
      <c r="L64" s="733">
        <f>BH49</f>
        <v>0</v>
      </c>
      <c r="M64" s="733">
        <f>BI49</f>
        <v>0</v>
      </c>
      <c r="N64" s="733">
        <f>BJ49</f>
        <v>0</v>
      </c>
      <c r="O64" s="733">
        <f>BK49</f>
        <v>0</v>
      </c>
      <c r="P64" s="733">
        <f t="shared" si="344"/>
        <v>0</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2">
        <v>64</v>
      </c>
    </row>
    <row r="65" spans="1:485" ht="15" customHeight="1">
      <c r="A65" s="3514"/>
      <c r="B65" s="3514"/>
      <c r="C65" s="1038" t="s">
        <v>1069</v>
      </c>
      <c r="D65" s="1038"/>
      <c r="E65" s="1038"/>
      <c r="F65" s="1038"/>
      <c r="G65" s="1039"/>
      <c r="H65" s="1375"/>
      <c r="I65" s="42"/>
      <c r="J65" s="1039"/>
      <c r="K65" s="1040">
        <f>SUM(K63:K64)</f>
        <v>0</v>
      </c>
      <c r="L65" s="1040">
        <f>SUM(L63:L64)</f>
        <v>0</v>
      </c>
      <c r="M65" s="1040">
        <f>SUM(M63:M64)</f>
        <v>0</v>
      </c>
      <c r="N65" s="1040">
        <f>SUM(N63:N64)</f>
        <v>0</v>
      </c>
      <c r="O65" s="1040">
        <f>SUM(O63:O64)</f>
        <v>0</v>
      </c>
      <c r="P65" s="1040">
        <f t="shared" si="344"/>
        <v>0</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1">
        <v>65</v>
      </c>
    </row>
    <row r="66" spans="1:485" ht="15" customHeight="1">
      <c r="A66" s="3514"/>
      <c r="B66" s="3514"/>
      <c r="D66" s="1"/>
      <c r="E66" s="1"/>
      <c r="F66" s="1"/>
      <c r="G66" s="62"/>
      <c r="H66" s="81" t="s">
        <v>2303</v>
      </c>
      <c r="I66" s="29"/>
      <c r="J66" s="62"/>
      <c r="K66" s="733">
        <f>ED49</f>
        <v>0</v>
      </c>
      <c r="L66" s="733">
        <f>EE49</f>
        <v>0</v>
      </c>
      <c r="M66" s="733">
        <f>EF49</f>
        <v>0</v>
      </c>
      <c r="N66" s="733">
        <f>EG49</f>
        <v>0</v>
      </c>
      <c r="O66" s="733">
        <f>EH49</f>
        <v>0</v>
      </c>
      <c r="P66" s="733">
        <f t="shared" si="344"/>
        <v>0</v>
      </c>
      <c r="Q66" s="147" t="s">
        <v>3102</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79">
        <v>66</v>
      </c>
    </row>
    <row r="67" spans="1:485" ht="15" customHeight="1">
      <c r="A67" s="3514"/>
      <c r="B67" s="3514"/>
      <c r="C67" s="4" t="s">
        <v>1662</v>
      </c>
      <c r="D67" s="1"/>
      <c r="E67" s="1"/>
      <c r="F67" s="1"/>
      <c r="G67" s="62"/>
      <c r="H67" s="81"/>
      <c r="I67" s="29"/>
      <c r="J67" s="62"/>
      <c r="K67" s="1032">
        <f>SUM(K65:K66)</f>
        <v>0</v>
      </c>
      <c r="L67" s="1032">
        <f>SUM(L65:L66)</f>
        <v>0</v>
      </c>
      <c r="M67" s="1032">
        <f>SUM(M65:M66)</f>
        <v>0</v>
      </c>
      <c r="N67" s="1032">
        <f>SUM(N65:N66)</f>
        <v>0</v>
      </c>
      <c r="O67" s="1032">
        <f>SUM(O65:O66)</f>
        <v>0</v>
      </c>
      <c r="P67" s="1032">
        <f t="shared" si="344"/>
        <v>0</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1">
        <v>67</v>
      </c>
    </row>
    <row r="68" spans="1:485" ht="16.149999999999999"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1">
        <v>68</v>
      </c>
    </row>
    <row r="69" spans="1:485" ht="12" customHeight="1">
      <c r="A69" s="3514"/>
      <c r="B69" s="3514"/>
      <c r="C69" s="3517" t="s">
        <v>3654</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79">
        <v>69</v>
      </c>
    </row>
    <row r="70" spans="1:485" customFormat="1" ht="13.15" customHeight="1">
      <c r="A70" s="3514"/>
      <c r="B70" s="3514"/>
      <c r="C70" s="3517"/>
      <c r="D70" s="3517"/>
      <c r="E70" s="3517"/>
      <c r="F70" s="3517"/>
      <c r="G70" s="6"/>
      <c r="H70" s="81" t="s">
        <v>3559</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3943</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1">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514"/>
      <c r="B71" s="3514"/>
      <c r="C71" s="655"/>
      <c r="D71" s="6"/>
      <c r="E71" s="6"/>
      <c r="F71" s="6"/>
      <c r="G71" s="6"/>
      <c r="H71" s="81" t="s">
        <v>4388</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1">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514"/>
      <c r="B72" s="3514"/>
      <c r="C72" s="655"/>
      <c r="D72" s="6"/>
      <c r="E72" s="6"/>
      <c r="F72" s="6"/>
      <c r="G72" s="1419"/>
      <c r="H72" s="1377" t="s">
        <v>4389</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1">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3942</v>
      </c>
      <c r="E73" s="3518"/>
      <c r="F73" s="3518"/>
      <c r="G73" s="6"/>
      <c r="H73" s="81" t="s">
        <v>3560</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1">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55"/>
      <c r="D74" s="3518"/>
      <c r="E74" s="3518"/>
      <c r="F74" s="3518"/>
      <c r="G74" s="6"/>
      <c r="H74" s="81" t="s">
        <v>4388</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1">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55"/>
      <c r="D75" s="3518"/>
      <c r="E75" s="3518"/>
      <c r="F75" s="3518"/>
      <c r="G75" s="1419"/>
      <c r="H75" s="1377" t="s">
        <v>4389</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2">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3941</v>
      </c>
      <c r="D76" s="3518"/>
      <c r="E76" s="3518"/>
      <c r="F76" s="3518"/>
      <c r="G76" s="6"/>
      <c r="H76" s="81" t="s">
        <v>1080</v>
      </c>
      <c r="I76" s="29"/>
      <c r="J76" s="1"/>
      <c r="K76" s="1372" t="str">
        <f t="shared" ref="K76:P76" si="349">IF(OR(K58=0,K67=0),"",K58/K67)</f>
        <v/>
      </c>
      <c r="L76" s="1373" t="str">
        <f t="shared" si="349"/>
        <v/>
      </c>
      <c r="M76" s="1373" t="str">
        <f t="shared" si="349"/>
        <v/>
      </c>
      <c r="N76" s="1373" t="str">
        <f t="shared" si="349"/>
        <v/>
      </c>
      <c r="O76" s="1373" t="str">
        <f t="shared" si="349"/>
        <v/>
      </c>
      <c r="P76" s="1374" t="str">
        <f t="shared" si="349"/>
        <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1">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4388</v>
      </c>
      <c r="I77" s="29"/>
      <c r="J77" s="1"/>
      <c r="K77" s="1424" t="str">
        <f>IF(OR(K58=0,P76="",K67=0),"",P76*K67)</f>
        <v/>
      </c>
      <c r="L77" s="1424" t="str">
        <f>IF(OR(L58=0,P76="",L67=0),"",P76*L67)</f>
        <v/>
      </c>
      <c r="M77" s="1424" t="str">
        <f>IF(OR(M58=0,P76="",M67=0),"",P76*M67)</f>
        <v/>
      </c>
      <c r="N77" s="1424" t="str">
        <f>IF(OR(N58=0,P76="",N67=0),"",P76*N67)</f>
        <v/>
      </c>
      <c r="O77" s="1424" t="str">
        <f>IF(OR(O58=0,P76="",O67=0),"",P76*O67)</f>
        <v/>
      </c>
      <c r="P77" s="1425" t="str">
        <f>IF(OR(P76="",P67=0),"",P76*P67)</f>
        <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79">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4389</v>
      </c>
      <c r="I78" s="1345"/>
      <c r="J78" s="1"/>
      <c r="K78" s="1426" t="str">
        <f t="shared" ref="K78:P78" si="350">IF(OR(K77="",K58=0),"", K58-K77)</f>
        <v/>
      </c>
      <c r="L78" s="1426" t="str">
        <f t="shared" si="350"/>
        <v/>
      </c>
      <c r="M78" s="1426" t="str">
        <f t="shared" si="350"/>
        <v/>
      </c>
      <c r="N78" s="1426" t="str">
        <f t="shared" si="350"/>
        <v/>
      </c>
      <c r="O78" s="1426" t="str">
        <f t="shared" si="350"/>
        <v/>
      </c>
      <c r="P78" s="1426" t="str">
        <f t="shared" si="350"/>
        <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1">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3941</v>
      </c>
      <c r="D79" s="1343"/>
      <c r="E79" s="1343"/>
      <c r="F79" s="6"/>
      <c r="G79" s="6"/>
      <c r="H79" s="81" t="s">
        <v>112</v>
      </c>
      <c r="I79" s="29"/>
      <c r="J79" s="1"/>
      <c r="K79" s="1372" t="str">
        <f t="shared" ref="K79:P79" si="351">IF(OR(K59=0,K67=0),"",K59/K67)</f>
        <v/>
      </c>
      <c r="L79" s="1373" t="str">
        <f t="shared" si="351"/>
        <v/>
      </c>
      <c r="M79" s="1373" t="str">
        <f t="shared" si="351"/>
        <v/>
      </c>
      <c r="N79" s="1373" t="str">
        <f t="shared" si="351"/>
        <v/>
      </c>
      <c r="O79" s="1373" t="str">
        <f t="shared" si="351"/>
        <v/>
      </c>
      <c r="P79" s="1374" t="str">
        <f t="shared" si="351"/>
        <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1">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4388</v>
      </c>
      <c r="I80" s="29"/>
      <c r="J80" s="1"/>
      <c r="K80" s="1424" t="str">
        <f>IF(OR(K59=0,P79="",K67=0),"",P79*K67)</f>
        <v/>
      </c>
      <c r="L80" s="1424" t="str">
        <f>IF(OR(L59=0,P79="",L67=0),"",P79*L67)</f>
        <v/>
      </c>
      <c r="M80" s="1424" t="str">
        <f>IF(OR(M59=0,P79="",M67=0),"",P79*M67)</f>
        <v/>
      </c>
      <c r="N80" s="1424" t="str">
        <f>IF(OR(N59=0,P79="",N67=0),"",P79*N67)</f>
        <v/>
      </c>
      <c r="O80" s="1424" t="str">
        <f>IF(OR(O59=0,P79="",O67=0),"",P79*O67)</f>
        <v/>
      </c>
      <c r="P80" s="1425" t="str">
        <f>IF(OR(P79="",P67=0),"",P79*P67)</f>
        <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79">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4389</v>
      </c>
      <c r="I81" s="1345"/>
      <c r="J81" s="1"/>
      <c r="K81" s="1426" t="str">
        <f t="shared" ref="K81:P81" si="352">IF(OR(K80="",K59=0),"", K59-K80)</f>
        <v/>
      </c>
      <c r="L81" s="1426" t="str">
        <f t="shared" si="352"/>
        <v/>
      </c>
      <c r="M81" s="1426" t="str">
        <f t="shared" si="352"/>
        <v/>
      </c>
      <c r="N81" s="1426" t="str">
        <f t="shared" si="352"/>
        <v/>
      </c>
      <c r="O81" s="1426" t="str">
        <f t="shared" si="352"/>
        <v/>
      </c>
      <c r="P81" s="1426" t="str">
        <f t="shared" si="352"/>
        <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1">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3941</v>
      </c>
      <c r="D82" s="1343"/>
      <c r="E82" s="1343"/>
      <c r="F82" s="6"/>
      <c r="G82" s="6"/>
      <c r="H82" s="81" t="s">
        <v>3561</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1">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4388</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1">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4389</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1">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3941</v>
      </c>
      <c r="D85" s="6"/>
      <c r="E85" s="6"/>
      <c r="F85" s="6"/>
      <c r="G85" s="6"/>
      <c r="H85" s="81" t="s">
        <v>3562</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1">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4388</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2">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4389</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1">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3941</v>
      </c>
      <c r="D88" s="6"/>
      <c r="E88" s="6"/>
      <c r="F88" s="6"/>
      <c r="G88" s="6"/>
      <c r="H88" s="81" t="s">
        <v>3563</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79">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4388</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1">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4389</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1">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79">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1">
        <v>92</v>
      </c>
    </row>
    <row r="93" spans="1:485" ht="15" customHeight="1">
      <c r="A93" s="1064"/>
      <c r="B93" s="1064"/>
      <c r="C93" s="72" t="s">
        <v>874</v>
      </c>
      <c r="D93" s="1"/>
      <c r="E93" s="81"/>
      <c r="F93" s="1"/>
      <c r="G93" s="62"/>
      <c r="H93" s="81" t="s">
        <v>3559</v>
      </c>
      <c r="I93" s="29"/>
      <c r="J93" s="62"/>
      <c r="K93" s="1074">
        <f>CP49</f>
        <v>0</v>
      </c>
      <c r="L93" s="1075">
        <f>CQ49</f>
        <v>0</v>
      </c>
      <c r="M93" s="1075">
        <f>CR49</f>
        <v>0</v>
      </c>
      <c r="N93" s="1075">
        <f>CS49</f>
        <v>0</v>
      </c>
      <c r="O93" s="1076">
        <f>CT49</f>
        <v>0</v>
      </c>
      <c r="P93" s="734">
        <f t="shared" ref="P93:P100" si="359">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1">
        <v>93</v>
      </c>
    </row>
    <row r="94" spans="1:485" ht="15" customHeight="1">
      <c r="A94" s="1064"/>
      <c r="B94" s="1064"/>
      <c r="C94" s="29" t="s">
        <v>2304</v>
      </c>
      <c r="D94" s="1"/>
      <c r="E94" s="81"/>
      <c r="F94" s="1"/>
      <c r="G94" s="62"/>
      <c r="H94" s="81" t="s">
        <v>3560</v>
      </c>
      <c r="I94" s="29"/>
      <c r="J94" s="62"/>
      <c r="K94" s="1077">
        <f>CK49</f>
        <v>0</v>
      </c>
      <c r="L94" s="1078">
        <f>CL49</f>
        <v>0</v>
      </c>
      <c r="M94" s="1078">
        <f>CM49</f>
        <v>0</v>
      </c>
      <c r="N94" s="1078">
        <f>CN49</f>
        <v>0</v>
      </c>
      <c r="O94" s="1079">
        <f>CO49</f>
        <v>0</v>
      </c>
      <c r="P94" s="1031">
        <f t="shared" si="359"/>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1">
        <v>94</v>
      </c>
    </row>
    <row r="95" spans="1:485" ht="1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1">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1">
        <v>96</v>
      </c>
    </row>
    <row r="97" spans="1:381" ht="15" customHeight="1">
      <c r="A97" s="1064"/>
      <c r="B97" s="1064"/>
      <c r="C97" s="72"/>
      <c r="D97" s="1"/>
      <c r="E97" s="81"/>
      <c r="F97" s="1"/>
      <c r="G97" s="62"/>
      <c r="H97" s="81" t="s">
        <v>3561</v>
      </c>
      <c r="I97" s="29"/>
      <c r="J97" s="899"/>
      <c r="K97" s="1077">
        <f>BV49</f>
        <v>0</v>
      </c>
      <c r="L97" s="1078">
        <f>BW49</f>
        <v>0</v>
      </c>
      <c r="M97" s="1078">
        <f>BX49</f>
        <v>0</v>
      </c>
      <c r="N97" s="1078">
        <f>BY49</f>
        <v>0</v>
      </c>
      <c r="O97" s="1079">
        <f>BZ49</f>
        <v>0</v>
      </c>
      <c r="P97" s="1031">
        <f t="shared" si="359"/>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2">
        <v>97</v>
      </c>
    </row>
    <row r="98" spans="1:381" ht="15" customHeight="1">
      <c r="A98" s="1063"/>
      <c r="B98" s="1063"/>
      <c r="C98" s="72"/>
      <c r="D98" s="1"/>
      <c r="E98" s="81"/>
      <c r="F98" s="1"/>
      <c r="G98" s="62"/>
      <c r="H98" s="81" t="s">
        <v>3562</v>
      </c>
      <c r="I98" s="29"/>
      <c r="J98" s="62"/>
      <c r="K98" s="1077">
        <f>BQ49</f>
        <v>0</v>
      </c>
      <c r="L98" s="1078">
        <f>BR49</f>
        <v>0</v>
      </c>
      <c r="M98" s="1078">
        <f>BS49</f>
        <v>0</v>
      </c>
      <c r="N98" s="1078">
        <f>BT49</f>
        <v>0</v>
      </c>
      <c r="O98" s="1079">
        <f>BU49</f>
        <v>0</v>
      </c>
      <c r="P98" s="1031">
        <f t="shared" si="359"/>
        <v>0</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1">
        <v>98</v>
      </c>
    </row>
    <row r="99" spans="1:381" ht="15" customHeight="1">
      <c r="A99" s="1063"/>
      <c r="B99" s="1063"/>
      <c r="D99" s="1"/>
      <c r="E99" s="81"/>
      <c r="F99" s="1"/>
      <c r="G99" s="62"/>
      <c r="H99" s="81" t="s">
        <v>3563</v>
      </c>
      <c r="I99" s="29"/>
      <c r="J99" s="62"/>
      <c r="K99" s="1080">
        <f>BL49</f>
        <v>0</v>
      </c>
      <c r="L99" s="1081">
        <f>BM49</f>
        <v>0</v>
      </c>
      <c r="M99" s="1081">
        <f>BN49</f>
        <v>0</v>
      </c>
      <c r="N99" s="1081">
        <f>BO49</f>
        <v>0</v>
      </c>
      <c r="O99" s="1082">
        <f>BP49</f>
        <v>0</v>
      </c>
      <c r="P99" s="735">
        <f t="shared" si="359"/>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79">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1">
        <v>100</v>
      </c>
    </row>
    <row r="101" spans="1:381" ht="5.15"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1">
        <v>101</v>
      </c>
    </row>
    <row r="102" spans="1:381" ht="14.65" customHeight="1" thickBot="1">
      <c r="A102" s="10" t="s">
        <v>688</v>
      </c>
      <c r="B102" s="10" t="s">
        <v>3754</v>
      </c>
      <c r="H102" s="68"/>
      <c r="L102" s="3500" t="str">
        <f>O53</f>
        <v>&lt;&lt; Select LIHTC Election &gt;&gt;</v>
      </c>
      <c r="M102" s="3501"/>
      <c r="N102" s="3501"/>
      <c r="O102" s="3502"/>
      <c r="P102" s="62"/>
      <c r="S102" s="4" t="str">
        <f>B102</f>
        <v>UNIT SUMMARY (Continued)</v>
      </c>
      <c r="T102" s="4"/>
      <c r="U102" s="4"/>
      <c r="V102" s="4"/>
      <c r="AY102" s="358"/>
      <c r="BD102" s="358"/>
      <c r="LO102" s="360"/>
      <c r="MD102" s="356"/>
      <c r="NQ102" s="2479">
        <v>102</v>
      </c>
    </row>
    <row r="103" spans="1:381" ht="9" customHeight="1">
      <c r="A103" s="10"/>
      <c r="B103" s="10"/>
      <c r="H103" s="68"/>
      <c r="P103" s="62"/>
      <c r="S103" s="223" t="str">
        <f>C104</f>
        <v>PHA Operating Subsidy-Assisted</v>
      </c>
      <c r="T103" s="95"/>
      <c r="U103" s="367"/>
      <c r="AY103" s="358"/>
      <c r="BD103" s="358"/>
      <c r="LO103" s="360"/>
      <c r="MD103" s="356"/>
      <c r="NQ103" s="2481">
        <v>103</v>
      </c>
    </row>
    <row r="104" spans="1:381" ht="13.5" customHeight="1">
      <c r="A104" s="1063"/>
      <c r="B104" s="1063"/>
      <c r="C104" s="333" t="s">
        <v>831</v>
      </c>
      <c r="D104" s="333"/>
      <c r="E104" s="333"/>
      <c r="F104" s="1"/>
      <c r="G104" s="62"/>
      <c r="H104" s="81" t="s">
        <v>3559</v>
      </c>
      <c r="I104" s="29"/>
      <c r="J104" s="62"/>
      <c r="K104" s="1074">
        <f>DY49</f>
        <v>0</v>
      </c>
      <c r="L104" s="1075">
        <f>DZ49</f>
        <v>0</v>
      </c>
      <c r="M104" s="1075">
        <f>EA49</f>
        <v>0</v>
      </c>
      <c r="N104" s="1075">
        <f>EB49</f>
        <v>0</v>
      </c>
      <c r="O104" s="1076">
        <f>EC49</f>
        <v>0</v>
      </c>
      <c r="P104" s="736">
        <f t="shared" ref="P104:P111" si="360">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1">
        <v>104</v>
      </c>
    </row>
    <row r="105" spans="1:381" ht="13.5" customHeight="1">
      <c r="A105" s="1063"/>
      <c r="B105" s="1063"/>
      <c r="C105" s="29" t="s">
        <v>2304</v>
      </c>
      <c r="D105" s="333"/>
      <c r="E105" s="333"/>
      <c r="F105" s="1"/>
      <c r="G105" s="62"/>
      <c r="H105" s="81" t="s">
        <v>3560</v>
      </c>
      <c r="I105" s="29"/>
      <c r="J105" s="62"/>
      <c r="K105" s="1077">
        <f>DT49</f>
        <v>0</v>
      </c>
      <c r="L105" s="1078">
        <f>DU49</f>
        <v>0</v>
      </c>
      <c r="M105" s="1078">
        <f>DV49</f>
        <v>0</v>
      </c>
      <c r="N105" s="1078">
        <f>DW49</f>
        <v>0</v>
      </c>
      <c r="O105" s="1079">
        <f>DX49</f>
        <v>0</v>
      </c>
      <c r="P105" s="732">
        <f t="shared" si="360"/>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1">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1">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1">
        <v>107</v>
      </c>
    </row>
    <row r="108" spans="1:381" ht="13.5" customHeight="1">
      <c r="A108" s="1063"/>
      <c r="B108" s="1063"/>
      <c r="C108" s="333"/>
      <c r="D108" s="333"/>
      <c r="E108" s="333"/>
      <c r="F108" s="1"/>
      <c r="G108" s="62"/>
      <c r="H108" s="81" t="s">
        <v>3561</v>
      </c>
      <c r="I108" s="29"/>
      <c r="J108" s="899"/>
      <c r="K108" s="1077">
        <f>DE49</f>
        <v>0</v>
      </c>
      <c r="L108" s="1078">
        <f>DF49</f>
        <v>0</v>
      </c>
      <c r="M108" s="1078">
        <f>DG49</f>
        <v>0</v>
      </c>
      <c r="N108" s="1078">
        <f>DH49</f>
        <v>0</v>
      </c>
      <c r="O108" s="1079">
        <f>DI49</f>
        <v>0</v>
      </c>
      <c r="P108" s="732">
        <f t="shared" si="360"/>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2">
        <v>108</v>
      </c>
    </row>
    <row r="109" spans="1:381" ht="13.5" customHeight="1">
      <c r="A109" s="1063"/>
      <c r="B109" s="1063"/>
      <c r="C109" s="333"/>
      <c r="D109" s="333"/>
      <c r="E109" s="333"/>
      <c r="F109" s="1"/>
      <c r="G109" s="62"/>
      <c r="H109" s="81" t="s">
        <v>3562</v>
      </c>
      <c r="I109" s="29"/>
      <c r="J109" s="62"/>
      <c r="K109" s="1077">
        <f>CZ49</f>
        <v>0</v>
      </c>
      <c r="L109" s="1078">
        <f>DA49</f>
        <v>0</v>
      </c>
      <c r="M109" s="1078">
        <f>DB49</f>
        <v>0</v>
      </c>
      <c r="N109" s="1078">
        <f>DC49</f>
        <v>0</v>
      </c>
      <c r="O109" s="1079">
        <f>DD49</f>
        <v>0</v>
      </c>
      <c r="P109" s="732">
        <f t="shared" si="360"/>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1">
        <v>109</v>
      </c>
    </row>
    <row r="110" spans="1:381" ht="13.5" customHeight="1">
      <c r="A110" s="1063"/>
      <c r="B110" s="1063"/>
      <c r="C110" s="333"/>
      <c r="D110" s="333"/>
      <c r="E110" s="333"/>
      <c r="F110" s="1"/>
      <c r="G110" s="62"/>
      <c r="H110" s="81" t="s">
        <v>3563</v>
      </c>
      <c r="I110" s="29"/>
      <c r="J110" s="62"/>
      <c r="K110" s="1080">
        <f>CU49</f>
        <v>0</v>
      </c>
      <c r="L110" s="1081">
        <f>CV49</f>
        <v>0</v>
      </c>
      <c r="M110" s="1081">
        <f>CW49</f>
        <v>0</v>
      </c>
      <c r="N110" s="1081">
        <f>CX49</f>
        <v>0</v>
      </c>
      <c r="O110" s="1082">
        <f>CY49</f>
        <v>0</v>
      </c>
      <c r="P110" s="733">
        <f t="shared" si="360"/>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79">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1">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1">
        <v>112</v>
      </c>
    </row>
    <row r="113" spans="1:381" ht="13" customHeight="1">
      <c r="A113" s="1063"/>
      <c r="B113" s="1063"/>
      <c r="C113" s="3505" t="s">
        <v>35</v>
      </c>
      <c r="D113" s="3505"/>
      <c r="E113" s="81" t="s">
        <v>4831</v>
      </c>
      <c r="F113" s="1"/>
      <c r="G113" s="62"/>
      <c r="H113" s="81" t="s">
        <v>1341</v>
      </c>
      <c r="I113" s="29"/>
      <c r="J113" s="62"/>
      <c r="K113" s="1065">
        <f>GG49</f>
        <v>0</v>
      </c>
      <c r="L113" s="1066">
        <f>GH49</f>
        <v>0</v>
      </c>
      <c r="M113" s="1066">
        <f>GI49</f>
        <v>0</v>
      </c>
      <c r="N113" s="1066">
        <f>GJ49</f>
        <v>0</v>
      </c>
      <c r="O113" s="1067">
        <f>GK49</f>
        <v>0</v>
      </c>
      <c r="P113" s="736">
        <f t="shared" ref="P113:P123" si="361">SUM(K113:O113)</f>
        <v>0</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79">
        <v>113</v>
      </c>
    </row>
    <row r="114" spans="1:381" ht="13" customHeight="1">
      <c r="A114" s="1063"/>
      <c r="B114" s="1063"/>
      <c r="C114" s="3505"/>
      <c r="D114" s="3505"/>
      <c r="E114" s="81"/>
      <c r="F114" s="1"/>
      <c r="G114" s="62"/>
      <c r="H114" s="81" t="s">
        <v>290</v>
      </c>
      <c r="I114" s="29"/>
      <c r="J114" s="62"/>
      <c r="K114" s="1071">
        <f>GL49</f>
        <v>0</v>
      </c>
      <c r="L114" s="1072">
        <f>GM49</f>
        <v>0</v>
      </c>
      <c r="M114" s="1072">
        <f>GN49</f>
        <v>0</v>
      </c>
      <c r="N114" s="1072">
        <f>GO49</f>
        <v>0</v>
      </c>
      <c r="O114" s="1073">
        <f>GP49</f>
        <v>0</v>
      </c>
      <c r="P114" s="733">
        <f t="shared" si="361"/>
        <v>0</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1">
        <v>114</v>
      </c>
    </row>
    <row r="115" spans="1:381" ht="14.25" customHeight="1">
      <c r="A115" s="1063"/>
      <c r="B115" s="1063"/>
      <c r="C115" s="3505"/>
      <c r="D115" s="3505"/>
      <c r="E115" s="81"/>
      <c r="F115" s="1"/>
      <c r="G115" s="62"/>
      <c r="H115" s="141" t="s">
        <v>29</v>
      </c>
      <c r="I115" s="646" t="s">
        <v>4838</v>
      </c>
      <c r="J115" s="2096">
        <f>IF($P$67=0,0,P115/$P$67)</f>
        <v>0</v>
      </c>
      <c r="K115" s="1034">
        <f>SUM(K113:K114)+GQ49</f>
        <v>0</v>
      </c>
      <c r="L115" s="1034">
        <f>SUM(L113:L114)+GR49</f>
        <v>0</v>
      </c>
      <c r="M115" s="1034">
        <f>SUM(M113:M114)+GS49</f>
        <v>0</v>
      </c>
      <c r="N115" s="1034">
        <f>SUM(N113:N114)+GT49</f>
        <v>0</v>
      </c>
      <c r="O115" s="1034">
        <f>SUM(O113:O114)+GU49</f>
        <v>0</v>
      </c>
      <c r="P115" s="1034">
        <f t="shared" si="361"/>
        <v>0</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1">
        <v>115</v>
      </c>
    </row>
    <row r="116" spans="1:381" ht="13" customHeight="1">
      <c r="A116" s="1063"/>
      <c r="B116" s="1063"/>
      <c r="C116" s="3505"/>
      <c r="D116" s="3505"/>
      <c r="E116" s="81" t="s">
        <v>1978</v>
      </c>
      <c r="F116" s="1"/>
      <c r="G116" s="62"/>
      <c r="H116" s="81" t="s">
        <v>1341</v>
      </c>
      <c r="I116" s="29"/>
      <c r="J116" s="62"/>
      <c r="K116" s="1065">
        <f>GV49</f>
        <v>0</v>
      </c>
      <c r="L116" s="1066">
        <f>GW49</f>
        <v>0</v>
      </c>
      <c r="M116" s="1066">
        <f>GX49</f>
        <v>0</v>
      </c>
      <c r="N116" s="1066">
        <f>GY49</f>
        <v>0</v>
      </c>
      <c r="O116" s="1067">
        <f>GZ49</f>
        <v>0</v>
      </c>
      <c r="P116" s="736">
        <f t="shared" si="361"/>
        <v>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1">
        <v>116</v>
      </c>
    </row>
    <row r="117" spans="1:381" ht="13"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1"/>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1">
        <v>117</v>
      </c>
    </row>
    <row r="118" spans="1:381" ht="14.25" customHeight="1">
      <c r="A118" s="1063"/>
      <c r="B118" s="1063"/>
      <c r="C118" s="3505"/>
      <c r="D118" s="3505"/>
      <c r="E118" s="81"/>
      <c r="F118" s="1"/>
      <c r="G118" s="62"/>
      <c r="H118" s="141" t="s">
        <v>29</v>
      </c>
      <c r="I118" s="646" t="s">
        <v>4838</v>
      </c>
      <c r="J118" s="2096">
        <f>IF($P$67=0,0,P118/$P$67)</f>
        <v>0</v>
      </c>
      <c r="K118" s="1034">
        <f>SUM(K116:K117)+HF49</f>
        <v>0</v>
      </c>
      <c r="L118" s="1034">
        <f>SUM(L116:L117)+HG49</f>
        <v>0</v>
      </c>
      <c r="M118" s="1034">
        <f>SUM(M116:M117)+HH49</f>
        <v>0</v>
      </c>
      <c r="N118" s="1034">
        <f>SUM(N116:N117)+HI49</f>
        <v>0</v>
      </c>
      <c r="O118" s="1034">
        <f>SUM(O116:O117)+HJ49</f>
        <v>0</v>
      </c>
      <c r="P118" s="1034">
        <f t="shared" si="361"/>
        <v>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1">
        <v>118</v>
      </c>
    </row>
    <row r="119" spans="1:381" ht="13"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1"/>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2">
        <v>119</v>
      </c>
    </row>
    <row r="120" spans="1:381" ht="13"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1"/>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1">
        <v>120</v>
      </c>
    </row>
    <row r="121" spans="1:381" ht="14.25" customHeight="1">
      <c r="A121" s="1063"/>
      <c r="B121" s="1063"/>
      <c r="C121" s="685"/>
      <c r="D121" s="1"/>
      <c r="E121" s="81"/>
      <c r="F121" s="1"/>
      <c r="G121" s="62"/>
      <c r="H121" s="141" t="s">
        <v>29</v>
      </c>
      <c r="I121" s="646" t="s">
        <v>4838</v>
      </c>
      <c r="J121" s="2096">
        <f>IF($P$67=0,0,P121/$P$67)</f>
        <v>0</v>
      </c>
      <c r="K121" s="1034">
        <f>SUM(K119:K120)+HU49</f>
        <v>0</v>
      </c>
      <c r="L121" s="1034">
        <f>SUM(L119:L120)+HV49</f>
        <v>0</v>
      </c>
      <c r="M121" s="1034">
        <f>SUM(M119:M120)+HW49</f>
        <v>0</v>
      </c>
      <c r="N121" s="1034">
        <f>SUM(N119:N120)+HX49</f>
        <v>0</v>
      </c>
      <c r="O121" s="1034">
        <f>SUM(O119:O120)+HY49</f>
        <v>0</v>
      </c>
      <c r="P121" s="1034">
        <f t="shared" si="361"/>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79">
        <v>121</v>
      </c>
    </row>
    <row r="122" spans="1:381" ht="14.25" customHeight="1">
      <c r="A122" s="1063"/>
      <c r="B122" s="1063"/>
      <c r="C122" s="685"/>
      <c r="D122" s="1"/>
      <c r="E122" s="81" t="s">
        <v>4832</v>
      </c>
      <c r="F122" s="1"/>
      <c r="G122" s="147"/>
      <c r="H122" s="87"/>
      <c r="I122" s="62"/>
      <c r="J122" s="62"/>
      <c r="K122" s="466"/>
      <c r="L122" s="466"/>
      <c r="M122" s="466"/>
      <c r="N122" s="466"/>
      <c r="O122" s="466"/>
      <c r="P122" s="462">
        <f t="shared" si="361"/>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1">
        <v>122</v>
      </c>
    </row>
    <row r="123" spans="1:381" ht="14.25" customHeight="1">
      <c r="A123" s="3511" t="str">
        <f>IF(AND('Part III-A-Uses of Funds'!$T$179="Yes",'Part VIII Scoring Criteria'!$O$339&gt;0,P123&lt;1),"SHOW HISTORIC UNITS HERE &gt;&gt;&gt;&gt;","")</f>
        <v/>
      </c>
      <c r="B123" s="3511"/>
      <c r="C123" s="3511"/>
      <c r="D123" s="3511"/>
      <c r="E123" s="382" t="s">
        <v>2938</v>
      </c>
      <c r="F123" s="1"/>
      <c r="G123" s="147"/>
      <c r="H123" s="87"/>
      <c r="I123" s="62"/>
      <c r="J123" s="62"/>
      <c r="K123" s="467"/>
      <c r="L123" s="467"/>
      <c r="M123" s="467"/>
      <c r="N123" s="467"/>
      <c r="O123" s="467"/>
      <c r="P123" s="463">
        <f t="shared" si="361"/>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1">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79">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1">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1">
        <v>126</v>
      </c>
    </row>
    <row r="127" spans="1:381" ht="13.5" customHeight="1">
      <c r="C127" s="3505" t="s">
        <v>4830</v>
      </c>
      <c r="D127" s="3505"/>
      <c r="E127" s="81" t="s">
        <v>4770</v>
      </c>
      <c r="F127" s="1"/>
      <c r="G127" s="147"/>
      <c r="H127" s="87"/>
      <c r="I127" s="62"/>
      <c r="J127" s="62"/>
      <c r="K127" s="2459"/>
      <c r="L127" s="72" t="s">
        <v>4833</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1">
        <v>127</v>
      </c>
    </row>
    <row r="128" spans="1:381" ht="13.5" customHeight="1">
      <c r="C128" s="3505"/>
      <c r="D128" s="3505"/>
      <c r="E128" s="81"/>
      <c r="K128" s="2460"/>
      <c r="L128" s="3505" t="s">
        <v>4834</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1">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1">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2">
        <v>130</v>
      </c>
    </row>
    <row r="131" spans="3:493" ht="14.25" customHeight="1">
      <c r="C131" s="3504" t="s">
        <v>4393</v>
      </c>
      <c r="D131" s="3504"/>
      <c r="E131" s="895" t="s">
        <v>36</v>
      </c>
      <c r="F131" s="754"/>
      <c r="G131" s="896"/>
      <c r="H131" s="1378"/>
      <c r="I131" s="897"/>
      <c r="J131" s="898"/>
      <c r="K131" s="1086">
        <f t="shared" ref="K131:P131" si="362">SUM(K132:K139)</f>
        <v>0</v>
      </c>
      <c r="L131" s="1087">
        <f t="shared" si="362"/>
        <v>0</v>
      </c>
      <c r="M131" s="1087">
        <f t="shared" si="362"/>
        <v>0</v>
      </c>
      <c r="N131" s="1087">
        <f t="shared" si="362"/>
        <v>0</v>
      </c>
      <c r="O131" s="1088">
        <f t="shared" si="362"/>
        <v>0</v>
      </c>
      <c r="P131" s="1037">
        <f t="shared" si="362"/>
        <v>0</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1">
        <v>131</v>
      </c>
    </row>
    <row r="132" spans="3:493" ht="14.25" customHeight="1">
      <c r="C132" s="3505"/>
      <c r="D132" s="3505"/>
      <c r="E132" s="81"/>
      <c r="F132" s="1"/>
      <c r="G132" s="62"/>
      <c r="H132" s="1342" t="s">
        <v>4193</v>
      </c>
      <c r="I132" s="33"/>
      <c r="J132" s="899"/>
      <c r="K132" s="1068">
        <f>JS49</f>
        <v>0</v>
      </c>
      <c r="L132" s="1069">
        <f>JT49</f>
        <v>0</v>
      </c>
      <c r="M132" s="1069">
        <f>JU49</f>
        <v>0</v>
      </c>
      <c r="N132" s="1069">
        <f>JV49</f>
        <v>0</v>
      </c>
      <c r="O132" s="1070">
        <f>JW49</f>
        <v>0</v>
      </c>
      <c r="P132" s="732">
        <f t="shared" ref="P132:P147" si="363">SUM(K132:O132)</f>
        <v>0</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79">
        <v>132</v>
      </c>
    </row>
    <row r="133" spans="3:493" ht="14.25" customHeight="1">
      <c r="C133" s="3505"/>
      <c r="D133" s="3505"/>
      <c r="E133" s="81"/>
      <c r="F133" s="1"/>
      <c r="G133" s="62"/>
      <c r="H133" s="1379" t="s">
        <v>2926</v>
      </c>
      <c r="I133" s="73"/>
      <c r="J133" s="899"/>
      <c r="K133" s="1603">
        <f>KC49</f>
        <v>0</v>
      </c>
      <c r="L133" s="1604">
        <f>KD49</f>
        <v>0</v>
      </c>
      <c r="M133" s="1604">
        <f>KE49</f>
        <v>0</v>
      </c>
      <c r="N133" s="1604">
        <f>KF49</f>
        <v>0</v>
      </c>
      <c r="O133" s="1605">
        <f>KG49</f>
        <v>0</v>
      </c>
      <c r="P133" s="1615">
        <f t="shared" si="363"/>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1">
        <v>133</v>
      </c>
    </row>
    <row r="134" spans="3:493" ht="14.25" customHeight="1">
      <c r="C134" s="3505"/>
      <c r="D134" s="3505"/>
      <c r="E134" s="81"/>
      <c r="F134" s="1"/>
      <c r="G134" s="62"/>
      <c r="H134" s="1342" t="s">
        <v>4380</v>
      </c>
      <c r="I134" s="33"/>
      <c r="J134" s="899"/>
      <c r="K134" s="1068">
        <f>JX49</f>
        <v>0</v>
      </c>
      <c r="L134" s="1069">
        <f>JY49</f>
        <v>0</v>
      </c>
      <c r="M134" s="1069">
        <f>JZ49</f>
        <v>0</v>
      </c>
      <c r="N134" s="1069">
        <f>KA49</f>
        <v>0</v>
      </c>
      <c r="O134" s="1070">
        <f>KB49</f>
        <v>0</v>
      </c>
      <c r="P134" s="732">
        <f t="shared" si="363"/>
        <v>0</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1">
        <v>134</v>
      </c>
    </row>
    <row r="135" spans="3:493" ht="14.25" customHeight="1">
      <c r="C135" s="3505"/>
      <c r="D135" s="3505"/>
      <c r="E135" s="81"/>
      <c r="F135" s="1"/>
      <c r="G135" s="62"/>
      <c r="H135" s="1379" t="s">
        <v>2926</v>
      </c>
      <c r="I135" s="73"/>
      <c r="J135" s="899"/>
      <c r="K135" s="1603">
        <f>KH49</f>
        <v>0</v>
      </c>
      <c r="L135" s="1604">
        <f>KI49</f>
        <v>0</v>
      </c>
      <c r="M135" s="1604">
        <f>KJ49</f>
        <v>0</v>
      </c>
      <c r="N135" s="1604">
        <f>KK49</f>
        <v>0</v>
      </c>
      <c r="O135" s="1605">
        <f>KL49</f>
        <v>0</v>
      </c>
      <c r="P135" s="1615">
        <f t="shared" si="363"/>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79">
        <v>135</v>
      </c>
    </row>
    <row r="136" spans="3:493" ht="14.25" customHeight="1">
      <c r="C136" s="3505"/>
      <c r="D136" s="3505"/>
      <c r="E136" s="81"/>
      <c r="F136" s="1"/>
      <c r="G136" s="62"/>
      <c r="H136" s="1342" t="s">
        <v>4195</v>
      </c>
      <c r="I136" s="33"/>
      <c r="J136" s="62"/>
      <c r="K136" s="1092">
        <f>KM49</f>
        <v>0</v>
      </c>
      <c r="L136" s="1093">
        <f>KN49</f>
        <v>0</v>
      </c>
      <c r="M136" s="1093">
        <f>KO49</f>
        <v>0</v>
      </c>
      <c r="N136" s="1093">
        <f>KP49</f>
        <v>0</v>
      </c>
      <c r="O136" s="1094">
        <f>KQ49</f>
        <v>0</v>
      </c>
      <c r="P136" s="468">
        <f t="shared" si="363"/>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1">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2926</v>
      </c>
      <c r="I137" s="73"/>
      <c r="J137" s="62"/>
      <c r="K137" s="1611">
        <f>KW49</f>
        <v>0</v>
      </c>
      <c r="L137" s="1612">
        <f>KX49</f>
        <v>0</v>
      </c>
      <c r="M137" s="1612">
        <f>KY49</f>
        <v>0</v>
      </c>
      <c r="N137" s="1612">
        <f>KZ49</f>
        <v>0</v>
      </c>
      <c r="O137" s="1613">
        <f>LA49</f>
        <v>0</v>
      </c>
      <c r="P137" s="1614">
        <f t="shared" si="363"/>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1">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4387</v>
      </c>
      <c r="I138" s="33"/>
      <c r="J138" s="62"/>
      <c r="K138" s="1092">
        <f>KR49</f>
        <v>0</v>
      </c>
      <c r="L138" s="1093">
        <f>KS49</f>
        <v>0</v>
      </c>
      <c r="M138" s="1093">
        <f>KT49</f>
        <v>0</v>
      </c>
      <c r="N138" s="1093">
        <f>KU49</f>
        <v>0</v>
      </c>
      <c r="O138" s="1094">
        <f>KV49</f>
        <v>0</v>
      </c>
      <c r="P138" s="468">
        <f t="shared" si="363"/>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1">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2926</v>
      </c>
      <c r="I139" s="73"/>
      <c r="J139" s="62"/>
      <c r="K139" s="1611">
        <f>LB49</f>
        <v>0</v>
      </c>
      <c r="L139" s="1612">
        <f>LC49</f>
        <v>0</v>
      </c>
      <c r="M139" s="1612">
        <f>LD49</f>
        <v>0</v>
      </c>
      <c r="N139" s="1612">
        <f>LE49</f>
        <v>0</v>
      </c>
      <c r="O139" s="1613">
        <f>LF49</f>
        <v>0</v>
      </c>
      <c r="P139" s="1614">
        <f t="shared" si="363"/>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1">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4"/>
      <c r="D140" s="2454"/>
      <c r="E140" s="81" t="s">
        <v>4382</v>
      </c>
      <c r="F140" s="1"/>
      <c r="G140" s="62"/>
      <c r="H140" s="1342"/>
      <c r="I140" s="33"/>
      <c r="J140" s="62"/>
      <c r="K140" s="1065">
        <f>IE49</f>
        <v>0</v>
      </c>
      <c r="L140" s="1066">
        <f>IF49</f>
        <v>0</v>
      </c>
      <c r="M140" s="1066">
        <f>IG49</f>
        <v>0</v>
      </c>
      <c r="N140" s="1066">
        <f>IH49</f>
        <v>0</v>
      </c>
      <c r="O140" s="1067">
        <f>II49</f>
        <v>0</v>
      </c>
      <c r="P140" s="1599">
        <f t="shared" si="363"/>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1">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4"/>
      <c r="D141" s="2454"/>
      <c r="E141" s="81"/>
      <c r="F141" s="1"/>
      <c r="G141" s="62"/>
      <c r="H141" s="1379" t="s">
        <v>2926</v>
      </c>
      <c r="I141" s="73"/>
      <c r="J141" s="62"/>
      <c r="K141" s="1603">
        <f>IJ49</f>
        <v>0</v>
      </c>
      <c r="L141" s="1604">
        <f>IK49</f>
        <v>0</v>
      </c>
      <c r="M141" s="1604">
        <f>IL49</f>
        <v>0</v>
      </c>
      <c r="N141" s="1604">
        <f>IM49</f>
        <v>0</v>
      </c>
      <c r="O141" s="1605">
        <f>IN49</f>
        <v>0</v>
      </c>
      <c r="P141" s="1606">
        <f t="shared" si="363"/>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2">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4"/>
      <c r="D142" s="2454"/>
      <c r="E142" s="81" t="s">
        <v>4383</v>
      </c>
      <c r="F142" s="1"/>
      <c r="G142" s="62"/>
      <c r="H142" s="1342"/>
      <c r="I142" s="33"/>
      <c r="J142" s="62"/>
      <c r="K142" s="1092">
        <f>JI49</f>
        <v>0</v>
      </c>
      <c r="L142" s="1093">
        <f>JJ49</f>
        <v>0</v>
      </c>
      <c r="M142" s="1093">
        <f>JK49</f>
        <v>0</v>
      </c>
      <c r="N142" s="1093">
        <f>JL49</f>
        <v>0</v>
      </c>
      <c r="O142" s="1094">
        <f>JM49</f>
        <v>0</v>
      </c>
      <c r="P142" s="1600">
        <f t="shared" si="363"/>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1">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4"/>
      <c r="D143" s="2454"/>
      <c r="E143" s="81"/>
      <c r="F143" s="1"/>
      <c r="G143" s="62"/>
      <c r="H143" s="1379" t="s">
        <v>2926</v>
      </c>
      <c r="I143" s="73"/>
      <c r="J143" s="62"/>
      <c r="K143" s="1603">
        <f>JN49</f>
        <v>0</v>
      </c>
      <c r="L143" s="1604">
        <f>JO49</f>
        <v>0</v>
      </c>
      <c r="M143" s="1604">
        <f>JP49</f>
        <v>0</v>
      </c>
      <c r="N143" s="1604">
        <f>JQ49</f>
        <v>0</v>
      </c>
      <c r="O143" s="1605">
        <f>JR49</f>
        <v>0</v>
      </c>
      <c r="P143" s="1606">
        <f t="shared" si="363"/>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79">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4"/>
      <c r="D144" s="2454"/>
      <c r="E144" s="81" t="s">
        <v>4189</v>
      </c>
      <c r="F144" s="1"/>
      <c r="G144" s="62"/>
      <c r="H144" s="1342"/>
      <c r="I144" s="33"/>
      <c r="J144" s="62"/>
      <c r="K144" s="1092">
        <f>IY49</f>
        <v>0</v>
      </c>
      <c r="L144" s="1093">
        <f>IZ49</f>
        <v>0</v>
      </c>
      <c r="M144" s="1093">
        <f>JA49</f>
        <v>0</v>
      </c>
      <c r="N144" s="1093">
        <f>JB49</f>
        <v>0</v>
      </c>
      <c r="O144" s="1094">
        <f>JC49</f>
        <v>0</v>
      </c>
      <c r="P144" s="1600">
        <f t="shared" si="363"/>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1">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4"/>
      <c r="D145" s="2454"/>
      <c r="E145" s="81"/>
      <c r="F145" s="1"/>
      <c r="G145" s="62"/>
      <c r="H145" s="1379" t="s">
        <v>2926</v>
      </c>
      <c r="I145" s="73"/>
      <c r="J145" s="62"/>
      <c r="K145" s="1611">
        <f>JD49</f>
        <v>0</v>
      </c>
      <c r="L145" s="1612">
        <f>JE49</f>
        <v>0</v>
      </c>
      <c r="M145" s="1612">
        <f>JF49</f>
        <v>0</v>
      </c>
      <c r="N145" s="1612">
        <f>JG49</f>
        <v>0</v>
      </c>
      <c r="O145" s="1613">
        <f>JH49</f>
        <v>0</v>
      </c>
      <c r="P145" s="1606">
        <f t="shared" si="363"/>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1">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4"/>
      <c r="D146" s="2454"/>
      <c r="E146" s="68" t="s">
        <v>524</v>
      </c>
      <c r="F146" s="1"/>
      <c r="G146" s="62"/>
      <c r="H146" s="1342"/>
      <c r="I146" s="33"/>
      <c r="J146" s="62"/>
      <c r="K146" s="1092">
        <f>IO49</f>
        <v>0</v>
      </c>
      <c r="L146" s="1093">
        <f>IP49</f>
        <v>0</v>
      </c>
      <c r="M146" s="1093">
        <f>IQ49</f>
        <v>0</v>
      </c>
      <c r="N146" s="1093">
        <f>IR49</f>
        <v>0</v>
      </c>
      <c r="O146" s="1094">
        <f>IS49</f>
        <v>0</v>
      </c>
      <c r="P146" s="1600">
        <f t="shared" si="363"/>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79">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1">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1">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3754</v>
      </c>
      <c r="H149" s="68"/>
      <c r="L149" s="3500" t="str">
        <f>$O$53</f>
        <v>&lt;&lt; Select LIHTC Election &gt;&gt;</v>
      </c>
      <c r="M149" s="3501"/>
      <c r="N149" s="3501"/>
      <c r="O149" s="3502"/>
      <c r="P149" s="62"/>
      <c r="S149" s="3503" t="str">
        <f>B149</f>
        <v>UNIT SUMMARY (Continued)</v>
      </c>
      <c r="T149" s="3503"/>
      <c r="U149" s="3503"/>
      <c r="V149" s="3503"/>
      <c r="AY149" s="358"/>
      <c r="BD149" s="358"/>
      <c r="LO149" s="360"/>
      <c r="MD149" s="356"/>
      <c r="ME149" s="356"/>
      <c r="NQ149" s="2481">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1">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4394</v>
      </c>
      <c r="D151" s="3504"/>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1">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2">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1">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79">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2923</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1">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1">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2924</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79">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06" t="s">
        <v>3770</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1">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1">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4396</v>
      </c>
      <c r="C160" s="1"/>
      <c r="D160" s="1"/>
      <c r="E160" s="1"/>
      <c r="F160" s="1"/>
      <c r="G160" s="62"/>
      <c r="H160" s="33"/>
      <c r="I160" s="33"/>
      <c r="J160" s="62"/>
      <c r="K160" s="471"/>
      <c r="L160" s="471"/>
      <c r="M160" s="471"/>
      <c r="N160" s="471"/>
      <c r="O160" s="471"/>
      <c r="P160" s="471"/>
      <c r="Q160" s="3506"/>
      <c r="S160" s="3174" t="str">
        <f>B160</f>
        <v>UNIT SQUARE FOOTAGE</v>
      </c>
      <c r="T160" s="3174"/>
      <c r="U160" s="3174"/>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1">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3559</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1">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3560</v>
      </c>
      <c r="I162" s="33"/>
      <c r="J162" s="62"/>
      <c r="K162" s="1104">
        <f>EN49</f>
        <v>0</v>
      </c>
      <c r="L162" s="1105">
        <f>EO49</f>
        <v>0</v>
      </c>
      <c r="M162" s="1105">
        <f>EP49</f>
        <v>0</v>
      </c>
      <c r="N162" s="1105">
        <f>EQ49</f>
        <v>0</v>
      </c>
      <c r="O162" s="1106">
        <f>ER49</f>
        <v>0</v>
      </c>
      <c r="P162" s="1029">
        <f t="shared" si="368"/>
        <v>0</v>
      </c>
      <c r="Q162" s="1228" t="str">
        <f t="shared" si="369"/>
        <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1">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0</v>
      </c>
      <c r="M163" s="1105">
        <f>EU49</f>
        <v>0</v>
      </c>
      <c r="N163" s="1105">
        <f>EV49</f>
        <v>0</v>
      </c>
      <c r="O163" s="1106">
        <f>EW49</f>
        <v>0</v>
      </c>
      <c r="P163" s="1029">
        <f t="shared" si="368"/>
        <v>0</v>
      </c>
      <c r="Q163" s="1228" t="str">
        <f t="shared" si="369"/>
        <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2">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0</v>
      </c>
      <c r="N164" s="1165">
        <f>FA49</f>
        <v>0</v>
      </c>
      <c r="O164" s="1166">
        <f>FB49</f>
        <v>0</v>
      </c>
      <c r="P164" s="1167">
        <f t="shared" si="368"/>
        <v>0</v>
      </c>
      <c r="Q164" s="1228" t="str">
        <f t="shared" si="369"/>
        <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1">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3561</v>
      </c>
      <c r="I165" s="33"/>
      <c r="J165" s="899"/>
      <c r="K165" s="1104">
        <f>FC49</f>
        <v>0</v>
      </c>
      <c r="L165" s="1105">
        <f>FD49</f>
        <v>0</v>
      </c>
      <c r="M165" s="1105">
        <f>FE49</f>
        <v>0</v>
      </c>
      <c r="N165" s="1105">
        <f>FF49</f>
        <v>0</v>
      </c>
      <c r="O165" s="1106">
        <f>FG49</f>
        <v>0</v>
      </c>
      <c r="P165" s="1029">
        <f t="shared" si="368"/>
        <v>0</v>
      </c>
      <c r="Q165" s="1228" t="str">
        <f t="shared" si="369"/>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79">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3562</v>
      </c>
      <c r="I166" s="33"/>
      <c r="J166" s="62"/>
      <c r="K166" s="1104">
        <f>FH49</f>
        <v>0</v>
      </c>
      <c r="L166" s="1105">
        <f>FI49</f>
        <v>0</v>
      </c>
      <c r="M166" s="1105">
        <f>FJ49</f>
        <v>0</v>
      </c>
      <c r="N166" s="1105">
        <f>FK49</f>
        <v>0</v>
      </c>
      <c r="O166" s="1106">
        <f>FL49</f>
        <v>0</v>
      </c>
      <c r="P166" s="1029">
        <f t="shared" si="368"/>
        <v>0</v>
      </c>
      <c r="Q166" s="1228" t="str">
        <f t="shared" si="369"/>
        <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1">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3563</v>
      </c>
      <c r="I167" s="44"/>
      <c r="J167" s="62"/>
      <c r="K167" s="1080">
        <f>FM49</f>
        <v>0</v>
      </c>
      <c r="L167" s="1081">
        <f>FN49</f>
        <v>0</v>
      </c>
      <c r="M167" s="1081">
        <f>FO49</f>
        <v>0</v>
      </c>
      <c r="N167" s="1081">
        <f>FP49</f>
        <v>0</v>
      </c>
      <c r="O167" s="1082">
        <f>FQ49</f>
        <v>0</v>
      </c>
      <c r="P167" s="1030">
        <f t="shared" si="368"/>
        <v>0</v>
      </c>
      <c r="Q167" s="1228" t="str">
        <f t="shared" si="369"/>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1">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3644</v>
      </c>
      <c r="I168" s="73"/>
      <c r="J168" s="1039"/>
      <c r="K168" s="1602">
        <f>SUM(K161:K167)</f>
        <v>0</v>
      </c>
      <c r="L168" s="1602">
        <f>SUM(L161:L167)</f>
        <v>0</v>
      </c>
      <c r="M168" s="1602">
        <f>SUM(M161:M167)</f>
        <v>0</v>
      </c>
      <c r="N168" s="1602">
        <f>SUM(N161:N167)</f>
        <v>0</v>
      </c>
      <c r="O168" s="1602">
        <f>SUM(O161:O167)</f>
        <v>0</v>
      </c>
      <c r="P168" s="1602">
        <f>SUM(K168:O168)</f>
        <v>0</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79">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1">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0</v>
      </c>
      <c r="M170" s="1601">
        <f>SUM(M168:M169)</f>
        <v>0</v>
      </c>
      <c r="N170" s="1601">
        <f>SUM(N168:N169)</f>
        <v>0</v>
      </c>
      <c r="O170" s="1601">
        <f>SUM(O168:O169)</f>
        <v>0</v>
      </c>
      <c r="P170" s="1601">
        <f>SUM(K170:O170)</f>
        <v>0</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1">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1">
        <v>171</v>
      </c>
    </row>
    <row r="172" spans="1:493" ht="14.25" customHeight="1">
      <c r="C172" s="4" t="s">
        <v>503</v>
      </c>
      <c r="D172" s="1"/>
      <c r="E172" s="1"/>
      <c r="F172" s="1"/>
      <c r="G172" s="1"/>
      <c r="H172" s="62"/>
      <c r="I172" s="62"/>
      <c r="J172" s="62"/>
      <c r="K172" s="1035">
        <f>SUM(K170:K171)</f>
        <v>0</v>
      </c>
      <c r="L172" s="1035">
        <f>SUM(L170:L171)</f>
        <v>0</v>
      </c>
      <c r="M172" s="1035">
        <f>SUM(M170:M171)</f>
        <v>0</v>
      </c>
      <c r="N172" s="1035">
        <f>SUM(N170:N171)</f>
        <v>0</v>
      </c>
      <c r="O172" s="1035">
        <f>SUM(O170:O171)</f>
        <v>0</v>
      </c>
      <c r="P172" s="1035">
        <f>SUM(K172:O172)</f>
        <v>0</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1">
        <v>172</v>
      </c>
    </row>
    <row r="173" spans="1:493" ht="14.15" customHeight="1">
      <c r="NQ173" s="2481">
        <v>173</v>
      </c>
    </row>
    <row r="174" spans="1:493" s="69" customFormat="1" ht="14.15"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2">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3767</v>
      </c>
      <c r="D175" s="1"/>
      <c r="E175" s="1"/>
      <c r="F175" s="1"/>
      <c r="G175" s="1"/>
      <c r="H175" s="1"/>
      <c r="I175" s="1"/>
      <c r="J175" s="1"/>
      <c r="K175" s="1227" t="str">
        <f>IF(OR(K67="",K67=0),"",K172/K67)</f>
        <v/>
      </c>
      <c r="L175" s="1227" t="str">
        <f>IF(OR(L67="",L67=0),"",L172/L67)</f>
        <v/>
      </c>
      <c r="M175" s="1227" t="str">
        <f>IF(OR(M67="",M67=0),"",M172/M67)</f>
        <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1">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5"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79">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5" customHeight="1">
      <c r="A177" s="10" t="s">
        <v>690</v>
      </c>
      <c r="B177" s="10" t="s">
        <v>4546</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1">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4542</v>
      </c>
      <c r="K178" s="3550"/>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1">
        <v>178</v>
      </c>
    </row>
    <row r="179" spans="1:493" s="144" customFormat="1" ht="13.4" customHeight="1">
      <c r="A179" s="374"/>
      <c r="C179" s="253" t="s">
        <v>242</v>
      </c>
      <c r="K179" s="3552">
        <f>P172+K178</f>
        <v>0</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79">
        <v>179</v>
      </c>
    </row>
    <row r="180" spans="1:493" s="69" customFormat="1" ht="14.15"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1">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5" customHeight="1">
      <c r="A181" s="10" t="s">
        <v>1661</v>
      </c>
      <c r="B181" s="10" t="s">
        <v>217</v>
      </c>
      <c r="Q181" s="6"/>
      <c r="R181" s="6"/>
      <c r="S181" s="10" t="s">
        <v>1706</v>
      </c>
      <c r="U181" s="69"/>
      <c r="JW181" s="356"/>
      <c r="KB181" s="356"/>
      <c r="KG181" s="356"/>
      <c r="KL181" s="356"/>
      <c r="LH181" s="1658"/>
      <c r="LN181" s="356"/>
      <c r="LO181" s="360"/>
      <c r="MD181" s="356"/>
      <c r="MF181" s="360"/>
      <c r="NQ181" s="2481">
        <v>181</v>
      </c>
    </row>
    <row r="182" spans="1:493" ht="2.25" customHeight="1">
      <c r="Q182" s="69"/>
      <c r="R182" s="69"/>
      <c r="NQ182" s="2481">
        <v>182</v>
      </c>
    </row>
    <row r="183" spans="1:493" s="69" customFormat="1" ht="15.65" customHeight="1">
      <c r="A183" s="1"/>
      <c r="B183" s="141" t="s">
        <v>951</v>
      </c>
      <c r="C183" s="81"/>
      <c r="D183" s="81"/>
      <c r="E183" s="81"/>
      <c r="F183" s="81"/>
      <c r="G183" s="81"/>
      <c r="H183" s="3496">
        <f>'Part VI-Pro Forma'!B10*M50</f>
        <v>0</v>
      </c>
      <c r="I183" s="3496"/>
      <c r="J183" s="1342" t="s">
        <v>4652</v>
      </c>
      <c r="M183" s="81"/>
      <c r="N183" s="81"/>
      <c r="O183" s="81"/>
      <c r="P183" s="1383">
        <f>IF(M50=0,0,H183/M50)</f>
        <v>0</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1">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5" customHeight="1">
      <c r="B184" s="399"/>
      <c r="C184" s="68"/>
      <c r="D184" s="81"/>
      <c r="E184" s="68"/>
      <c r="F184" s="68"/>
      <c r="G184" s="68"/>
      <c r="H184" s="68"/>
      <c r="I184" s="68"/>
      <c r="J184" s="85"/>
      <c r="K184" s="68"/>
      <c r="L184" s="68"/>
      <c r="M184" s="68"/>
      <c r="N184" s="68"/>
      <c r="O184" s="68"/>
      <c r="P184" s="68"/>
      <c r="Q184" s="308"/>
      <c r="R184" s="308"/>
      <c r="NP184" s="1632"/>
      <c r="NQ184" s="2481">
        <v>184</v>
      </c>
    </row>
    <row r="185" spans="1:493" ht="15.65"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2">
        <v>185</v>
      </c>
    </row>
    <row r="186" spans="1:493" ht="15.65"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1">
        <v>186</v>
      </c>
    </row>
    <row r="187" spans="1:493" ht="15.65"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79">
        <v>187</v>
      </c>
    </row>
    <row r="188" spans="1:493" ht="15.65"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1">
        <v>188</v>
      </c>
    </row>
    <row r="189" spans="1:493" ht="15.65"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1">
        <v>189</v>
      </c>
    </row>
    <row r="190" spans="1:493" ht="15.65" customHeight="1">
      <c r="B190" s="697" t="s">
        <v>3103</v>
      </c>
      <c r="C190" s="68"/>
      <c r="D190" s="68"/>
      <c r="E190" s="68"/>
      <c r="F190" s="68"/>
      <c r="H190" s="698"/>
      <c r="I190" s="68"/>
      <c r="J190" s="68"/>
      <c r="K190" s="68"/>
      <c r="L190" s="68"/>
      <c r="M190" s="68"/>
      <c r="N190" s="68"/>
      <c r="O190" s="68"/>
      <c r="P190" s="68"/>
      <c r="Q190" s="68"/>
      <c r="R190" s="6"/>
      <c r="S190" s="72" t="str">
        <f>B190</f>
        <v>NOT Included in Mgt Fee:</v>
      </c>
      <c r="NQ190" s="2479">
        <v>190</v>
      </c>
    </row>
    <row r="191" spans="1:493" ht="15.65"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1">
        <v>191</v>
      </c>
    </row>
    <row r="192" spans="1:493" ht="15.65"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1">
        <v>192</v>
      </c>
    </row>
    <row r="193" spans="1:493" ht="15.65"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1">
        <v>193</v>
      </c>
    </row>
    <row r="194" spans="1:493" ht="15.65" customHeight="1">
      <c r="B194" s="399"/>
      <c r="C194" s="68"/>
      <c r="D194" s="68"/>
      <c r="E194" s="68"/>
      <c r="F194" s="68"/>
      <c r="H194" s="698"/>
      <c r="I194" s="68"/>
      <c r="J194" s="68"/>
      <c r="K194" s="68"/>
      <c r="L194" s="68"/>
      <c r="M194" s="68"/>
      <c r="N194" s="68"/>
      <c r="O194" s="68"/>
      <c r="P194" s="68"/>
      <c r="Q194" s="68"/>
      <c r="R194" s="6"/>
      <c r="NQ194" s="2481">
        <v>194</v>
      </c>
    </row>
    <row r="195" spans="1:493" ht="15.65"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1">
        <v>195</v>
      </c>
    </row>
    <row r="196" spans="1:493" ht="15.65"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2">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1">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79">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697" t="s">
        <v>3103</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1">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1">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79">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1">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1">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1">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1">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1">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2">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A208" s="62"/>
      <c r="B208" s="697" t="s">
        <v>3103</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1">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5"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79">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5"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1">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5"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1">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5" customHeight="1">
      <c r="B212" s="399"/>
      <c r="C212" s="68"/>
      <c r="D212" s="68"/>
      <c r="E212" s="68"/>
      <c r="F212" s="68"/>
      <c r="H212" s="698"/>
      <c r="I212" s="68"/>
      <c r="J212" s="68"/>
      <c r="K212" s="68"/>
      <c r="L212" s="68"/>
      <c r="M212" s="68"/>
      <c r="N212" s="68"/>
      <c r="O212" s="68"/>
      <c r="P212" s="68"/>
      <c r="Q212" s="68"/>
      <c r="R212" s="6"/>
      <c r="NQ212" s="2479">
        <v>212</v>
      </c>
    </row>
    <row r="213" spans="1:493" ht="15.65"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1">
        <v>213</v>
      </c>
    </row>
    <row r="214" spans="1:493" ht="15.65"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1">
        <v>214</v>
      </c>
    </row>
    <row r="215" spans="1:493" ht="15.65"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1">
        <v>215</v>
      </c>
    </row>
    <row r="216" spans="1:493" ht="15.65"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1">
        <v>216</v>
      </c>
    </row>
    <row r="217" spans="1:493" ht="15.65" customHeight="1">
      <c r="B217" s="697" t="s">
        <v>3103</v>
      </c>
      <c r="C217" s="68"/>
      <c r="D217" s="68"/>
      <c r="E217" s="68"/>
      <c r="F217" s="68"/>
      <c r="H217" s="698"/>
      <c r="I217" s="68"/>
      <c r="J217" s="68"/>
      <c r="K217" s="68"/>
      <c r="L217" s="68"/>
      <c r="M217" s="68"/>
      <c r="N217" s="68"/>
      <c r="O217" s="68"/>
      <c r="P217" s="68"/>
      <c r="Q217" s="68"/>
      <c r="R217" s="6"/>
      <c r="S217" s="72" t="str">
        <f>B217</f>
        <v>NOT Included in Mgt Fee:</v>
      </c>
      <c r="NQ217" s="2481">
        <v>217</v>
      </c>
    </row>
    <row r="218" spans="1:493" ht="15.65"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2">
        <v>218</v>
      </c>
    </row>
    <row r="219" spans="1:493" ht="15.65"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1">
        <v>219</v>
      </c>
    </row>
    <row r="220" spans="1:493" ht="15.65"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79">
        <v>220</v>
      </c>
    </row>
    <row r="221" spans="1:493" ht="2.25" customHeight="1">
      <c r="B221" s="10"/>
      <c r="F221" s="27"/>
      <c r="G221" s="27"/>
      <c r="Q221" s="6"/>
      <c r="R221" s="6"/>
      <c r="NQ221" s="2481">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1">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79">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0</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1">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c r="G225" s="3549"/>
      <c r="H225" s="1"/>
      <c r="I225" s="1" t="s">
        <v>1298</v>
      </c>
      <c r="K225" s="1"/>
      <c r="L225" s="3548"/>
      <c r="M225" s="3549"/>
      <c r="N225" s="1"/>
      <c r="O225" s="318" t="e">
        <f>+Q224/(P67*0.93)</f>
        <v>#DIV/0!</v>
      </c>
      <c r="P225" s="42" t="s">
        <v>2478</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1">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c r="G226" s="3484"/>
      <c r="H226" s="1"/>
      <c r="I226" s="1" t="s">
        <v>1299</v>
      </c>
      <c r="K226" s="1"/>
      <c r="L226" s="3494"/>
      <c r="M226" s="3495"/>
      <c r="N226" s="1"/>
      <c r="O226" s="318" t="e">
        <f>+Q224/(P67*0.93)/12</f>
        <v>#DIV/0!</v>
      </c>
      <c r="P226" s="42" t="s">
        <v>2479</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1">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c r="G227" s="3484"/>
      <c r="H227" s="1"/>
      <c r="I227" s="1"/>
      <c r="K227" s="8" t="s">
        <v>184</v>
      </c>
      <c r="L227" s="3474">
        <f>SUM(L225:M226)</f>
        <v>0</v>
      </c>
      <c r="M227" s="3475"/>
      <c r="N227" s="1"/>
      <c r="O227" s="29" t="s">
        <v>3139</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1">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4531</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1">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3895</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2">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46</v>
      </c>
      <c r="C230" s="3455"/>
      <c r="D230" s="3455"/>
      <c r="E230" s="3456"/>
      <c r="F230" s="3494"/>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1">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0</v>
      </c>
      <c r="G231" s="3475"/>
      <c r="H231" s="1"/>
      <c r="I231" s="1" t="s">
        <v>1495</v>
      </c>
      <c r="K231" s="1"/>
      <c r="L231" s="3485"/>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79">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c r="M232" s="3482"/>
      <c r="N232" s="3472" t="str">
        <f>IF(Q234="","",IF(Q232&lt;Q234, "WARNING! OE may be below required minimum.",""))</f>
        <v/>
      </c>
      <c r="O232" s="4" t="s">
        <v>2024</v>
      </c>
      <c r="P232" s="1"/>
      <c r="Q232" s="325">
        <f>F231+F240+F251+L227+L235+L245+L251+Q224</f>
        <v>0</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1">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c r="M233" s="3482"/>
      <c r="N233" s="3472"/>
      <c r="O233" s="42" t="s">
        <v>2480</v>
      </c>
      <c r="P233" s="318" t="e">
        <f>+Q232/P67</f>
        <v>#DIV/0!</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4347</v>
      </c>
      <c r="NQ233" s="2481">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c r="G234" s="3549"/>
      <c r="H234" s="1"/>
      <c r="I234" s="3457" t="s">
        <v>46</v>
      </c>
      <c r="J234" s="3458"/>
      <c r="K234" s="3459"/>
      <c r="L234" s="3492"/>
      <c r="M234" s="3493"/>
      <c r="N234" s="3472"/>
      <c r="P234" s="745" t="s">
        <v>3140</v>
      </c>
      <c r="Q234" s="746"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79">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c r="G235" s="3484"/>
      <c r="H235" s="1"/>
      <c r="I235" s="4"/>
      <c r="K235" s="8" t="s">
        <v>184</v>
      </c>
      <c r="L235" s="3462">
        <f>SUM(L231:L234)</f>
        <v>0</v>
      </c>
      <c r="M235" s="3544"/>
      <c r="N235" s="3472"/>
      <c r="O235" s="3547" t="s">
        <v>4835</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1">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1">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4348</v>
      </c>
      <c r="NQ237" s="2481">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c r="G238" s="3484"/>
      <c r="H238" s="1"/>
      <c r="I238" s="4" t="s">
        <v>1295</v>
      </c>
      <c r="K238" s="248" t="s">
        <v>3763</v>
      </c>
      <c r="O238" s="1249" t="s">
        <v>3001</v>
      </c>
      <c r="P238" s="4"/>
      <c r="Q238" s="904">
        <f>Q247</f>
        <v>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1">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46</v>
      </c>
      <c r="C239" s="3455"/>
      <c r="D239" s="3455"/>
      <c r="E239" s="3456"/>
      <c r="F239" s="3494"/>
      <c r="G239" s="3495"/>
      <c r="H239" s="1"/>
      <c r="I239" s="1" t="s">
        <v>1288</v>
      </c>
      <c r="K239" s="364" t="e">
        <f>L239/12/P67</f>
        <v>#DIV/0!</v>
      </c>
      <c r="L239" s="3485"/>
      <c r="M239" s="3486"/>
      <c r="N239" s="3472" t="str">
        <f>IF(Q238&lt;Q247, "WARNING! RR proposed is below the DCA required minimum.","")</f>
        <v/>
      </c>
      <c r="O239" s="759" t="s">
        <v>3762</v>
      </c>
      <c r="P239" s="754"/>
      <c r="Q239" s="760" t="e">
        <f>Q238/P247</f>
        <v>#DIV/0!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1">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0</v>
      </c>
      <c r="G240" s="3475"/>
      <c r="H240" s="1"/>
      <c r="I240" s="1" t="s">
        <v>1289</v>
      </c>
      <c r="K240" s="364" t="e">
        <f>L240/12/P67</f>
        <v>#DIV/0!</v>
      </c>
      <c r="L240" s="3481"/>
      <c r="M240" s="3482"/>
      <c r="N240" s="3473"/>
      <c r="O240" s="3476" t="s">
        <v>3148</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2">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3808</v>
      </c>
      <c r="K241" s="364" t="e">
        <f>L241/12/P67</f>
        <v>#DIV/0!</v>
      </c>
      <c r="L241" s="3481"/>
      <c r="M241" s="3482"/>
      <c r="N241" s="3473"/>
      <c r="O241" s="753" t="s">
        <v>2458</v>
      </c>
      <c r="P241" s="657" t="s">
        <v>3202</v>
      </c>
      <c r="Q241" s="755" t="s">
        <v>2972</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4281</v>
      </c>
      <c r="NQ241" s="2481">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t="e">
        <f>L242/12/P67</f>
        <v>#DIV/0!</v>
      </c>
      <c r="L242" s="3481"/>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79">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c r="G243" s="3546"/>
      <c r="H243" s="1"/>
      <c r="I243" s="72" t="s">
        <v>4580</v>
      </c>
      <c r="K243" s="364" t="e">
        <f>L243/12/P67</f>
        <v>#DIV/0!</v>
      </c>
      <c r="L243" s="3481"/>
      <c r="M243" s="3482"/>
      <c r="N243" s="3473"/>
      <c r="O243" s="386" t="s">
        <v>2970</v>
      </c>
      <c r="P243" s="661" t="str">
        <f>CONCATENATE(SUM(MF49:MJ49)," units x $",'DCA Underwriting Assumptions'!$Q$41," =")</f>
        <v>0 units x $400 =</v>
      </c>
      <c r="Q243" s="500">
        <f>SUM(MF49:MJ49)*'DCA Underwriting Assumptions'!$Q$41</f>
        <v>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1">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c r="G244" s="3491"/>
      <c r="H244" s="1"/>
      <c r="I244" s="3479" t="s">
        <v>46</v>
      </c>
      <c r="J244" s="3480"/>
      <c r="K244" s="364" t="e">
        <f>L244/12/P67</f>
        <v>#DIV/0!</v>
      </c>
      <c r="L244" s="3492"/>
      <c r="M244" s="3493"/>
      <c r="N244" s="3473"/>
      <c r="O244" s="386" t="s">
        <v>2969</v>
      </c>
      <c r="P244" s="661" t="str">
        <f>CONCATENATE(SUM(MK49:MO49)," units x $",'DCA Underwriting Assumptions'!$Q$42," =")</f>
        <v>0 units x $300 =</v>
      </c>
      <c r="Q244" s="500">
        <f>SUM(MK49:MO49)*'DCA Underwriting Assumptions'!$Q$42</f>
        <v>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1">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c r="G245" s="3491"/>
      <c r="H245" s="1"/>
      <c r="K245" s="8" t="s">
        <v>184</v>
      </c>
      <c r="L245" s="3462">
        <f>SUM(L239:L244)</f>
        <v>0</v>
      </c>
      <c r="M245" s="3544"/>
      <c r="N245" s="3473"/>
      <c r="O245" s="501" t="s">
        <v>4400</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79">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c r="G246" s="3484"/>
      <c r="H246" s="1"/>
      <c r="O246" s="501" t="s">
        <v>2968</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4349</v>
      </c>
      <c r="NQ246" s="2481">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c r="G247" s="3484"/>
      <c r="H247" s="1"/>
      <c r="I247" s="4" t="s">
        <v>1296</v>
      </c>
      <c r="O247" s="756" t="s">
        <v>2461</v>
      </c>
      <c r="P247" s="757">
        <f>SUM(MF49:MJ49)+SUM(MK49:MO49)+SUM(MP49:MT49)+P125</f>
        <v>0</v>
      </c>
      <c r="Q247" s="758">
        <f>SUM(Q243:Q246)</f>
        <v>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1">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c r="G248" s="3484"/>
      <c r="H248" s="1"/>
      <c r="I248" s="72" t="s">
        <v>3809</v>
      </c>
      <c r="K248" s="1"/>
      <c r="L248" s="3485"/>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1">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c r="G249" s="3484"/>
      <c r="H249" s="1"/>
      <c r="I249" s="1" t="s">
        <v>140</v>
      </c>
      <c r="K249" s="1"/>
      <c r="L249" s="3481"/>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1">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t="s">
        <v>46</v>
      </c>
      <c r="J250" s="3458"/>
      <c r="K250" s="3459"/>
      <c r="L250" s="3542"/>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4350</v>
      </c>
      <c r="NQ250" s="2481">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0</v>
      </c>
      <c r="G251" s="3461"/>
      <c r="H251" s="1"/>
      <c r="K251" s="8" t="s">
        <v>184</v>
      </c>
      <c r="L251" s="3462">
        <f>SUM(L247:L250)</f>
        <v>0</v>
      </c>
      <c r="M251" s="3463"/>
      <c r="N251" s="1"/>
      <c r="O251" s="4" t="s">
        <v>2025</v>
      </c>
      <c r="P251" s="1"/>
      <c r="Q251" s="325">
        <f>Q232+Q238</f>
        <v>0</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2">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1">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5"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79">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1">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3289</v>
      </c>
      <c r="B255" s="4" t="s">
        <v>3752</v>
      </c>
      <c r="C255" s="8"/>
      <c r="D255" s="1"/>
      <c r="E255" s="1"/>
      <c r="H255" s="9"/>
      <c r="I255" s="1162" t="s">
        <v>3753</v>
      </c>
      <c r="K255" s="3467"/>
      <c r="L255" s="3468"/>
      <c r="M255" s="1221" t="s">
        <v>3781</v>
      </c>
      <c r="N255" s="1163"/>
      <c r="O255" s="4" t="s">
        <v>3755</v>
      </c>
      <c r="P255" s="1"/>
      <c r="Q255" s="1183">
        <f>K255*N255</f>
        <v>0</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1">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79">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3782</v>
      </c>
      <c r="C257" s="8"/>
      <c r="D257" s="1"/>
      <c r="E257" s="1"/>
      <c r="F257" s="9"/>
      <c r="G257" s="9"/>
      <c r="H257" s="1"/>
      <c r="I257" s="1"/>
      <c r="J257" s="1202" t="s">
        <v>1641</v>
      </c>
      <c r="K257" s="1162" t="s">
        <v>3784</v>
      </c>
      <c r="L257" s="1202" t="s">
        <v>1641</v>
      </c>
      <c r="M257" s="53" t="s">
        <v>3785</v>
      </c>
      <c r="N257" s="1163"/>
      <c r="O257" s="72" t="s">
        <v>3783</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4351</v>
      </c>
      <c r="NQ257" s="2481">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1">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3751</v>
      </c>
      <c r="B259" s="10" t="s">
        <v>529</v>
      </c>
      <c r="N259" s="10" t="s">
        <v>4547</v>
      </c>
      <c r="O259" s="10"/>
      <c r="NP259" s="1632"/>
      <c r="NQ259" s="2481">
        <v>259</v>
      </c>
    </row>
    <row r="260" spans="1:493" ht="409.5" customHeight="1">
      <c r="A260" s="3452" t="s">
        <v>3146</v>
      </c>
      <c r="B260" s="3452"/>
      <c r="C260" s="3452"/>
      <c r="D260" s="3452"/>
      <c r="E260" s="3452"/>
      <c r="F260" s="3452"/>
      <c r="G260" s="3452"/>
      <c r="H260" s="3452"/>
      <c r="I260" s="3452"/>
      <c r="J260" s="3452"/>
      <c r="K260" s="3452"/>
      <c r="L260" s="3452"/>
      <c r="M260" s="3452"/>
      <c r="N260" s="3453"/>
      <c r="O260" s="3453"/>
      <c r="P260" s="3453"/>
      <c r="Q260" s="3453"/>
      <c r="R260" s="2912" t="s">
        <v>3288</v>
      </c>
      <c r="S260" s="2908"/>
      <c r="T260" s="2908"/>
      <c r="U260" s="2908"/>
      <c r="NP260" s="1632"/>
      <c r="NQ260" s="2479">
        <v>260</v>
      </c>
    </row>
    <row r="261" spans="1:493" ht="11.25" customHeight="1">
      <c r="NP261" s="1632"/>
    </row>
    <row r="262" spans="1:493" ht="12" customHeight="1">
      <c r="NP262" s="1632"/>
    </row>
    <row r="263" spans="1:493" ht="12" customHeight="1">
      <c r="NP263" s="1632"/>
    </row>
    <row r="264" spans="1:493" ht="14.15" customHeight="1">
      <c r="NP264" s="1632"/>
    </row>
    <row r="265" spans="1:493" s="69" customFormat="1" ht="14.15"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1"/>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1"/>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1"/>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5"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1"/>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5"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1"/>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5"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1"/>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5"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1"/>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5" customHeight="1">
      <c r="NP272" s="1632"/>
    </row>
    <row r="273" spans="1:493" ht="14.15" customHeight="1">
      <c r="NP273" s="1632"/>
    </row>
    <row r="274" spans="1:493" ht="14.15" customHeight="1">
      <c r="NP274" s="1632"/>
    </row>
    <row r="275" spans="1:493" ht="14.15" customHeight="1">
      <c r="NP275" s="1632"/>
    </row>
    <row r="276" spans="1:493" s="69" customFormat="1" ht="14.15"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1"/>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5"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1"/>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5"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1"/>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5"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1"/>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5"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1"/>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5" customHeight="1"/>
    <row r="282" spans="1:493" ht="14.15" customHeight="1">
      <c r="A282" s="10"/>
      <c r="NP282" s="1632"/>
    </row>
    <row r="283" spans="1:493" ht="14.15" customHeight="1">
      <c r="NP283" s="1632"/>
    </row>
    <row r="284" spans="1:493" ht="14.15" customHeight="1">
      <c r="NP284" s="1632"/>
    </row>
    <row r="285" spans="1:493" ht="14.15" customHeight="1">
      <c r="NP285" s="1632"/>
    </row>
    <row r="286" spans="1:493" ht="14.15" customHeight="1">
      <c r="NP286" s="1632"/>
    </row>
    <row r="287" spans="1:493" ht="14.15" customHeight="1"/>
    <row r="288" spans="1:493" s="69" customFormat="1" ht="14.15"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1"/>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5"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1"/>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5"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1"/>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5"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1"/>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5"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1"/>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5" customHeight="1"/>
    <row r="294" spans="1:493" ht="14.15" customHeight="1">
      <c r="A294" s="10"/>
      <c r="NP294" s="1632"/>
    </row>
    <row r="295" spans="1:493" ht="14.15" customHeight="1">
      <c r="NP295" s="1632"/>
    </row>
    <row r="296" spans="1:493" ht="14.15" customHeight="1">
      <c r="NP296" s="1632"/>
    </row>
    <row r="297" spans="1:493" ht="14.15" customHeight="1">
      <c r="NP297" s="1632"/>
    </row>
    <row r="298" spans="1:493" ht="14.15" customHeight="1">
      <c r="NP298" s="1632"/>
    </row>
    <row r="299" spans="1:493" ht="14.15" customHeight="1"/>
    <row r="300" spans="1:493" ht="14.15" customHeight="1"/>
    <row r="301" spans="1:493" ht="14.15" customHeight="1"/>
    <row r="302" spans="1:493" ht="14.15" customHeight="1"/>
    <row r="303" spans="1:493" ht="14.15" customHeight="1"/>
  </sheetData>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zoomScale="90" zoomScaleNormal="90" workbookViewId="0">
      <selection activeCell="B9" sqref="B9"/>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631" bestFit="1" customWidth="1"/>
    <col min="27" max="27" width="8.7265625" style="1633"/>
    <col min="28" max="16384" width="8.7265625" style="6"/>
  </cols>
  <sheetData>
    <row r="1" spans="1:27" s="1631" customFormat="1" hidden="1">
      <c r="B1" s="1631" t="s">
        <v>4352</v>
      </c>
      <c r="C1" s="1631" t="s">
        <v>4353</v>
      </c>
      <c r="D1" s="1631" t="s">
        <v>4354</v>
      </c>
      <c r="E1" s="1631" t="s">
        <v>4355</v>
      </c>
      <c r="F1" s="1631" t="s">
        <v>4356</v>
      </c>
      <c r="G1" s="1631" t="s">
        <v>4357</v>
      </c>
      <c r="H1" s="1631" t="s">
        <v>4358</v>
      </c>
      <c r="I1" s="1631" t="s">
        <v>4359</v>
      </c>
      <c r="J1" s="1631" t="s">
        <v>4360</v>
      </c>
      <c r="K1" s="1631" t="s">
        <v>4361</v>
      </c>
      <c r="AA1" s="1633">
        <v>1</v>
      </c>
    </row>
    <row r="2" spans="1:27" ht="14.15" customHeight="1">
      <c r="A2" s="3576" t="str">
        <f>CONCATENATE("PART SIX - OPERATING PRO FORMA","  -  ",'Part I-Project Identification'!$O$7," ",'Part I-Project Identification'!$F$26,", ",'Part I-Project Identification'!F27,", ",'Part I-Project Identification'!J27," County")</f>
        <v>PART SIX - OPERATING PRO FORMA  -  2024-5 , &lt;&lt; Select from list &gt;&gt;, Select City first County</v>
      </c>
      <c r="B2" s="3577"/>
      <c r="C2" s="3577"/>
      <c r="D2" s="3577"/>
      <c r="E2" s="3577"/>
      <c r="F2" s="3577"/>
      <c r="G2" s="3577"/>
      <c r="H2" s="3577"/>
      <c r="I2" s="3577"/>
      <c r="J2" s="3577"/>
      <c r="K2" s="3578"/>
      <c r="L2" s="4"/>
      <c r="M2" s="4"/>
      <c r="N2" s="3579" t="str">
        <f>A2</f>
        <v>PART SIX - OPERATING PRO FORMA  -  2024-5 , &lt;&lt; Select from list &gt;&gt;, Select City first County</v>
      </c>
      <c r="O2" s="3579"/>
      <c r="P2" s="4"/>
      <c r="AA2" s="1633">
        <v>2</v>
      </c>
    </row>
    <row r="3" spans="1:27" ht="13.5" customHeight="1">
      <c r="A3" s="381"/>
      <c r="B3" s="381"/>
      <c r="C3" s="381"/>
      <c r="D3" s="381"/>
      <c r="E3" s="381"/>
      <c r="F3" s="381"/>
      <c r="G3" s="381"/>
      <c r="H3" s="381"/>
      <c r="I3" s="381"/>
      <c r="J3" s="381"/>
      <c r="K3" s="381"/>
      <c r="N3" s="3439" t="s">
        <v>1706</v>
      </c>
      <c r="O3" s="3439"/>
      <c r="AA3" s="1633">
        <v>3</v>
      </c>
    </row>
    <row r="4" spans="1:27" ht="13.5" customHeight="1">
      <c r="A4" s="10" t="s">
        <v>85</v>
      </c>
      <c r="C4" s="3580" t="str">
        <f>'Part I-Project Identification'!$A$6</f>
        <v>4% Credit Core
Sept 26, 2024</v>
      </c>
      <c r="D4" s="931" t="s">
        <v>75</v>
      </c>
      <c r="E4" s="180"/>
      <c r="F4" s="932" t="s">
        <v>3317</v>
      </c>
      <c r="N4" s="10" t="str">
        <f>A4</f>
        <v>I.  OPERATING ASSUMPTIONS</v>
      </c>
      <c r="O4" s="10"/>
      <c r="AA4" s="1633">
        <v>4</v>
      </c>
    </row>
    <row r="5" spans="1:27" ht="2.65" customHeight="1">
      <c r="C5" s="3581"/>
      <c r="AA5" s="1633">
        <v>5</v>
      </c>
    </row>
    <row r="6" spans="1:27" ht="13.5" customHeight="1">
      <c r="A6" s="6" t="s">
        <v>2026</v>
      </c>
      <c r="B6" s="58">
        <f>'DCA Underwriting Assumptions'!$Q$114</f>
        <v>0.02</v>
      </c>
      <c r="C6" s="3581"/>
      <c r="D6" s="3505" t="s">
        <v>3318</v>
      </c>
      <c r="E6" s="3505"/>
      <c r="F6" s="3505"/>
      <c r="G6" s="59"/>
      <c r="H6" s="75" t="s">
        <v>1763</v>
      </c>
      <c r="K6" s="80" t="str">
        <f>IF(($B$15+$B$16+$B$17+$B$18)=0,"",B31/($B$15+$B$16+$B$17+$B$18))</f>
        <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t="str">
        <f>IF(($B$15+$B$16+$B$17+$B$18)=0,"",-B22/($B$15+$B$16+$B$17+$B$18))</f>
        <v/>
      </c>
      <c r="N8" s="3487"/>
      <c r="O8" s="3489"/>
      <c r="AA8" s="1633">
        <v>8</v>
      </c>
    </row>
    <row r="9" spans="1:27" ht="13.4" customHeight="1">
      <c r="A9" s="6" t="s">
        <v>2028</v>
      </c>
      <c r="B9" s="186">
        <v>7.0000000000000007E-2</v>
      </c>
      <c r="C9" s="1154" t="str">
        <f>IF(B9&lt;0.07, "Must be &gt;= 7%!","")</f>
        <v/>
      </c>
      <c r="D9" s="1" t="s">
        <v>2301</v>
      </c>
      <c r="G9" s="1169"/>
      <c r="H9" s="140" t="s">
        <v>1353</v>
      </c>
      <c r="K9" s="1171"/>
      <c r="N9" s="3487"/>
      <c r="O9" s="3489"/>
      <c r="AA9" s="1633">
        <v>9</v>
      </c>
    </row>
    <row r="10" spans="1:27">
      <c r="A10" s="6" t="s">
        <v>1334</v>
      </c>
      <c r="B10" s="58">
        <v>0.02</v>
      </c>
      <c r="D10" s="1" t="s">
        <v>1595</v>
      </c>
      <c r="G10" s="1170"/>
      <c r="H10" s="140" t="s">
        <v>2168</v>
      </c>
      <c r="K10" s="1172"/>
      <c r="N10" s="3464"/>
      <c r="O10" s="3466"/>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4" t="s">
        <v>2404</v>
      </c>
      <c r="O14" s="3154"/>
      <c r="AA14" s="1633">
        <v>14</v>
      </c>
    </row>
    <row r="15" spans="1:27" ht="13.4" customHeight="1">
      <c r="A15" s="14" t="s">
        <v>2209</v>
      </c>
      <c r="B15" s="15">
        <f>'Part V-Revenues &amp; Expenses'!$M$50</f>
        <v>0</v>
      </c>
      <c r="C15" s="15">
        <f t="shared" ref="C15:K15" si="1">$B$15*(1+$B$6)^(C14-1)</f>
        <v>0</v>
      </c>
      <c r="D15" s="15">
        <f t="shared" si="1"/>
        <v>0</v>
      </c>
      <c r="E15" s="15">
        <f t="shared" si="1"/>
        <v>0</v>
      </c>
      <c r="F15" s="15">
        <f t="shared" si="1"/>
        <v>0</v>
      </c>
      <c r="G15" s="15">
        <f t="shared" si="1"/>
        <v>0</v>
      </c>
      <c r="H15" s="15">
        <f t="shared" si="1"/>
        <v>0</v>
      </c>
      <c r="I15" s="15">
        <f t="shared" si="1"/>
        <v>0</v>
      </c>
      <c r="J15" s="15">
        <f t="shared" si="1"/>
        <v>0</v>
      </c>
      <c r="K15" s="16">
        <f t="shared" si="1"/>
        <v>0</v>
      </c>
      <c r="N15" s="3507"/>
      <c r="O15" s="3509"/>
      <c r="S15" s="3572" t="s">
        <v>3323</v>
      </c>
      <c r="Z15" s="1631" t="s">
        <v>4362</v>
      </c>
      <c r="AA15" s="1633">
        <v>15</v>
      </c>
    </row>
    <row r="16" spans="1:27" ht="13.4" customHeight="1">
      <c r="A16" s="17" t="s">
        <v>951</v>
      </c>
      <c r="B16" s="18">
        <f>MIN(B15*B10,'Part V-Revenues &amp; Expenses'!$H$183)</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487"/>
      <c r="O16" s="3489"/>
      <c r="S16" s="3573"/>
      <c r="Z16" s="1631" t="s">
        <v>4362</v>
      </c>
      <c r="AA16" s="1633">
        <v>16</v>
      </c>
    </row>
    <row r="17" spans="1:27" ht="13.4" customHeight="1">
      <c r="A17" s="17" t="s">
        <v>2210</v>
      </c>
      <c r="B17" s="18">
        <f t="shared" ref="B17:K17" si="3">-(B15+B16)*$B$9</f>
        <v>0</v>
      </c>
      <c r="C17" s="18">
        <f t="shared" si="3"/>
        <v>0</v>
      </c>
      <c r="D17" s="18">
        <f t="shared" si="3"/>
        <v>0</v>
      </c>
      <c r="E17" s="18">
        <f t="shared" si="3"/>
        <v>0</v>
      </c>
      <c r="F17" s="18">
        <f t="shared" si="3"/>
        <v>0</v>
      </c>
      <c r="G17" s="18">
        <f t="shared" si="3"/>
        <v>0</v>
      </c>
      <c r="H17" s="18">
        <f t="shared" si="3"/>
        <v>0</v>
      </c>
      <c r="I17" s="18">
        <f t="shared" si="3"/>
        <v>0</v>
      </c>
      <c r="J17" s="18">
        <f t="shared" si="3"/>
        <v>0</v>
      </c>
      <c r="K17" s="19">
        <f t="shared" si="3"/>
        <v>0</v>
      </c>
      <c r="N17" s="3487"/>
      <c r="O17" s="3489"/>
      <c r="Q17" s="3575" t="s">
        <v>3217</v>
      </c>
      <c r="R17" s="3575" t="s">
        <v>3322</v>
      </c>
      <c r="S17" s="3573"/>
      <c r="Z17" s="1631" t="s">
        <v>4362</v>
      </c>
      <c r="AA17" s="1633">
        <v>17</v>
      </c>
    </row>
    <row r="18" spans="1:27" ht="13.4"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4362</v>
      </c>
      <c r="AA18" s="1633">
        <v>18</v>
      </c>
    </row>
    <row r="19" spans="1:27" ht="13.4"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4362</v>
      </c>
      <c r="AA19" s="1633">
        <v>19</v>
      </c>
    </row>
    <row r="20" spans="1:27" ht="13.4" customHeight="1">
      <c r="A20" s="340" t="s">
        <v>3717</v>
      </c>
      <c r="B20" s="18">
        <f>SUM(B15:B19)</f>
        <v>0</v>
      </c>
      <c r="C20" s="18">
        <f t="shared" ref="C20:K20" si="4">SUM(C15:C19)</f>
        <v>0</v>
      </c>
      <c r="D20" s="18">
        <f t="shared" si="4"/>
        <v>0</v>
      </c>
      <c r="E20" s="18">
        <f t="shared" si="4"/>
        <v>0</v>
      </c>
      <c r="F20" s="18">
        <f t="shared" si="4"/>
        <v>0</v>
      </c>
      <c r="G20" s="18">
        <f t="shared" si="4"/>
        <v>0</v>
      </c>
      <c r="H20" s="18">
        <f t="shared" si="4"/>
        <v>0</v>
      </c>
      <c r="I20" s="18">
        <f t="shared" si="4"/>
        <v>0</v>
      </c>
      <c r="J20" s="18">
        <f t="shared" si="4"/>
        <v>0</v>
      </c>
      <c r="K20" s="19">
        <f t="shared" si="4"/>
        <v>0</v>
      </c>
      <c r="N20" s="3487"/>
      <c r="O20" s="3489"/>
      <c r="Z20" s="1631" t="s">
        <v>4362</v>
      </c>
      <c r="AA20" s="1633">
        <v>20</v>
      </c>
    </row>
    <row r="21" spans="1:27" ht="13.4" customHeight="1">
      <c r="A21" s="17" t="s">
        <v>571</v>
      </c>
      <c r="B21" s="18">
        <f>-('Part V-Revenues &amp; Expenses'!$Q$232-'Part V-Revenues &amp; Expenses'!$Q$224)</f>
        <v>0</v>
      </c>
      <c r="C21" s="18">
        <f t="shared" ref="C21:K21" si="5">$B$21*(1+$B$7)^(C14-1)</f>
        <v>0</v>
      </c>
      <c r="D21" s="18">
        <f t="shared" si="5"/>
        <v>0</v>
      </c>
      <c r="E21" s="18">
        <f t="shared" si="5"/>
        <v>0</v>
      </c>
      <c r="F21" s="18">
        <f t="shared" si="5"/>
        <v>0</v>
      </c>
      <c r="G21" s="18">
        <f t="shared" si="5"/>
        <v>0</v>
      </c>
      <c r="H21" s="18">
        <f t="shared" si="5"/>
        <v>0</v>
      </c>
      <c r="I21" s="18">
        <f t="shared" si="5"/>
        <v>0</v>
      </c>
      <c r="J21" s="18">
        <f t="shared" si="5"/>
        <v>0</v>
      </c>
      <c r="K21" s="19">
        <f t="shared" si="5"/>
        <v>0</v>
      </c>
      <c r="N21" s="3487"/>
      <c r="O21" s="3489"/>
      <c r="Q21" s="47">
        <v>1</v>
      </c>
      <c r="R21" s="856">
        <f>-B32</f>
        <v>0</v>
      </c>
      <c r="S21" s="856">
        <f>B33+R21</f>
        <v>0</v>
      </c>
      <c r="Z21" s="1631" t="s">
        <v>4362</v>
      </c>
      <c r="AA21" s="1633">
        <v>21</v>
      </c>
    </row>
    <row r="22" spans="1:27" ht="13.4" customHeight="1">
      <c r="A22" s="17" t="s">
        <v>1049</v>
      </c>
      <c r="B22" s="18" t="str">
        <f>IF(AND('Part VI-Pro Forma'!$G$9="Yes",'Part VI-Pro Forma'!$G$10="Yes"),"Choose One!",IF('Part VI-Pro Forma'!$G$9="Yes",ROUND((-$K$9*(1+'Part VI-Pro Forma'!$B$7)^('Part VI-Pro Forma'!B14-1)),),IF('Part VI-Pro Forma'!$G$10="Yes",ROUND((-(SUM(B15:B18)*'Part VI-Pro Forma'!$K$10)),),"Choose mgt fee")))</f>
        <v>Choose mgt fee</v>
      </c>
      <c r="C22" s="18" t="str">
        <f>IF(AND('Part VI-Pro Forma'!$G$9="Yes",'Part VI-Pro Forma'!$G$10="Yes"),"Choose One!",IF('Part VI-Pro Forma'!$G$9="Yes",ROUND((-$K$9*(1+'Part VI-Pro Forma'!$B$7)^('Part VI-Pro Forma'!C14-1)),),IF('Part VI-Pro Forma'!$G$10="Yes",ROUND((-(SUM(C15:C18)*'Part VI-Pro Forma'!$K$10)),),"Choose mgt fee")))</f>
        <v>Choose mgt fee</v>
      </c>
      <c r="D22" s="18" t="str">
        <f>IF(AND('Part VI-Pro Forma'!$G$9="Yes",'Part VI-Pro Forma'!$G$10="Yes"),"Choose One!",IF('Part VI-Pro Forma'!$G$9="Yes",ROUND((-$K$9*(1+'Part VI-Pro Forma'!$B$7)^('Part VI-Pro Forma'!D14-1)),),IF('Part VI-Pro Forma'!$G$10="Yes",ROUND((-(SUM(D15:D18)*'Part VI-Pro Forma'!$K$10)),),"Choose mgt fee")))</f>
        <v>Choose mgt fee</v>
      </c>
      <c r="E22" s="18" t="str">
        <f>IF(AND('Part VI-Pro Forma'!$G$9="Yes",'Part VI-Pro Forma'!$G$10="Yes"),"Choose One!",IF('Part VI-Pro Forma'!$G$9="Yes",ROUND((-$K$9*(1+'Part VI-Pro Forma'!$B$7)^('Part VI-Pro Forma'!E14-1)),),IF('Part VI-Pro Forma'!$G$10="Yes",ROUND((-(SUM(E15:E18)*'Part VI-Pro Forma'!$K$10)),),"Choose mgt fee")))</f>
        <v>Choose mgt fee</v>
      </c>
      <c r="F22" s="18" t="str">
        <f>IF(AND('Part VI-Pro Forma'!$G$9="Yes",'Part VI-Pro Forma'!$G$10="Yes"),"Choose One!",IF('Part VI-Pro Forma'!$G$9="Yes",ROUND((-$K$9*(1+'Part VI-Pro Forma'!$B$7)^('Part VI-Pro Forma'!F14-1)),),IF('Part VI-Pro Forma'!$G$10="Yes",ROUND((-(SUM(F15:F18)*'Part VI-Pro Forma'!$K$10)),),"Choose mgt fee")))</f>
        <v>Choose mgt fee</v>
      </c>
      <c r="G22" s="18" t="str">
        <f>IF(AND('Part VI-Pro Forma'!$G$9="Yes",'Part VI-Pro Forma'!$G$10="Yes"),"Choose One!",IF('Part VI-Pro Forma'!$G$9="Yes",ROUND((-$K$9*(1+'Part VI-Pro Forma'!$B$7)^('Part VI-Pro Forma'!G14-1)),),IF('Part VI-Pro Forma'!$G$10="Yes",ROUND((-(SUM(G15:G18)*'Part VI-Pro Forma'!$K$10)),),"Choose mgt fee")))</f>
        <v>Choose mgt fee</v>
      </c>
      <c r="H22" s="18" t="str">
        <f>IF(AND('Part VI-Pro Forma'!$G$9="Yes",'Part VI-Pro Forma'!$G$10="Yes"),"Choose One!",IF('Part VI-Pro Forma'!$G$9="Yes",ROUND((-$K$9*(1+'Part VI-Pro Forma'!$B$7)^('Part VI-Pro Forma'!H14-1)),),IF('Part VI-Pro Forma'!$G$10="Yes",ROUND((-(SUM(H15:H18)*'Part VI-Pro Forma'!$K$10)),),"Choose mgt fee")))</f>
        <v>Choose mgt fee</v>
      </c>
      <c r="I22" s="18" t="str">
        <f>IF(AND('Part VI-Pro Forma'!$G$9="Yes",'Part VI-Pro Forma'!$G$10="Yes"),"Choose One!",IF('Part VI-Pro Forma'!$G$9="Yes",ROUND((-$K$9*(1+'Part VI-Pro Forma'!$B$7)^('Part VI-Pro Forma'!I14-1)),),IF('Part VI-Pro Forma'!$G$10="Yes",ROUND((-(SUM(I15:I18)*'Part VI-Pro Forma'!$K$10)),),"Choose mgt fee")))</f>
        <v>Choose mgt fee</v>
      </c>
      <c r="J22" s="18" t="str">
        <f>IF(AND('Part VI-Pro Forma'!$G$9="Yes",'Part VI-Pro Forma'!$G$10="Yes"),"Choose One!",IF('Part VI-Pro Forma'!$G$9="Yes",ROUND((-$K$9*(1+'Part VI-Pro Forma'!$B$7)^('Part VI-Pro Forma'!J14-1)),),IF('Part VI-Pro Forma'!$G$10="Yes",ROUND((-(SUM(J15:J18)*'Part VI-Pro Forma'!$K$10)),),"Choose mgt fee")))</f>
        <v>Choose mgt fee</v>
      </c>
      <c r="K22" s="19" t="str">
        <f>IF(AND('Part VI-Pro Forma'!$G$9="Yes",'Part VI-Pro Forma'!$G$10="Yes"),"Choose One!",IF('Part VI-Pro Forma'!$G$9="Yes",ROUND((-$K$9*(1+'Part VI-Pro Forma'!$B$7)^('Part VI-Pro Forma'!K14-1)),),IF('Part VI-Pro Forma'!$G$10="Yes",ROUND((-(SUM(K15:K18)*'Part VI-Pro Forma'!$K$10)),),"Choose mgt fee")))</f>
        <v>Choose mgt fee</v>
      </c>
      <c r="N22" s="3487"/>
      <c r="O22" s="3489"/>
      <c r="Q22" s="47">
        <v>2</v>
      </c>
      <c r="R22" s="856">
        <f>-SUM(B32:C32)</f>
        <v>0</v>
      </c>
      <c r="S22" s="856">
        <f>SUM(B33:C33)+R22</f>
        <v>0</v>
      </c>
      <c r="Z22" s="1631" t="s">
        <v>4362</v>
      </c>
      <c r="AA22" s="1633">
        <v>22</v>
      </c>
    </row>
    <row r="23" spans="1:27" ht="13.4" customHeight="1">
      <c r="A23" s="17" t="s">
        <v>1127</v>
      </c>
      <c r="B23" s="18">
        <f>-('Part V-Revenues &amp; Expenses'!$Q$238)</f>
        <v>0</v>
      </c>
      <c r="C23" s="18">
        <f t="shared" ref="C23:K23" si="6">$B$23*(1+$B$8)^(C14-1)</f>
        <v>0</v>
      </c>
      <c r="D23" s="18">
        <f t="shared" si="6"/>
        <v>0</v>
      </c>
      <c r="E23" s="18">
        <f t="shared" si="6"/>
        <v>0</v>
      </c>
      <c r="F23" s="18">
        <f t="shared" si="6"/>
        <v>0</v>
      </c>
      <c r="G23" s="18">
        <f t="shared" si="6"/>
        <v>0</v>
      </c>
      <c r="H23" s="18">
        <f t="shared" si="6"/>
        <v>0</v>
      </c>
      <c r="I23" s="18">
        <f t="shared" si="6"/>
        <v>0</v>
      </c>
      <c r="J23" s="18">
        <f t="shared" si="6"/>
        <v>0</v>
      </c>
      <c r="K23" s="19">
        <f t="shared" si="6"/>
        <v>0</v>
      </c>
      <c r="N23" s="3487"/>
      <c r="O23" s="3489"/>
      <c r="Q23" s="47">
        <v>3</v>
      </c>
      <c r="R23" s="856">
        <f>-SUM(B32:D32)</f>
        <v>0</v>
      </c>
      <c r="S23" s="856">
        <f>SUM(B33:D33)+R23</f>
        <v>0</v>
      </c>
      <c r="Z23" s="1631" t="s">
        <v>4362</v>
      </c>
      <c r="AA23" s="1633">
        <v>23</v>
      </c>
    </row>
    <row r="24" spans="1:27" ht="13.4" customHeight="1">
      <c r="A24" s="340" t="s">
        <v>3716</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7"/>
      <c r="O24" s="3489"/>
      <c r="Q24" s="92">
        <v>4</v>
      </c>
      <c r="R24" s="856">
        <f>-SUM(B32:E32)</f>
        <v>0</v>
      </c>
      <c r="S24" s="856">
        <f>SUM(B33:E33)+R24</f>
        <v>0</v>
      </c>
      <c r="Z24" s="1631" t="s">
        <v>4362</v>
      </c>
      <c r="AA24" s="1633">
        <v>24</v>
      </c>
    </row>
    <row r="25" spans="1:27" ht="13.4" customHeight="1">
      <c r="A25" s="17" t="s">
        <v>1128</v>
      </c>
      <c r="B25" s="18">
        <f>SUM(B20:B24)</f>
        <v>0</v>
      </c>
      <c r="C25" s="18">
        <f t="shared" ref="C25:J25" si="7">SUM(C20:C24)</f>
        <v>0</v>
      </c>
      <c r="D25" s="18">
        <f t="shared" si="7"/>
        <v>0</v>
      </c>
      <c r="E25" s="18">
        <f t="shared" si="7"/>
        <v>0</v>
      </c>
      <c r="F25" s="18">
        <f t="shared" si="7"/>
        <v>0</v>
      </c>
      <c r="G25" s="18">
        <f t="shared" si="7"/>
        <v>0</v>
      </c>
      <c r="H25" s="18">
        <f t="shared" si="7"/>
        <v>0</v>
      </c>
      <c r="I25" s="18">
        <f t="shared" si="7"/>
        <v>0</v>
      </c>
      <c r="J25" s="18">
        <f t="shared" si="7"/>
        <v>0</v>
      </c>
      <c r="K25" s="1156">
        <f>SUM(K20:K24)</f>
        <v>0</v>
      </c>
      <c r="N25" s="3487"/>
      <c r="O25" s="3489"/>
      <c r="Q25" s="92">
        <v>5</v>
      </c>
      <c r="R25" s="856">
        <f>-SUM(B32:F32)</f>
        <v>0</v>
      </c>
      <c r="S25" s="856">
        <f>SUM(B33:F33)+R25</f>
        <v>0</v>
      </c>
      <c r="Z25" s="1631" t="s">
        <v>4362</v>
      </c>
      <c r="AA25" s="1633">
        <v>25</v>
      </c>
    </row>
    <row r="26" spans="1:27" ht="13.4" customHeight="1">
      <c r="A26" s="340" t="s">
        <v>1484</v>
      </c>
      <c r="B26" s="341">
        <f>IF('Part II-Sources of Funds'!$P$40="", 0,-'Part II-Sources of Funds'!$P$40)</f>
        <v>0</v>
      </c>
      <c r="C26" s="341">
        <f>IF('Part II-Sources of Funds'!$P$40="", 0,-'Part II-Sources of Funds'!$P$40)</f>
        <v>0</v>
      </c>
      <c r="D26" s="341">
        <f>IF('Part II-Sources of Funds'!$P$40="", 0,-'Part II-Sources of Funds'!$P$40)</f>
        <v>0</v>
      </c>
      <c r="E26" s="341">
        <f>IF('Part II-Sources of Funds'!$P$40="", 0,-'Part II-Sources of Funds'!$P$40)</f>
        <v>0</v>
      </c>
      <c r="F26" s="341">
        <f>IF('Part II-Sources of Funds'!$P$40="", 0,-'Part II-Sources of Funds'!$P$40)</f>
        <v>0</v>
      </c>
      <c r="G26" s="341">
        <f>IF('Part II-Sources of Funds'!$P$40="", 0,-'Part II-Sources of Funds'!$P$40)</f>
        <v>0</v>
      </c>
      <c r="H26" s="341">
        <f>IF('Part II-Sources of Funds'!$P$40="", 0,-'Part II-Sources of Funds'!$P$40)</f>
        <v>0</v>
      </c>
      <c r="I26" s="341">
        <f>IF('Part II-Sources of Funds'!$P$40="", 0,-'Part II-Sources of Funds'!$P$40)</f>
        <v>0</v>
      </c>
      <c r="J26" s="341">
        <f>IF('Part II-Sources of Funds'!$P$40="", 0,-'Part II-Sources of Funds'!$P$40)</f>
        <v>0</v>
      </c>
      <c r="K26" s="341">
        <f>IF('Part II-Sources of Funds'!$P$40="", 0,-'Part II-Sources of Funds'!$P$40)</f>
        <v>0</v>
      </c>
      <c r="N26" s="3487"/>
      <c r="O26" s="3489"/>
      <c r="Q26" s="92">
        <v>6</v>
      </c>
      <c r="R26" s="856">
        <f>-SUM(B32:G32)</f>
        <v>0</v>
      </c>
      <c r="S26" s="856">
        <f>SUM(B33:G33)+R26</f>
        <v>0</v>
      </c>
      <c r="Z26" s="1631" t="s">
        <v>4362</v>
      </c>
      <c r="AA26" s="1633">
        <v>26</v>
      </c>
    </row>
    <row r="27" spans="1:27" ht="13.4"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7"/>
      <c r="O27" s="3489"/>
      <c r="Q27" s="92">
        <v>7</v>
      </c>
      <c r="R27" s="856">
        <f>-SUM(B32:H32)</f>
        <v>0</v>
      </c>
      <c r="S27" s="856">
        <f>SUM(B33:H33)+R27</f>
        <v>0</v>
      </c>
      <c r="Z27" s="1631" t="s">
        <v>4362</v>
      </c>
      <c r="AA27" s="1633">
        <v>27</v>
      </c>
    </row>
    <row r="28" spans="1:27" ht="13.4"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7"/>
      <c r="O28" s="3489"/>
      <c r="Q28" s="92">
        <v>8</v>
      </c>
      <c r="R28" s="856">
        <f>-SUM(B32:I32)</f>
        <v>0</v>
      </c>
      <c r="S28" s="856">
        <f>SUM(B33:I33)+R28</f>
        <v>0</v>
      </c>
      <c r="Z28" s="1631" t="s">
        <v>4362</v>
      </c>
      <c r="AA28" s="1633">
        <v>28</v>
      </c>
    </row>
    <row r="29" spans="1:27" ht="13.4" customHeight="1">
      <c r="A29" s="340" t="s">
        <v>3203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0</v>
      </c>
      <c r="S29" s="856">
        <f>SUM(B33:J33)+R29</f>
        <v>0</v>
      </c>
      <c r="Z29" s="1631" t="s">
        <v>4362</v>
      </c>
      <c r="AA29" s="1633">
        <v>29</v>
      </c>
    </row>
    <row r="30" spans="1:27" ht="13.4" customHeight="1">
      <c r="A30" s="17" t="s">
        <v>710</v>
      </c>
      <c r="B30" s="138"/>
      <c r="C30" s="138"/>
      <c r="D30" s="138"/>
      <c r="E30" s="138"/>
      <c r="F30" s="138"/>
      <c r="G30" s="138"/>
      <c r="H30" s="138"/>
      <c r="I30" s="138"/>
      <c r="J30" s="138"/>
      <c r="K30" s="138"/>
      <c r="N30" s="3487"/>
      <c r="O30" s="3489"/>
      <c r="Q30" s="92">
        <v>10</v>
      </c>
      <c r="R30" s="856">
        <f>-SUM(B32:K32)</f>
        <v>0</v>
      </c>
      <c r="S30" s="856">
        <f>SUM(B33:K33)+R30</f>
        <v>0</v>
      </c>
      <c r="Z30" s="1631" t="s">
        <v>4362</v>
      </c>
      <c r="AA30" s="1633">
        <v>30</v>
      </c>
    </row>
    <row r="31" spans="1:27" ht="13.4" customHeight="1">
      <c r="A31" s="340" t="s">
        <v>1094</v>
      </c>
      <c r="B31" s="894">
        <f>-$G$6</f>
        <v>0</v>
      </c>
      <c r="C31" s="894">
        <f t="shared" ref="C31:K31" si="8">+B31</f>
        <v>0</v>
      </c>
      <c r="D31" s="894">
        <f t="shared" si="8"/>
        <v>0</v>
      </c>
      <c r="E31" s="894">
        <f>+D31</f>
        <v>0</v>
      </c>
      <c r="F31" s="894">
        <f t="shared" si="8"/>
        <v>0</v>
      </c>
      <c r="G31" s="894">
        <f t="shared" si="8"/>
        <v>0</v>
      </c>
      <c r="H31" s="894">
        <f t="shared" si="8"/>
        <v>0</v>
      </c>
      <c r="I31" s="894">
        <f t="shared" si="8"/>
        <v>0</v>
      </c>
      <c r="J31" s="894">
        <f t="shared" si="8"/>
        <v>0</v>
      </c>
      <c r="K31" s="894">
        <f t="shared" si="8"/>
        <v>0</v>
      </c>
      <c r="N31" s="3487"/>
      <c r="O31" s="3489"/>
      <c r="Q31" s="92">
        <v>11</v>
      </c>
      <c r="R31" s="856">
        <f>-SUM(B32:K32)-B64</f>
        <v>0</v>
      </c>
      <c r="S31" s="856">
        <f>SUM(B33:K33)+B65+R31</f>
        <v>0</v>
      </c>
      <c r="Z31" s="1631" t="s">
        <v>4362</v>
      </c>
      <c r="AA31" s="1633">
        <v>31</v>
      </c>
    </row>
    <row r="32" spans="1:27" ht="13.4" customHeight="1">
      <c r="A32" s="340" t="s">
        <v>3276</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7"/>
      <c r="O32" s="3489"/>
      <c r="Q32" s="92">
        <v>12</v>
      </c>
      <c r="R32" s="856">
        <f>-SUM(B32:K32) - SUM(B64:C64)</f>
        <v>0</v>
      </c>
      <c r="S32" s="856">
        <f>SUM(B33:K33) + SUM(B65:C65)+R32</f>
        <v>0</v>
      </c>
      <c r="Z32" s="1631" t="s">
        <v>4362</v>
      </c>
      <c r="AA32" s="1633">
        <v>32</v>
      </c>
    </row>
    <row r="33" spans="1:27" ht="13.4" customHeight="1">
      <c r="A33" s="17" t="s">
        <v>1095</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487"/>
      <c r="O33" s="3489"/>
      <c r="Q33" s="92">
        <v>13</v>
      </c>
      <c r="R33" s="856">
        <f>-SUM(B32:K32) - SUM(B64:D64)</f>
        <v>0</v>
      </c>
      <c r="S33" s="856">
        <f>SUM(B33:K33) + SUM(B65:D65)+R33</f>
        <v>0</v>
      </c>
      <c r="Z33" s="1631" t="s">
        <v>4362</v>
      </c>
      <c r="AA33" s="1633">
        <v>33</v>
      </c>
    </row>
    <row r="34" spans="1:27" ht="13.4"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487"/>
      <c r="O34" s="3489"/>
      <c r="Q34" s="92">
        <v>14</v>
      </c>
      <c r="R34" s="856">
        <f>-SUM(B32:K32) - SUM(B64:E64)</f>
        <v>0</v>
      </c>
      <c r="S34" s="856">
        <f>SUM(B33:K33) + SUM(B65:E65)+R34</f>
        <v>0</v>
      </c>
      <c r="Z34" s="1631" t="s">
        <v>4362</v>
      </c>
      <c r="AA34" s="1633">
        <v>34</v>
      </c>
    </row>
    <row r="35" spans="1:27" ht="13.4"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7"/>
      <c r="O35" s="3489"/>
      <c r="Q35" s="92">
        <v>15</v>
      </c>
      <c r="R35" s="856">
        <f>-SUM(B32:K32) - SUM(B64:F64)</f>
        <v>0</v>
      </c>
      <c r="S35" s="856">
        <f>SUM(B33:K33) + SUM(B65:F65)+R35</f>
        <v>0</v>
      </c>
      <c r="Z35" s="1631" t="s">
        <v>4362</v>
      </c>
      <c r="AA35" s="1633">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7"/>
      <c r="O36" s="3489"/>
      <c r="Q36" s="47">
        <v>16</v>
      </c>
      <c r="R36" s="856">
        <f>-SUM(B32:K32) - SUM(B64:G64)</f>
        <v>0</v>
      </c>
      <c r="S36" s="856">
        <f>SUM(B33:K33) + SUM(B65:G65)+R36</f>
        <v>0</v>
      </c>
      <c r="Z36" s="1631" t="s">
        <v>4362</v>
      </c>
      <c r="AA36" s="1633">
        <v>36</v>
      </c>
    </row>
    <row r="37" spans="1:27" ht="13.4"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7"/>
      <c r="O37" s="3489"/>
      <c r="Q37" s="47">
        <v>17</v>
      </c>
      <c r="R37" s="856">
        <f>-SUM(B32:K32) - SUM(B64:H64)</f>
        <v>0</v>
      </c>
      <c r="S37" s="856">
        <f>SUM(B33:K33) + SUM(B65:H65)+R37</f>
        <v>0</v>
      </c>
      <c r="Z37" s="1631" t="s">
        <v>4362</v>
      </c>
      <c r="AA37" s="1633">
        <v>37</v>
      </c>
    </row>
    <row r="38" spans="1:27" ht="13.4" customHeight="1">
      <c r="A38" s="340" t="s">
        <v>3130</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487"/>
      <c r="O38" s="3489"/>
      <c r="Q38" s="47">
        <v>18</v>
      </c>
      <c r="R38" s="856">
        <f>-SUM(B32:K32) - SUM(B64:I64)</f>
        <v>0</v>
      </c>
      <c r="S38" s="856">
        <f>SUM(B33:K33) + SUM(B65:I65)+R38</f>
        <v>0</v>
      </c>
      <c r="Z38" s="1631" t="s">
        <v>4362</v>
      </c>
      <c r="AA38" s="1633">
        <v>38</v>
      </c>
    </row>
    <row r="39" spans="1:27" ht="13.4" customHeight="1">
      <c r="A39" s="17" t="s">
        <v>717</v>
      </c>
      <c r="B39" s="220" t="str">
        <f t="shared" ref="B39:K39" si="15">IF(OR(B22="Choose mgt fee",B22="Choose One!"),"",(B15+B16+B17+B18+B19) / -(B21+B22+B23))</f>
        <v/>
      </c>
      <c r="C39" s="220" t="str">
        <f t="shared" si="15"/>
        <v/>
      </c>
      <c r="D39" s="220" t="str">
        <f t="shared" si="15"/>
        <v/>
      </c>
      <c r="E39" s="220" t="str">
        <f t="shared" si="15"/>
        <v/>
      </c>
      <c r="F39" s="220" t="str">
        <f t="shared" si="15"/>
        <v/>
      </c>
      <c r="G39" s="220" t="str">
        <f t="shared" si="15"/>
        <v/>
      </c>
      <c r="H39" s="220" t="str">
        <f t="shared" si="15"/>
        <v/>
      </c>
      <c r="I39" s="220" t="str">
        <f t="shared" si="15"/>
        <v/>
      </c>
      <c r="J39" s="220" t="str">
        <f t="shared" si="15"/>
        <v/>
      </c>
      <c r="K39" s="221" t="str">
        <f t="shared" si="15"/>
        <v/>
      </c>
      <c r="N39" s="3487"/>
      <c r="O39" s="3489"/>
      <c r="Q39" s="92">
        <v>19</v>
      </c>
      <c r="R39" s="856">
        <f>-SUM(B32:K32) - SUM(B64:J64)</f>
        <v>0</v>
      </c>
      <c r="S39" s="856">
        <f>SUM(B33:K33) + SUM(B65:J65)+R39</f>
        <v>0</v>
      </c>
      <c r="Z39" s="1631" t="s">
        <v>4362</v>
      </c>
      <c r="AA39" s="1633">
        <v>39</v>
      </c>
    </row>
    <row r="40" spans="1:27" ht="13.4" customHeight="1">
      <c r="A40" s="340" t="s">
        <v>2399</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487"/>
      <c r="O40" s="3489"/>
      <c r="Q40" s="92">
        <v>20</v>
      </c>
      <c r="R40" s="856">
        <f>-SUM(B32:K32) - SUM(B64:K64)</f>
        <v>0</v>
      </c>
      <c r="S40" s="856">
        <f>SUM(B33:K33) + SUM(B65:K65)+R40</f>
        <v>0</v>
      </c>
      <c r="Z40" s="1631" t="s">
        <v>4362</v>
      </c>
      <c r="AA40" s="1633">
        <v>40</v>
      </c>
    </row>
    <row r="41" spans="1:27" ht="13.4"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7"/>
      <c r="O41" s="3489"/>
      <c r="Z41" s="1631" t="s">
        <v>4362</v>
      </c>
      <c r="AA41" s="1633">
        <v>41</v>
      </c>
    </row>
    <row r="42" spans="1:27" ht="13.4"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7"/>
      <c r="O42" s="3489"/>
      <c r="Z42" s="1631" t="s">
        <v>4362</v>
      </c>
      <c r="AA42" s="1633">
        <v>42</v>
      </c>
    </row>
    <row r="43" spans="1:27" ht="13.4"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4362</v>
      </c>
      <c r="AA43" s="1633">
        <v>43</v>
      </c>
    </row>
    <row r="44" spans="1:27" ht="13.4" customHeight="1">
      <c r="A44" s="340" t="s">
        <v>3277</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464"/>
      <c r="O44" s="3466"/>
      <c r="Z44" s="1631" t="s">
        <v>4362</v>
      </c>
      <c r="AA44" s="1633">
        <v>44</v>
      </c>
    </row>
    <row r="45" spans="1:27" ht="4.4000000000000004"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4" t="s">
        <v>2402</v>
      </c>
      <c r="O46" s="3154"/>
      <c r="AA46" s="1633">
        <v>46</v>
      </c>
    </row>
    <row r="47" spans="1:27" ht="13.4" customHeight="1">
      <c r="A47" s="14" t="s">
        <v>2209</v>
      </c>
      <c r="B47" s="15">
        <f t="shared" ref="B47:K47" si="17">$B$15*(1+$B$6)^(B46-1)</f>
        <v>0</v>
      </c>
      <c r="C47" s="15">
        <f t="shared" si="17"/>
        <v>0</v>
      </c>
      <c r="D47" s="15">
        <f t="shared" si="17"/>
        <v>0</v>
      </c>
      <c r="E47" s="15">
        <f t="shared" si="17"/>
        <v>0</v>
      </c>
      <c r="F47" s="15">
        <f t="shared" si="17"/>
        <v>0</v>
      </c>
      <c r="G47" s="15">
        <f t="shared" si="17"/>
        <v>0</v>
      </c>
      <c r="H47" s="15">
        <f t="shared" si="17"/>
        <v>0</v>
      </c>
      <c r="I47" s="15">
        <f t="shared" si="17"/>
        <v>0</v>
      </c>
      <c r="J47" s="15">
        <f t="shared" si="17"/>
        <v>0</v>
      </c>
      <c r="K47" s="16">
        <f t="shared" si="17"/>
        <v>0</v>
      </c>
      <c r="N47" s="3507"/>
      <c r="O47" s="3509"/>
      <c r="Z47" s="1631" t="s">
        <v>4363</v>
      </c>
      <c r="AA47" s="1633">
        <v>47</v>
      </c>
    </row>
    <row r="48" spans="1:27" ht="13.4" customHeight="1">
      <c r="A48" s="17" t="s">
        <v>951</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487"/>
      <c r="O48" s="3489"/>
      <c r="Z48" s="1631" t="s">
        <v>4363</v>
      </c>
      <c r="AA48" s="1633">
        <v>48</v>
      </c>
    </row>
    <row r="49" spans="1:27" ht="13.4" customHeight="1">
      <c r="A49" s="17" t="s">
        <v>2210</v>
      </c>
      <c r="B49" s="18">
        <f t="shared" ref="B49:K49" si="19">-(B47+B48)*$B$9</f>
        <v>0</v>
      </c>
      <c r="C49" s="18">
        <f t="shared" si="19"/>
        <v>0</v>
      </c>
      <c r="D49" s="18">
        <f t="shared" si="19"/>
        <v>0</v>
      </c>
      <c r="E49" s="18">
        <f t="shared" si="19"/>
        <v>0</v>
      </c>
      <c r="F49" s="18">
        <f t="shared" si="19"/>
        <v>0</v>
      </c>
      <c r="G49" s="18">
        <f t="shared" si="19"/>
        <v>0</v>
      </c>
      <c r="H49" s="18">
        <f t="shared" si="19"/>
        <v>0</v>
      </c>
      <c r="I49" s="18">
        <f t="shared" si="19"/>
        <v>0</v>
      </c>
      <c r="J49" s="18">
        <f t="shared" si="19"/>
        <v>0</v>
      </c>
      <c r="K49" s="19">
        <f t="shared" si="19"/>
        <v>0</v>
      </c>
      <c r="N49" s="3487"/>
      <c r="O49" s="3489"/>
      <c r="Z49" s="1631" t="s">
        <v>4363</v>
      </c>
      <c r="AA49" s="1633">
        <v>49</v>
      </c>
    </row>
    <row r="50" spans="1:27" ht="13.4"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4363</v>
      </c>
      <c r="AA50" s="1633">
        <v>50</v>
      </c>
    </row>
    <row r="51" spans="1:27" ht="13.4"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4363</v>
      </c>
      <c r="AA51" s="1633">
        <v>51</v>
      </c>
    </row>
    <row r="52" spans="1:27" ht="13.4" customHeight="1">
      <c r="A52" s="340" t="s">
        <v>3717</v>
      </c>
      <c r="B52" s="18">
        <f t="shared" ref="B52:K52" si="20">SUM(B47:B51)</f>
        <v>0</v>
      </c>
      <c r="C52" s="18">
        <f t="shared" si="20"/>
        <v>0</v>
      </c>
      <c r="D52" s="18">
        <f t="shared" si="20"/>
        <v>0</v>
      </c>
      <c r="E52" s="18">
        <f t="shared" si="20"/>
        <v>0</v>
      </c>
      <c r="F52" s="18">
        <f t="shared" si="20"/>
        <v>0</v>
      </c>
      <c r="G52" s="18">
        <f t="shared" si="20"/>
        <v>0</v>
      </c>
      <c r="H52" s="18">
        <f t="shared" si="20"/>
        <v>0</v>
      </c>
      <c r="I52" s="18">
        <f t="shared" si="20"/>
        <v>0</v>
      </c>
      <c r="J52" s="18">
        <f t="shared" si="20"/>
        <v>0</v>
      </c>
      <c r="K52" s="19">
        <f t="shared" si="20"/>
        <v>0</v>
      </c>
      <c r="N52" s="3487"/>
      <c r="O52" s="3489"/>
      <c r="Z52" s="1631" t="s">
        <v>4363</v>
      </c>
      <c r="AA52" s="1633">
        <v>52</v>
      </c>
    </row>
    <row r="53" spans="1:27" ht="13.4" customHeight="1">
      <c r="A53" s="17" t="s">
        <v>571</v>
      </c>
      <c r="B53" s="18">
        <f t="shared" ref="B53:K53" si="21">$B$21*(1+$B$7)^(B46-1)</f>
        <v>0</v>
      </c>
      <c r="C53" s="18">
        <f t="shared" si="21"/>
        <v>0</v>
      </c>
      <c r="D53" s="18">
        <f t="shared" si="21"/>
        <v>0</v>
      </c>
      <c r="E53" s="18">
        <f t="shared" si="21"/>
        <v>0</v>
      </c>
      <c r="F53" s="18">
        <f t="shared" si="21"/>
        <v>0</v>
      </c>
      <c r="G53" s="18">
        <f t="shared" si="21"/>
        <v>0</v>
      </c>
      <c r="H53" s="18">
        <f t="shared" si="21"/>
        <v>0</v>
      </c>
      <c r="I53" s="18">
        <f t="shared" si="21"/>
        <v>0</v>
      </c>
      <c r="J53" s="18">
        <f t="shared" si="21"/>
        <v>0</v>
      </c>
      <c r="K53" s="19">
        <f t="shared" si="21"/>
        <v>0</v>
      </c>
      <c r="N53" s="3487"/>
      <c r="O53" s="3489"/>
      <c r="Z53" s="1631" t="s">
        <v>4363</v>
      </c>
      <c r="AA53" s="1633">
        <v>53</v>
      </c>
    </row>
    <row r="54" spans="1:27" ht="13.4" customHeight="1">
      <c r="A54" s="17" t="s">
        <v>1049</v>
      </c>
      <c r="B54" s="18" t="str">
        <f>IF(AND('Part VI-Pro Forma'!$G$9="Yes",'Part VI-Pro Forma'!$G$10="Yes"),"Choose One!",IF('Part VI-Pro Forma'!$G$9="Yes",ROUND((-$K$9*(1+'Part VI-Pro Forma'!$B$7)^('Part VI-Pro Forma'!B46-1)),),IF('Part VI-Pro Forma'!$G$10="Yes",ROUND((-(SUM(B47:B50)*'Part VI-Pro Forma'!$K$10)),),"Choose mgt fee")))</f>
        <v>Choose mgt fee</v>
      </c>
      <c r="C54" s="18" t="str">
        <f>IF(AND('Part VI-Pro Forma'!$G$9="Yes",'Part VI-Pro Forma'!$G$10="Yes"),"Choose One!",IF('Part VI-Pro Forma'!$G$9="Yes",ROUND((-$K$9*(1+'Part VI-Pro Forma'!$B$7)^('Part VI-Pro Forma'!C46-1)),),IF('Part VI-Pro Forma'!$G$10="Yes",ROUND((-(SUM(C47:C50)*'Part VI-Pro Forma'!$K$10)),),"Choose mgt fee")))</f>
        <v>Choose mgt fee</v>
      </c>
      <c r="D54" s="18" t="str">
        <f>IF(AND('Part VI-Pro Forma'!$G$9="Yes",'Part VI-Pro Forma'!$G$10="Yes"),"Choose One!",IF('Part VI-Pro Forma'!$G$9="Yes",ROUND((-$K$9*(1+'Part VI-Pro Forma'!$B$7)^('Part VI-Pro Forma'!D46-1)),),IF('Part VI-Pro Forma'!$G$10="Yes",ROUND((-(SUM(D47:D50)*'Part VI-Pro Forma'!$K$10)),),"Choose mgt fee")))</f>
        <v>Choose mgt fee</v>
      </c>
      <c r="E54" s="18" t="str">
        <f>IF(AND('Part VI-Pro Forma'!$G$9="Yes",'Part VI-Pro Forma'!$G$10="Yes"),"Choose One!",IF('Part VI-Pro Forma'!$G$9="Yes",ROUND((-$K$9*(1+'Part VI-Pro Forma'!$B$7)^('Part VI-Pro Forma'!E46-1)),),IF('Part VI-Pro Forma'!$G$10="Yes",ROUND((-(SUM(E47:E50)*'Part VI-Pro Forma'!$K$10)),),"Choose mgt fee")))</f>
        <v>Choose mgt fee</v>
      </c>
      <c r="F54" s="18" t="str">
        <f>IF(AND('Part VI-Pro Forma'!$G$9="Yes",'Part VI-Pro Forma'!$G$10="Yes"),"Choose One!",IF('Part VI-Pro Forma'!$G$9="Yes",ROUND((-$K$9*(1+'Part VI-Pro Forma'!$B$7)^('Part VI-Pro Forma'!F46-1)),),IF('Part VI-Pro Forma'!$G$10="Yes",ROUND((-(SUM(F47:F50)*'Part VI-Pro Forma'!$K$10)),),"Choose mgt fee")))</f>
        <v>Choose mgt fee</v>
      </c>
      <c r="G54" s="18" t="str">
        <f>IF(AND('Part VI-Pro Forma'!$G$9="Yes",'Part VI-Pro Forma'!$G$10="Yes"),"Choose One!",IF('Part VI-Pro Forma'!$G$9="Yes",ROUND((-$K$9*(1+'Part VI-Pro Forma'!$B$7)^('Part VI-Pro Forma'!G46-1)),),IF('Part VI-Pro Forma'!$G$10="Yes",ROUND((-(SUM(G47:G50)*'Part VI-Pro Forma'!$K$10)),),"Choose mgt fee")))</f>
        <v>Choose mgt fee</v>
      </c>
      <c r="H54" s="18" t="str">
        <f>IF(AND('Part VI-Pro Forma'!$G$9="Yes",'Part VI-Pro Forma'!$G$10="Yes"),"Choose One!",IF('Part VI-Pro Forma'!$G$9="Yes",ROUND((-$K$9*(1+'Part VI-Pro Forma'!$B$7)^('Part VI-Pro Forma'!H46-1)),),IF('Part VI-Pro Forma'!$G$10="Yes",ROUND((-(SUM(H47:H50)*'Part VI-Pro Forma'!$K$10)),),"Choose mgt fee")))</f>
        <v>Choose mgt fee</v>
      </c>
      <c r="I54" s="18" t="str">
        <f>IF(AND('Part VI-Pro Forma'!$G$9="Yes",'Part VI-Pro Forma'!$G$10="Yes"),"Choose One!",IF('Part VI-Pro Forma'!$G$9="Yes",ROUND((-$K$9*(1+'Part VI-Pro Forma'!$B$7)^('Part VI-Pro Forma'!I46-1)),),IF('Part VI-Pro Forma'!$G$10="Yes",ROUND((-(SUM(I47:I50)*'Part VI-Pro Forma'!$K$10)),),"Choose mgt fee")))</f>
        <v>Choose mgt fee</v>
      </c>
      <c r="J54" s="18" t="str">
        <f>IF(AND('Part VI-Pro Forma'!$G$9="Yes",'Part VI-Pro Forma'!$G$10="Yes"),"Choose One!",IF('Part VI-Pro Forma'!$G$9="Yes",ROUND((-$K$9*(1+'Part VI-Pro Forma'!$B$7)^('Part VI-Pro Forma'!J46-1)),),IF('Part VI-Pro Forma'!$G$10="Yes",ROUND((-(SUM(J47:J50)*'Part VI-Pro Forma'!$K$10)),),"Choose mgt fee")))</f>
        <v>Choose mgt fee</v>
      </c>
      <c r="K54" s="19" t="str">
        <f>IF(AND('Part VI-Pro Forma'!$G$9="Yes",'Part VI-Pro Forma'!$G$10="Yes"),"Choose One!",IF('Part VI-Pro Forma'!$G$9="Yes",ROUND((-$K$9*(1+'Part VI-Pro Forma'!$B$7)^('Part VI-Pro Forma'!K46-1)),),IF('Part VI-Pro Forma'!$G$10="Yes",ROUND((-(SUM(K47:K50)*'Part VI-Pro Forma'!$K$10)),),"Choose mgt fee")))</f>
        <v>Choose mgt fee</v>
      </c>
      <c r="N54" s="3487"/>
      <c r="O54" s="3489"/>
      <c r="Z54" s="1631" t="s">
        <v>4363</v>
      </c>
      <c r="AA54" s="1633">
        <v>54</v>
      </c>
    </row>
    <row r="55" spans="1:27" ht="13.4" customHeight="1">
      <c r="A55" s="17" t="s">
        <v>1127</v>
      </c>
      <c r="B55" s="18">
        <f t="shared" ref="B55:K55" si="22">$B$23*(1+$B$8)^(B46-1)</f>
        <v>0</v>
      </c>
      <c r="C55" s="18">
        <f t="shared" si="22"/>
        <v>0</v>
      </c>
      <c r="D55" s="18">
        <f t="shared" si="22"/>
        <v>0</v>
      </c>
      <c r="E55" s="18">
        <f t="shared" si="22"/>
        <v>0</v>
      </c>
      <c r="F55" s="18">
        <f t="shared" si="22"/>
        <v>0</v>
      </c>
      <c r="G55" s="18">
        <f t="shared" si="22"/>
        <v>0</v>
      </c>
      <c r="H55" s="18">
        <f t="shared" si="22"/>
        <v>0</v>
      </c>
      <c r="I55" s="18">
        <f t="shared" si="22"/>
        <v>0</v>
      </c>
      <c r="J55" s="18">
        <f t="shared" si="22"/>
        <v>0</v>
      </c>
      <c r="K55" s="19">
        <f t="shared" si="22"/>
        <v>0</v>
      </c>
      <c r="N55" s="3487"/>
      <c r="O55" s="3489"/>
      <c r="Q55" s="92"/>
      <c r="R55" s="856"/>
      <c r="S55" s="856"/>
      <c r="Z55" s="1631" t="s">
        <v>4363</v>
      </c>
      <c r="AA55" s="1633">
        <v>55</v>
      </c>
    </row>
    <row r="56" spans="1:27" ht="13.4" customHeight="1">
      <c r="A56" s="340" t="s">
        <v>3716</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7"/>
      <c r="O56" s="3489"/>
      <c r="Z56" s="1631" t="s">
        <v>4363</v>
      </c>
      <c r="AA56" s="1633">
        <v>56</v>
      </c>
    </row>
    <row r="57" spans="1:27" ht="13.4" customHeight="1">
      <c r="A57" s="17" t="s">
        <v>1128</v>
      </c>
      <c r="B57" s="18">
        <f t="shared" ref="B57:K57" si="23">SUM(B52:B56)</f>
        <v>0</v>
      </c>
      <c r="C57" s="18">
        <f t="shared" si="23"/>
        <v>0</v>
      </c>
      <c r="D57" s="18">
        <f t="shared" si="23"/>
        <v>0</v>
      </c>
      <c r="E57" s="18">
        <f t="shared" si="23"/>
        <v>0</v>
      </c>
      <c r="F57" s="18">
        <f t="shared" si="23"/>
        <v>0</v>
      </c>
      <c r="G57" s="18">
        <f t="shared" si="23"/>
        <v>0</v>
      </c>
      <c r="H57" s="18">
        <f t="shared" si="23"/>
        <v>0</v>
      </c>
      <c r="I57" s="18">
        <f t="shared" si="23"/>
        <v>0</v>
      </c>
      <c r="J57" s="18">
        <f t="shared" si="23"/>
        <v>0</v>
      </c>
      <c r="K57" s="1156">
        <f t="shared" si="23"/>
        <v>0</v>
      </c>
      <c r="N57" s="3487"/>
      <c r="O57" s="3489"/>
      <c r="Z57" s="1631" t="s">
        <v>4363</v>
      </c>
      <c r="AA57" s="1633">
        <v>57</v>
      </c>
    </row>
    <row r="58" spans="1:27" ht="13.4" customHeight="1">
      <c r="A58" s="17" t="str">
        <f>$A26</f>
        <v>Mortgage A</v>
      </c>
      <c r="B58" s="341">
        <f>IF('Part II-Sources of Funds'!$P$40="", 0,-'Part II-Sources of Funds'!$P$40)</f>
        <v>0</v>
      </c>
      <c r="C58" s="341">
        <f>IF('Part II-Sources of Funds'!$P$40="", 0,-'Part II-Sources of Funds'!$P$40)</f>
        <v>0</v>
      </c>
      <c r="D58" s="341">
        <f>IF('Part II-Sources of Funds'!$P$40="", 0,-'Part II-Sources of Funds'!$P$40)</f>
        <v>0</v>
      </c>
      <c r="E58" s="341">
        <f>IF('Part II-Sources of Funds'!$P$40="", 0,-'Part II-Sources of Funds'!$P$40)</f>
        <v>0</v>
      </c>
      <c r="F58" s="341">
        <f>IF('Part II-Sources of Funds'!$P$40="", 0,-'Part II-Sources of Funds'!$P$40)</f>
        <v>0</v>
      </c>
      <c r="G58" s="341">
        <f>IF('Part II-Sources of Funds'!$P$40="", 0,-'Part II-Sources of Funds'!$P$40)</f>
        <v>0</v>
      </c>
      <c r="H58" s="341">
        <f>IF('Part II-Sources of Funds'!$P$40="", 0,-'Part II-Sources of Funds'!$P$40)</f>
        <v>0</v>
      </c>
      <c r="I58" s="341">
        <f>IF('Part II-Sources of Funds'!$P$40="", 0,-'Part II-Sources of Funds'!$P$40)</f>
        <v>0</v>
      </c>
      <c r="J58" s="341">
        <f>IF('Part II-Sources of Funds'!$P$40="", 0,-'Part II-Sources of Funds'!$P$40)</f>
        <v>0</v>
      </c>
      <c r="K58" s="341">
        <f>IF('Part II-Sources of Funds'!$P$40="", 0,-'Part II-Sources of Funds'!$P$40)</f>
        <v>0</v>
      </c>
      <c r="N58" s="3487"/>
      <c r="O58" s="3489"/>
      <c r="Z58" s="1631" t="s">
        <v>4363</v>
      </c>
      <c r="AA58" s="1633">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7"/>
      <c r="O59" s="3489"/>
      <c r="Z59" s="1631" t="s">
        <v>4363</v>
      </c>
      <c r="AA59" s="1633">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7"/>
      <c r="O60" s="3489"/>
      <c r="Z60" s="1631" t="s">
        <v>4363</v>
      </c>
      <c r="AA60" s="1633">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4363</v>
      </c>
      <c r="AA61" s="1633">
        <v>61</v>
      </c>
    </row>
    <row r="62" spans="1:27" ht="13.4" customHeight="1">
      <c r="A62" s="17" t="s">
        <v>710</v>
      </c>
      <c r="B62" s="138"/>
      <c r="C62" s="138"/>
      <c r="D62" s="138"/>
      <c r="E62" s="138"/>
      <c r="F62" s="138"/>
      <c r="G62" s="138"/>
      <c r="H62" s="138"/>
      <c r="I62" s="138"/>
      <c r="J62" s="138"/>
      <c r="K62" s="138"/>
      <c r="N62" s="3487"/>
      <c r="O62" s="3489"/>
      <c r="Q62" s="92"/>
      <c r="R62" s="856"/>
      <c r="Z62" s="1631" t="s">
        <v>4363</v>
      </c>
      <c r="AA62" s="1633">
        <v>62</v>
      </c>
    </row>
    <row r="63" spans="1:27" ht="13.4" customHeight="1">
      <c r="A63" s="340" t="s">
        <v>1094</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487"/>
      <c r="O63" s="3489"/>
      <c r="Z63" s="1631" t="s">
        <v>4363</v>
      </c>
      <c r="AA63" s="1633">
        <v>63</v>
      </c>
    </row>
    <row r="64" spans="1:27" ht="13.4" customHeight="1">
      <c r="A64" s="340" t="s">
        <v>3276</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7"/>
      <c r="O64" s="3489"/>
      <c r="Z64" s="1631" t="s">
        <v>4363</v>
      </c>
      <c r="AA64" s="1633">
        <v>64</v>
      </c>
    </row>
    <row r="65" spans="1:27" ht="13.4" customHeight="1">
      <c r="A65" s="17" t="s">
        <v>1095</v>
      </c>
      <c r="B65" s="18">
        <f t="shared" ref="B65:K65" si="25">SUM(B57:B64)</f>
        <v>0</v>
      </c>
      <c r="C65" s="18">
        <f t="shared" si="25"/>
        <v>0</v>
      </c>
      <c r="D65" s="18">
        <f t="shared" si="25"/>
        <v>0</v>
      </c>
      <c r="E65" s="18">
        <f t="shared" si="25"/>
        <v>0</v>
      </c>
      <c r="F65" s="18">
        <f t="shared" si="25"/>
        <v>0</v>
      </c>
      <c r="G65" s="18">
        <f t="shared" si="25"/>
        <v>0</v>
      </c>
      <c r="H65" s="18">
        <f t="shared" si="25"/>
        <v>0</v>
      </c>
      <c r="I65" s="18">
        <f t="shared" si="25"/>
        <v>0</v>
      </c>
      <c r="J65" s="18">
        <f t="shared" si="25"/>
        <v>0</v>
      </c>
      <c r="K65" s="496">
        <f t="shared" si="25"/>
        <v>0</v>
      </c>
      <c r="N65" s="3487"/>
      <c r="O65" s="3489"/>
      <c r="Z65" s="1631" t="s">
        <v>4363</v>
      </c>
      <c r="AA65" s="1633">
        <v>65</v>
      </c>
    </row>
    <row r="66" spans="1:27" ht="13.4"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87"/>
      <c r="O66" s="3489"/>
      <c r="Z66" s="1631" t="s">
        <v>4363</v>
      </c>
      <c r="AA66" s="1633">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7"/>
      <c r="O67" s="3489"/>
      <c r="Z67" s="1631" t="s">
        <v>4363</v>
      </c>
      <c r="AA67" s="1633">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7"/>
      <c r="O68" s="3489"/>
      <c r="Z68" s="1631" t="s">
        <v>4363</v>
      </c>
      <c r="AA68" s="1633">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7"/>
      <c r="O69" s="3489"/>
      <c r="Z69" s="1631" t="s">
        <v>4363</v>
      </c>
      <c r="AA69" s="1633">
        <v>69</v>
      </c>
    </row>
    <row r="70" spans="1:27" ht="13.4" customHeight="1">
      <c r="A70" s="340" t="s">
        <v>3130</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87"/>
      <c r="O70" s="3489"/>
      <c r="Z70" s="1631" t="s">
        <v>4363</v>
      </c>
      <c r="AA70" s="1633">
        <v>70</v>
      </c>
    </row>
    <row r="71" spans="1:27" ht="13.4" customHeight="1">
      <c r="A71" s="17" t="s">
        <v>717</v>
      </c>
      <c r="B71" s="220" t="str">
        <f t="shared" ref="B71:K71" si="31">IF(OR(B54="Choose mgt fee",B54="Choose One!"),"",(B47+B48+B49+B50+B51) / -(B53+B54+B55))</f>
        <v/>
      </c>
      <c r="C71" s="220" t="str">
        <f t="shared" si="31"/>
        <v/>
      </c>
      <c r="D71" s="220" t="str">
        <f t="shared" si="31"/>
        <v/>
      </c>
      <c r="E71" s="220" t="str">
        <f t="shared" si="31"/>
        <v/>
      </c>
      <c r="F71" s="220" t="str">
        <f t="shared" si="31"/>
        <v/>
      </c>
      <c r="G71" s="220" t="str">
        <f t="shared" si="31"/>
        <v/>
      </c>
      <c r="H71" s="220" t="str">
        <f t="shared" si="31"/>
        <v/>
      </c>
      <c r="I71" s="220" t="str">
        <f t="shared" si="31"/>
        <v/>
      </c>
      <c r="J71" s="220" t="str">
        <f t="shared" si="31"/>
        <v/>
      </c>
      <c r="K71" s="221" t="str">
        <f t="shared" si="31"/>
        <v/>
      </c>
      <c r="N71" s="3487"/>
      <c r="O71" s="3489"/>
      <c r="Z71" s="1631" t="s">
        <v>4363</v>
      </c>
      <c r="AA71" s="1633">
        <v>71</v>
      </c>
    </row>
    <row r="72" spans="1:27" ht="13.4" customHeight="1">
      <c r="A72" s="340" t="s">
        <v>2399</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487"/>
      <c r="O72" s="3489"/>
      <c r="Z72" s="1631" t="s">
        <v>4363</v>
      </c>
      <c r="AA72" s="1633">
        <v>72</v>
      </c>
    </row>
    <row r="73" spans="1:27" ht="13.4"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7"/>
      <c r="O73" s="3489"/>
      <c r="Z73" s="1631" t="s">
        <v>4363</v>
      </c>
      <c r="AA73" s="1633">
        <v>73</v>
      </c>
    </row>
    <row r="74" spans="1:27" ht="13.4"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7"/>
      <c r="O74" s="3489"/>
      <c r="Z74" s="1631" t="s">
        <v>4363</v>
      </c>
      <c r="AA74" s="1633">
        <v>74</v>
      </c>
    </row>
    <row r="75" spans="1:27" ht="13.4"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4363</v>
      </c>
      <c r="AA75" s="1633">
        <v>75</v>
      </c>
    </row>
    <row r="76" spans="1:27" ht="13.4" customHeight="1">
      <c r="A76" s="340" t="s">
        <v>3277</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4363</v>
      </c>
      <c r="AA76" s="1633">
        <v>76</v>
      </c>
    </row>
    <row r="77" spans="1:27" ht="4.4000000000000004"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4" t="s">
        <v>2403</v>
      </c>
      <c r="O78" s="3154"/>
      <c r="AA78" s="1633">
        <v>78</v>
      </c>
    </row>
    <row r="79" spans="1:27" ht="13.4" customHeight="1">
      <c r="A79" s="14" t="s">
        <v>2209</v>
      </c>
      <c r="B79" s="15">
        <f t="shared" ref="B79:K79" si="33">$B$15*(1+$B$6)^(B78-1)</f>
        <v>0</v>
      </c>
      <c r="C79" s="15">
        <f t="shared" si="33"/>
        <v>0</v>
      </c>
      <c r="D79" s="15">
        <f t="shared" si="33"/>
        <v>0</v>
      </c>
      <c r="E79" s="15">
        <f t="shared" si="33"/>
        <v>0</v>
      </c>
      <c r="F79" s="15">
        <f t="shared" si="33"/>
        <v>0</v>
      </c>
      <c r="G79" s="15">
        <f t="shared" si="33"/>
        <v>0</v>
      </c>
      <c r="H79" s="15">
        <f t="shared" si="33"/>
        <v>0</v>
      </c>
      <c r="I79" s="15">
        <f t="shared" si="33"/>
        <v>0</v>
      </c>
      <c r="J79" s="15">
        <f t="shared" si="33"/>
        <v>0</v>
      </c>
      <c r="K79" s="16">
        <f t="shared" si="33"/>
        <v>0</v>
      </c>
      <c r="N79" s="3507"/>
      <c r="O79" s="3509"/>
      <c r="Z79" s="1631" t="s">
        <v>4364</v>
      </c>
      <c r="AA79" s="1633">
        <v>79</v>
      </c>
    </row>
    <row r="80" spans="1:27" ht="13.4" customHeight="1">
      <c r="A80" s="17" t="s">
        <v>951</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487"/>
      <c r="O80" s="3489"/>
      <c r="Z80" s="1631" t="s">
        <v>4364</v>
      </c>
      <c r="AA80" s="1633">
        <v>80</v>
      </c>
    </row>
    <row r="81" spans="1:27" ht="13.4" customHeight="1">
      <c r="A81" s="17" t="s">
        <v>2210</v>
      </c>
      <c r="B81" s="18">
        <f t="shared" ref="B81:K81" si="35">-(B79+B80)*$B$9</f>
        <v>0</v>
      </c>
      <c r="C81" s="18">
        <f t="shared" si="35"/>
        <v>0</v>
      </c>
      <c r="D81" s="18">
        <f t="shared" si="35"/>
        <v>0</v>
      </c>
      <c r="E81" s="18">
        <f t="shared" si="35"/>
        <v>0</v>
      </c>
      <c r="F81" s="18">
        <f t="shared" si="35"/>
        <v>0</v>
      </c>
      <c r="G81" s="18">
        <f t="shared" si="35"/>
        <v>0</v>
      </c>
      <c r="H81" s="18">
        <f t="shared" si="35"/>
        <v>0</v>
      </c>
      <c r="I81" s="18">
        <f t="shared" si="35"/>
        <v>0</v>
      </c>
      <c r="J81" s="18">
        <f t="shared" si="35"/>
        <v>0</v>
      </c>
      <c r="K81" s="19">
        <f t="shared" si="35"/>
        <v>0</v>
      </c>
      <c r="N81" s="3487"/>
      <c r="O81" s="3489"/>
      <c r="Z81" s="1631" t="s">
        <v>4364</v>
      </c>
      <c r="AA81" s="1633">
        <v>81</v>
      </c>
    </row>
    <row r="82" spans="1:27" ht="13.4"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4364</v>
      </c>
      <c r="AA82" s="1633">
        <v>82</v>
      </c>
    </row>
    <row r="83" spans="1:27" ht="13.4"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4364</v>
      </c>
      <c r="AA83" s="1633">
        <v>83</v>
      </c>
    </row>
    <row r="84" spans="1:27" ht="13.4" customHeight="1">
      <c r="A84" s="340" t="s">
        <v>3717</v>
      </c>
      <c r="B84" s="18">
        <f t="shared" ref="B84:K84" si="36">SUM(B79:B83)</f>
        <v>0</v>
      </c>
      <c r="C84" s="18">
        <f t="shared" si="36"/>
        <v>0</v>
      </c>
      <c r="D84" s="18">
        <f t="shared" si="36"/>
        <v>0</v>
      </c>
      <c r="E84" s="18">
        <f t="shared" si="36"/>
        <v>0</v>
      </c>
      <c r="F84" s="18">
        <f t="shared" si="36"/>
        <v>0</v>
      </c>
      <c r="G84" s="18">
        <f t="shared" si="36"/>
        <v>0</v>
      </c>
      <c r="H84" s="18">
        <f t="shared" si="36"/>
        <v>0</v>
      </c>
      <c r="I84" s="18">
        <f t="shared" si="36"/>
        <v>0</v>
      </c>
      <c r="J84" s="18">
        <f t="shared" si="36"/>
        <v>0</v>
      </c>
      <c r="K84" s="19">
        <f t="shared" si="36"/>
        <v>0</v>
      </c>
      <c r="N84" s="3487"/>
      <c r="O84" s="3489"/>
      <c r="Z84" s="1631" t="s">
        <v>4364</v>
      </c>
      <c r="AA84" s="1633">
        <v>84</v>
      </c>
    </row>
    <row r="85" spans="1:27" ht="13.4" customHeight="1">
      <c r="A85" s="17" t="s">
        <v>571</v>
      </c>
      <c r="B85" s="18">
        <f t="shared" ref="B85:K85" si="37">$B$21*(1+$B$7)^(B78-1)</f>
        <v>0</v>
      </c>
      <c r="C85" s="18">
        <f t="shared" si="37"/>
        <v>0</v>
      </c>
      <c r="D85" s="18">
        <f t="shared" si="37"/>
        <v>0</v>
      </c>
      <c r="E85" s="18">
        <f t="shared" si="37"/>
        <v>0</v>
      </c>
      <c r="F85" s="18">
        <f t="shared" si="37"/>
        <v>0</v>
      </c>
      <c r="G85" s="18">
        <f t="shared" si="37"/>
        <v>0</v>
      </c>
      <c r="H85" s="18">
        <f t="shared" si="37"/>
        <v>0</v>
      </c>
      <c r="I85" s="18">
        <f t="shared" si="37"/>
        <v>0</v>
      </c>
      <c r="J85" s="18">
        <f t="shared" si="37"/>
        <v>0</v>
      </c>
      <c r="K85" s="19">
        <f t="shared" si="37"/>
        <v>0</v>
      </c>
      <c r="N85" s="3487"/>
      <c r="O85" s="3489"/>
      <c r="Z85" s="1631" t="s">
        <v>4364</v>
      </c>
      <c r="AA85" s="1633">
        <v>85</v>
      </c>
    </row>
    <row r="86" spans="1:27" ht="13.4" customHeight="1">
      <c r="A86" s="17" t="s">
        <v>1049</v>
      </c>
      <c r="B86" s="18" t="str">
        <f>IF(AND('Part VI-Pro Forma'!$G$9="Yes",'Part VI-Pro Forma'!$G$10="Yes"),"Choose One!",IF('Part VI-Pro Forma'!$G$9="Yes",ROUND((-$K$9*(1+'Part VI-Pro Forma'!$B$7)^('Part VI-Pro Forma'!B78-1)),),IF('Part VI-Pro Forma'!$G$10="Yes",ROUND((-(SUM(B79:B82)*'Part VI-Pro Forma'!$K$10)),),"Choose mgt fee")))</f>
        <v>Choose mgt fee</v>
      </c>
      <c r="C86" s="18" t="str">
        <f>IF(AND('Part VI-Pro Forma'!$G$9="Yes",'Part VI-Pro Forma'!$G$10="Yes"),"Choose One!",IF('Part VI-Pro Forma'!$G$9="Yes",ROUND((-$K$9*(1+'Part VI-Pro Forma'!$B$7)^('Part VI-Pro Forma'!C78-1)),),IF('Part VI-Pro Forma'!$G$10="Yes",ROUND((-(SUM(C79:C82)*'Part VI-Pro Forma'!$K$10)),),"Choose mgt fee")))</f>
        <v>Choose mgt fee</v>
      </c>
      <c r="D86" s="18" t="str">
        <f>IF(AND('Part VI-Pro Forma'!$G$9="Yes",'Part VI-Pro Forma'!$G$10="Yes"),"Choose One!",IF('Part VI-Pro Forma'!$G$9="Yes",ROUND((-$K$9*(1+'Part VI-Pro Forma'!$B$7)^('Part VI-Pro Forma'!D78-1)),),IF('Part VI-Pro Forma'!$G$10="Yes",ROUND((-(SUM(D79:D82)*'Part VI-Pro Forma'!$K$10)),),"Choose mgt fee")))</f>
        <v>Choose mgt fee</v>
      </c>
      <c r="E86" s="18" t="str">
        <f>IF(AND('Part VI-Pro Forma'!$G$9="Yes",'Part VI-Pro Forma'!$G$10="Yes"),"Choose One!",IF('Part VI-Pro Forma'!$G$9="Yes",ROUND((-$K$9*(1+'Part VI-Pro Forma'!$B$7)^('Part VI-Pro Forma'!E78-1)),),IF('Part VI-Pro Forma'!$G$10="Yes",ROUND((-(SUM(E79:E82)*'Part VI-Pro Forma'!$K$10)),),"Choose mgt fee")))</f>
        <v>Choose mgt fee</v>
      </c>
      <c r="F86" s="18" t="str">
        <f>IF(AND('Part VI-Pro Forma'!$G$9="Yes",'Part VI-Pro Forma'!$G$10="Yes"),"Choose One!",IF('Part VI-Pro Forma'!$G$9="Yes",ROUND((-$K$9*(1+'Part VI-Pro Forma'!$B$7)^('Part VI-Pro Forma'!F78-1)),),IF('Part VI-Pro Forma'!$G$10="Yes",ROUND((-(SUM(F79:F82)*'Part VI-Pro Forma'!$K$10)),),"Choose mgt fee")))</f>
        <v>Choose mgt fee</v>
      </c>
      <c r="G86" s="18" t="str">
        <f>IF(AND('Part VI-Pro Forma'!$G$9="Yes",'Part VI-Pro Forma'!$G$10="Yes"),"Choose One!",IF('Part VI-Pro Forma'!$G$9="Yes",ROUND((-$K$9*(1+'Part VI-Pro Forma'!$B$7)^('Part VI-Pro Forma'!G78-1)),),IF('Part VI-Pro Forma'!$G$10="Yes",ROUND((-(SUM(G79:G82)*'Part VI-Pro Forma'!$K$10)),),"Choose mgt fee")))</f>
        <v>Choose mgt fee</v>
      </c>
      <c r="H86" s="18" t="str">
        <f>IF(AND('Part VI-Pro Forma'!$G$9="Yes",'Part VI-Pro Forma'!$G$10="Yes"),"Choose One!",IF('Part VI-Pro Forma'!$G$9="Yes",ROUND((-$K$9*(1+'Part VI-Pro Forma'!$B$7)^('Part VI-Pro Forma'!H78-1)),),IF('Part VI-Pro Forma'!$G$10="Yes",ROUND((-(SUM(H79:H82)*'Part VI-Pro Forma'!$K$10)),),"Choose mgt fee")))</f>
        <v>Choose mgt fee</v>
      </c>
      <c r="I86" s="18" t="str">
        <f>IF(AND('Part VI-Pro Forma'!$G$9="Yes",'Part VI-Pro Forma'!$G$10="Yes"),"Choose One!",IF('Part VI-Pro Forma'!$G$9="Yes",ROUND((-$K$9*(1+'Part VI-Pro Forma'!$B$7)^('Part VI-Pro Forma'!I78-1)),),IF('Part VI-Pro Forma'!$G$10="Yes",ROUND((-(SUM(I79:I82)*'Part VI-Pro Forma'!$K$10)),),"Choose mgt fee")))</f>
        <v>Choose mgt fee</v>
      </c>
      <c r="J86" s="18" t="str">
        <f>IF(AND('Part VI-Pro Forma'!$G$9="Yes",'Part VI-Pro Forma'!$G$10="Yes"),"Choose One!",IF('Part VI-Pro Forma'!$G$9="Yes",ROUND((-$K$9*(1+'Part VI-Pro Forma'!$B$7)^('Part VI-Pro Forma'!J78-1)),),IF('Part VI-Pro Forma'!$G$10="Yes",ROUND((-(SUM(J79:J82)*'Part VI-Pro Forma'!$K$10)),),"Choose mgt fee")))</f>
        <v>Choose mgt fee</v>
      </c>
      <c r="K86" s="19" t="str">
        <f>IF(AND('Part VI-Pro Forma'!$G$9="Yes",'Part VI-Pro Forma'!$G$10="Yes"),"Choose One!",IF('Part VI-Pro Forma'!$G$9="Yes",ROUND((-$K$9*(1+'Part VI-Pro Forma'!$B$7)^('Part VI-Pro Forma'!K78-1)),),IF('Part VI-Pro Forma'!$G$10="Yes",ROUND((-(SUM(K79:K82)*'Part VI-Pro Forma'!$K$10)),),"Choose mgt fee")))</f>
        <v>Choose mgt fee</v>
      </c>
      <c r="N86" s="3487"/>
      <c r="O86" s="3489"/>
      <c r="Z86" s="1631" t="s">
        <v>4364</v>
      </c>
      <c r="AA86" s="1633">
        <v>86</v>
      </c>
    </row>
    <row r="87" spans="1:27" ht="13.4" customHeight="1">
      <c r="A87" s="17" t="s">
        <v>1127</v>
      </c>
      <c r="B87" s="18">
        <f t="shared" ref="B87:K87" si="38">$B$23*(1+$B$8)^(B78-1)</f>
        <v>0</v>
      </c>
      <c r="C87" s="18">
        <f t="shared" si="38"/>
        <v>0</v>
      </c>
      <c r="D87" s="18">
        <f t="shared" si="38"/>
        <v>0</v>
      </c>
      <c r="E87" s="18">
        <f t="shared" si="38"/>
        <v>0</v>
      </c>
      <c r="F87" s="18">
        <f t="shared" si="38"/>
        <v>0</v>
      </c>
      <c r="G87" s="18">
        <f t="shared" si="38"/>
        <v>0</v>
      </c>
      <c r="H87" s="18">
        <f t="shared" si="38"/>
        <v>0</v>
      </c>
      <c r="I87" s="18">
        <f t="shared" si="38"/>
        <v>0</v>
      </c>
      <c r="J87" s="18">
        <f t="shared" si="38"/>
        <v>0</v>
      </c>
      <c r="K87" s="19">
        <f t="shared" si="38"/>
        <v>0</v>
      </c>
      <c r="N87" s="3487"/>
      <c r="O87" s="3489"/>
      <c r="Q87" s="92"/>
      <c r="R87" s="856"/>
      <c r="S87" s="856"/>
      <c r="Z87" s="1631" t="s">
        <v>4364</v>
      </c>
      <c r="AA87" s="1633">
        <v>87</v>
      </c>
    </row>
    <row r="88" spans="1:27" ht="13.4" customHeight="1">
      <c r="A88" s="340" t="s">
        <v>3716</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7"/>
      <c r="O88" s="3489"/>
      <c r="Z88" s="1631" t="s">
        <v>4364</v>
      </c>
      <c r="AA88" s="1633">
        <v>88</v>
      </c>
    </row>
    <row r="89" spans="1:27" ht="13.4" customHeight="1">
      <c r="A89" s="17" t="s">
        <v>1128</v>
      </c>
      <c r="B89" s="18">
        <f t="shared" ref="B89:K89" si="39">SUM(B84:B88)</f>
        <v>0</v>
      </c>
      <c r="C89" s="18">
        <f t="shared" si="39"/>
        <v>0</v>
      </c>
      <c r="D89" s="18">
        <f t="shared" si="39"/>
        <v>0</v>
      </c>
      <c r="E89" s="18">
        <f t="shared" si="39"/>
        <v>0</v>
      </c>
      <c r="F89" s="18">
        <f t="shared" si="39"/>
        <v>0</v>
      </c>
      <c r="G89" s="18">
        <f t="shared" si="39"/>
        <v>0</v>
      </c>
      <c r="H89" s="18">
        <f t="shared" si="39"/>
        <v>0</v>
      </c>
      <c r="I89" s="18">
        <f t="shared" si="39"/>
        <v>0</v>
      </c>
      <c r="J89" s="18">
        <f t="shared" si="39"/>
        <v>0</v>
      </c>
      <c r="K89" s="1156">
        <f t="shared" si="39"/>
        <v>0</v>
      </c>
      <c r="N89" s="3487"/>
      <c r="O89" s="3489"/>
      <c r="Z89" s="1631" t="s">
        <v>4364</v>
      </c>
      <c r="AA89" s="1633">
        <v>89</v>
      </c>
    </row>
    <row r="90" spans="1:27" ht="13.4" customHeight="1">
      <c r="A90" s="17" t="str">
        <f>$A58</f>
        <v>Mortgage A</v>
      </c>
      <c r="B90" s="341">
        <f>IF('Part II-Sources of Funds'!$P$40="", 0,-'Part II-Sources of Funds'!$P$40)</f>
        <v>0</v>
      </c>
      <c r="C90" s="341">
        <f>IF('Part II-Sources of Funds'!$P$40="", 0,-'Part II-Sources of Funds'!$P$40)</f>
        <v>0</v>
      </c>
      <c r="D90" s="341">
        <f>IF('Part II-Sources of Funds'!$P$40="", 0,-'Part II-Sources of Funds'!$P$40)</f>
        <v>0</v>
      </c>
      <c r="E90" s="341">
        <f>IF('Part II-Sources of Funds'!$P$40="", 0,-'Part II-Sources of Funds'!$P$40)</f>
        <v>0</v>
      </c>
      <c r="F90" s="341">
        <f>IF('Part II-Sources of Funds'!$P$40="", 0,-'Part II-Sources of Funds'!$P$40)</f>
        <v>0</v>
      </c>
      <c r="G90" s="341">
        <f>IF('Part II-Sources of Funds'!$P$40="", 0,-'Part II-Sources of Funds'!$P$40)</f>
        <v>0</v>
      </c>
      <c r="H90" s="341">
        <f>IF('Part II-Sources of Funds'!$P$40="", 0,-'Part II-Sources of Funds'!$P$40)</f>
        <v>0</v>
      </c>
      <c r="I90" s="341">
        <f>IF('Part II-Sources of Funds'!$P$40="", 0,-'Part II-Sources of Funds'!$P$40)</f>
        <v>0</v>
      </c>
      <c r="J90" s="341">
        <f>IF('Part II-Sources of Funds'!$P$40="", 0,-'Part II-Sources of Funds'!$P$40)</f>
        <v>0</v>
      </c>
      <c r="K90" s="341">
        <f>IF('Part II-Sources of Funds'!$P$40="", 0,-'Part II-Sources of Funds'!$P$40)</f>
        <v>0</v>
      </c>
      <c r="N90" s="3487"/>
      <c r="O90" s="3489"/>
      <c r="Z90" s="1631" t="s">
        <v>4364</v>
      </c>
      <c r="AA90" s="1633">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7"/>
      <c r="O91" s="3489"/>
      <c r="Z91" s="1631" t="s">
        <v>4364</v>
      </c>
      <c r="AA91" s="1633">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7"/>
      <c r="O92" s="3489"/>
      <c r="Z92" s="1631" t="s">
        <v>4364</v>
      </c>
      <c r="AA92" s="1633">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4364</v>
      </c>
      <c r="AA93" s="1633">
        <v>93</v>
      </c>
    </row>
    <row r="94" spans="1:27" ht="13.4" customHeight="1">
      <c r="A94" s="17" t="s">
        <v>710</v>
      </c>
      <c r="B94" s="138"/>
      <c r="C94" s="138"/>
      <c r="D94" s="138"/>
      <c r="E94" s="138"/>
      <c r="F94" s="138"/>
      <c r="G94" s="138"/>
      <c r="H94" s="138"/>
      <c r="I94" s="138"/>
      <c r="J94" s="138"/>
      <c r="K94" s="138"/>
      <c r="N94" s="3487"/>
      <c r="O94" s="3489"/>
      <c r="Z94" s="1631" t="s">
        <v>4364</v>
      </c>
      <c r="AA94" s="1633">
        <v>94</v>
      </c>
    </row>
    <row r="95" spans="1:27" ht="13.4" customHeight="1">
      <c r="A95" s="340" t="s">
        <v>1094</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487"/>
      <c r="O95" s="3489"/>
      <c r="Z95" s="1631" t="s">
        <v>4364</v>
      </c>
      <c r="AA95" s="1633">
        <v>95</v>
      </c>
    </row>
    <row r="96" spans="1:27" ht="13.4" customHeight="1">
      <c r="A96" s="17" t="s">
        <v>1095</v>
      </c>
      <c r="B96" s="18">
        <f t="shared" ref="B96:K96" si="41">SUM(B89:B95)</f>
        <v>0</v>
      </c>
      <c r="C96" s="18">
        <f t="shared" si="41"/>
        <v>0</v>
      </c>
      <c r="D96" s="18">
        <f t="shared" si="41"/>
        <v>0</v>
      </c>
      <c r="E96" s="18">
        <f t="shared" si="41"/>
        <v>0</v>
      </c>
      <c r="F96" s="18">
        <f t="shared" si="41"/>
        <v>0</v>
      </c>
      <c r="G96" s="18">
        <f t="shared" si="41"/>
        <v>0</v>
      </c>
      <c r="H96" s="18">
        <f t="shared" si="41"/>
        <v>0</v>
      </c>
      <c r="I96" s="18">
        <f t="shared" si="41"/>
        <v>0</v>
      </c>
      <c r="J96" s="18">
        <f t="shared" si="41"/>
        <v>0</v>
      </c>
      <c r="K96" s="19">
        <f t="shared" si="41"/>
        <v>0</v>
      </c>
      <c r="N96" s="3487"/>
      <c r="O96" s="3489"/>
      <c r="Z96" s="1631" t="s">
        <v>4364</v>
      </c>
      <c r="AA96" s="1633">
        <v>96</v>
      </c>
    </row>
    <row r="97" spans="1:27" ht="13.4"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87"/>
      <c r="O97" s="3489"/>
      <c r="Z97" s="1631" t="s">
        <v>4364</v>
      </c>
      <c r="AA97" s="1633">
        <v>97</v>
      </c>
    </row>
    <row r="98" spans="1:27" ht="13.4"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7"/>
      <c r="O98" s="3489"/>
      <c r="Z98" s="1631" t="s">
        <v>4364</v>
      </c>
      <c r="AA98" s="1633">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7"/>
      <c r="O99" s="3489"/>
      <c r="Z99" s="1631" t="s">
        <v>4364</v>
      </c>
      <c r="AA99" s="1633">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7"/>
      <c r="O100" s="3489"/>
      <c r="Z100" s="1631" t="s">
        <v>4364</v>
      </c>
      <c r="AA100" s="1633">
        <v>100</v>
      </c>
    </row>
    <row r="101" spans="1:27" ht="13.4" customHeight="1">
      <c r="A101" s="340" t="s">
        <v>3130</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87"/>
      <c r="O101" s="3489"/>
      <c r="Z101" s="1631" t="s">
        <v>4364</v>
      </c>
      <c r="AA101" s="1633">
        <v>101</v>
      </c>
    </row>
    <row r="102" spans="1:27" ht="13.4" customHeight="1">
      <c r="A102" s="17" t="s">
        <v>717</v>
      </c>
      <c r="B102" s="220" t="str">
        <f>IF(OR(B86="Choose mgt fee",B86="Choose One!"),"",(B79+B80+B81+B82+B83) / -(B85+B86+B87))</f>
        <v/>
      </c>
      <c r="C102" s="220" t="str">
        <f t="shared" ref="C102:K102" si="47">IF(OR(C86="Choose mgt fee",C86="Choose One!"),"",(C79+C80+C81+C82+C83) / -(C85+C86+C87))</f>
        <v/>
      </c>
      <c r="D102" s="220" t="str">
        <f t="shared" si="47"/>
        <v/>
      </c>
      <c r="E102" s="220" t="str">
        <f t="shared" si="47"/>
        <v/>
      </c>
      <c r="F102" s="220" t="str">
        <f t="shared" si="47"/>
        <v/>
      </c>
      <c r="G102" s="220" t="str">
        <f t="shared" si="47"/>
        <v/>
      </c>
      <c r="H102" s="220" t="str">
        <f t="shared" si="47"/>
        <v/>
      </c>
      <c r="I102" s="220" t="str">
        <f t="shared" si="47"/>
        <v/>
      </c>
      <c r="J102" s="220" t="str">
        <f t="shared" si="47"/>
        <v/>
      </c>
      <c r="K102" s="221" t="str">
        <f t="shared" si="47"/>
        <v/>
      </c>
      <c r="N102" s="3487"/>
      <c r="O102" s="3489"/>
      <c r="Z102" s="1631" t="s">
        <v>4364</v>
      </c>
      <c r="AA102" s="1633">
        <v>102</v>
      </c>
    </row>
    <row r="103" spans="1:27" ht="13.4" customHeight="1">
      <c r="A103" s="340" t="s">
        <v>2399</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487"/>
      <c r="O103" s="3489"/>
      <c r="Z103" s="1631" t="s">
        <v>4364</v>
      </c>
      <c r="AA103" s="1633">
        <v>103</v>
      </c>
    </row>
    <row r="104" spans="1:27" ht="13.4"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7"/>
      <c r="O104" s="3489"/>
      <c r="Z104" s="1631" t="s">
        <v>4364</v>
      </c>
      <c r="AA104" s="1633">
        <v>104</v>
      </c>
    </row>
    <row r="105" spans="1:27" ht="13.4"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7"/>
      <c r="O105" s="3489"/>
      <c r="Z105" s="1631" t="s">
        <v>4364</v>
      </c>
      <c r="AA105" s="1633">
        <v>105</v>
      </c>
    </row>
    <row r="106" spans="1:27" ht="13.4"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4364</v>
      </c>
      <c r="AA106" s="1633">
        <v>106</v>
      </c>
    </row>
    <row r="107" spans="1:27" ht="4.4000000000000004"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54" t="s">
        <v>3122</v>
      </c>
      <c r="O108" s="3154"/>
      <c r="AA108" s="1633">
        <v>108</v>
      </c>
    </row>
    <row r="109" spans="1:27" ht="13.4" customHeight="1">
      <c r="A109" s="14" t="s">
        <v>2209</v>
      </c>
      <c r="B109" s="15">
        <f>$B$15*(1+$B$6)^(B108-1)</f>
        <v>0</v>
      </c>
      <c r="C109" s="15">
        <f>$B$15*(1+$B$6)^(C108-1)</f>
        <v>0</v>
      </c>
      <c r="D109" s="15">
        <f>$B$15*(1+$B$6)^(D108-1)</f>
        <v>0</v>
      </c>
      <c r="E109" s="15">
        <f>$B$15*(1+$B$6)^(E108-1)</f>
        <v>0</v>
      </c>
      <c r="F109" s="496">
        <f>$B$15*(1+$B$6)^(F108-1)</f>
        <v>0</v>
      </c>
      <c r="G109" s="13"/>
      <c r="H109" s="13"/>
      <c r="I109" s="13"/>
      <c r="J109" s="13"/>
      <c r="K109" s="13"/>
      <c r="N109" s="3507"/>
      <c r="O109" s="3509"/>
      <c r="Z109" s="1631" t="s">
        <v>4365</v>
      </c>
      <c r="AA109" s="1633">
        <v>109</v>
      </c>
    </row>
    <row r="110" spans="1:27" ht="13.4" customHeight="1">
      <c r="A110" s="17" t="s">
        <v>951</v>
      </c>
      <c r="B110" s="18">
        <f>$B$16*(1+$B$6)^(B108-1)</f>
        <v>0</v>
      </c>
      <c r="C110" s="18">
        <f>$B$16*(1+$B$6)^(C108-1)</f>
        <v>0</v>
      </c>
      <c r="D110" s="18">
        <f>$B$16*(1+$B$6)^(D108-1)</f>
        <v>0</v>
      </c>
      <c r="E110" s="18">
        <f>$B$16*(1+$B$6)^(E108-1)</f>
        <v>0</v>
      </c>
      <c r="F110" s="19">
        <f>$B$16*(1+$B$6)^(F108-1)</f>
        <v>0</v>
      </c>
      <c r="G110" s="13"/>
      <c r="H110" s="13"/>
      <c r="I110" s="13"/>
      <c r="J110" s="13"/>
      <c r="K110" s="13"/>
      <c r="N110" s="3487"/>
      <c r="O110" s="3489"/>
      <c r="Z110" s="1631" t="s">
        <v>4365</v>
      </c>
      <c r="AA110" s="1633">
        <v>110</v>
      </c>
    </row>
    <row r="111" spans="1:27" ht="13.4" customHeight="1">
      <c r="A111" s="17" t="s">
        <v>2210</v>
      </c>
      <c r="B111" s="18">
        <f>-(B109+B110)*$B$9</f>
        <v>0</v>
      </c>
      <c r="C111" s="18">
        <f>-(C109+C110)*$B$9</f>
        <v>0</v>
      </c>
      <c r="D111" s="18">
        <f>-(D109+D110)*$B$9</f>
        <v>0</v>
      </c>
      <c r="E111" s="18">
        <f>-(E109+E110)*$B$9</f>
        <v>0</v>
      </c>
      <c r="F111" s="19">
        <f>-(F109+F110)*$B$9</f>
        <v>0</v>
      </c>
      <c r="G111" s="13"/>
      <c r="H111" s="13"/>
      <c r="I111" s="13"/>
      <c r="J111" s="13"/>
      <c r="K111" s="13"/>
      <c r="N111" s="3487"/>
      <c r="O111" s="3489"/>
      <c r="Z111" s="1631" t="s">
        <v>4365</v>
      </c>
      <c r="AA111" s="1633">
        <v>111</v>
      </c>
    </row>
    <row r="112" spans="1:27" ht="13.4"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4365</v>
      </c>
      <c r="AA112" s="1633">
        <v>112</v>
      </c>
    </row>
    <row r="113" spans="1:27" ht="13.4"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4365</v>
      </c>
      <c r="AA113" s="1633">
        <v>113</v>
      </c>
    </row>
    <row r="114" spans="1:27" ht="13.4" customHeight="1">
      <c r="A114" s="340" t="s">
        <v>3717</v>
      </c>
      <c r="B114" s="18">
        <f>SUM(B109:B113)</f>
        <v>0</v>
      </c>
      <c r="C114" s="18">
        <f>SUM(C109:C113)</f>
        <v>0</v>
      </c>
      <c r="D114" s="18">
        <f>SUM(D109:D113)</f>
        <v>0</v>
      </c>
      <c r="E114" s="18">
        <f>SUM(E109:E113)</f>
        <v>0</v>
      </c>
      <c r="F114" s="19">
        <f>SUM(F109:F113)</f>
        <v>0</v>
      </c>
      <c r="G114" s="13"/>
      <c r="H114" s="13"/>
      <c r="I114" s="13"/>
      <c r="J114" s="13"/>
      <c r="K114" s="13"/>
      <c r="N114" s="3487"/>
      <c r="O114" s="3489"/>
      <c r="Z114" s="1631" t="s">
        <v>4365</v>
      </c>
      <c r="AA114" s="1633">
        <v>114</v>
      </c>
    </row>
    <row r="115" spans="1:27" ht="13.4" customHeight="1">
      <c r="A115" s="17" t="s">
        <v>571</v>
      </c>
      <c r="B115" s="18">
        <f>$B$21*(1+$B$7)^(B108-1)</f>
        <v>0</v>
      </c>
      <c r="C115" s="18">
        <f>$B$21*(1+$B$7)^(C108-1)</f>
        <v>0</v>
      </c>
      <c r="D115" s="18">
        <f>$B$21*(1+$B$7)^(D108-1)</f>
        <v>0</v>
      </c>
      <c r="E115" s="18">
        <f>$B$21*(1+$B$7)^(E108-1)</f>
        <v>0</v>
      </c>
      <c r="F115" s="19">
        <f>$B$21*(1+$B$7)^(F108-1)</f>
        <v>0</v>
      </c>
      <c r="G115" s="13"/>
      <c r="H115" s="13"/>
      <c r="I115" s="13"/>
      <c r="J115" s="13"/>
      <c r="K115" s="13"/>
      <c r="N115" s="3487"/>
      <c r="O115" s="3489"/>
      <c r="Z115" s="1631" t="s">
        <v>4365</v>
      </c>
      <c r="AA115" s="1633">
        <v>115</v>
      </c>
    </row>
    <row r="116" spans="1:27" ht="13.4" customHeight="1">
      <c r="A116" s="17" t="s">
        <v>1049</v>
      </c>
      <c r="B116" s="18" t="str">
        <f>IF(AND('Part VI-Pro Forma'!$G$9="Yes",'Part VI-Pro Forma'!$G$10="Yes"),"Choose One!",IF('Part VI-Pro Forma'!$G$9="Yes",ROUND((-$K$9*(1+'Part VI-Pro Forma'!$B$7)^('Part VI-Pro Forma'!B108-1)),),IF('Part VI-Pro Forma'!$G$10="Yes",ROUND((-(SUM(B109:B112)*'Part VI-Pro Forma'!$K$10)),),"Choose mgt fee")))</f>
        <v>Choose mgt fee</v>
      </c>
      <c r="C116" s="18" t="str">
        <f>IF(AND('Part VI-Pro Forma'!$G$9="Yes",'Part VI-Pro Forma'!$G$10="Yes"),"Choose One!",IF('Part VI-Pro Forma'!$G$9="Yes",ROUND((-$K$9*(1+'Part VI-Pro Forma'!$B$7)^('Part VI-Pro Forma'!C108-1)),),IF('Part VI-Pro Forma'!$G$10="Yes",ROUND((-(SUM(C109:C112)*'Part VI-Pro Forma'!$K$10)),),"Choose mgt fee")))</f>
        <v>Choose mgt fee</v>
      </c>
      <c r="D116" s="18" t="str">
        <f>IF(AND('Part VI-Pro Forma'!$G$9="Yes",'Part VI-Pro Forma'!$G$10="Yes"),"Choose One!",IF('Part VI-Pro Forma'!$G$9="Yes",ROUND((-$K$9*(1+'Part VI-Pro Forma'!$B$7)^('Part VI-Pro Forma'!D108-1)),),IF('Part VI-Pro Forma'!$G$10="Yes",ROUND((-(SUM(D109:D112)*'Part VI-Pro Forma'!$K$10)),),"Choose mgt fee")))</f>
        <v>Choose mgt fee</v>
      </c>
      <c r="E116" s="18" t="str">
        <f>IF(AND('Part VI-Pro Forma'!$G$9="Yes",'Part VI-Pro Forma'!$G$10="Yes"),"Choose One!",IF('Part VI-Pro Forma'!$G$9="Yes",ROUND((-$K$9*(1+'Part VI-Pro Forma'!$B$7)^('Part VI-Pro Forma'!E108-1)),),IF('Part VI-Pro Forma'!$G$10="Yes",ROUND((-(SUM(E109:E112)*'Part VI-Pro Forma'!$K$10)),),"Choose mgt fee")))</f>
        <v>Choose mgt fee</v>
      </c>
      <c r="F116" s="19" t="str">
        <f>IF(AND('Part VI-Pro Forma'!$G$9="Yes",'Part VI-Pro Forma'!$G$10="Yes"),"Choose One!",IF('Part VI-Pro Forma'!$G$9="Yes",ROUND((-$K$9*(1+'Part VI-Pro Forma'!$B$7)^('Part VI-Pro Forma'!F108-1)),),IF('Part VI-Pro Forma'!$G$10="Yes",ROUND((-(SUM(F109:F112)*'Part VI-Pro Forma'!$K$10)),),"Choose mgt fee")))</f>
        <v>Choose mgt fee</v>
      </c>
      <c r="G116" s="13"/>
      <c r="H116" s="13"/>
      <c r="I116" s="13"/>
      <c r="J116" s="13"/>
      <c r="K116" s="13"/>
      <c r="N116" s="3487"/>
      <c r="O116" s="3489"/>
      <c r="Z116" s="1631" t="s">
        <v>4365</v>
      </c>
      <c r="AA116" s="1633">
        <v>116</v>
      </c>
    </row>
    <row r="117" spans="1:27" ht="13.4" customHeight="1">
      <c r="A117" s="17" t="s">
        <v>1127</v>
      </c>
      <c r="B117" s="18">
        <f>$B$23*(1+$B$8)^(B108-1)</f>
        <v>0</v>
      </c>
      <c r="C117" s="18">
        <f>$B$23*(1+$B$8)^(C108-1)</f>
        <v>0</v>
      </c>
      <c r="D117" s="18">
        <f>$B$23*(1+$B$8)^(D108-1)</f>
        <v>0</v>
      </c>
      <c r="E117" s="18">
        <f>$B$23*(1+$B$8)^(E108-1)</f>
        <v>0</v>
      </c>
      <c r="F117" s="19">
        <f>$B$23*(1+$B$8)^(F108-1)</f>
        <v>0</v>
      </c>
      <c r="G117" s="13"/>
      <c r="H117" s="13"/>
      <c r="I117" s="13"/>
      <c r="J117" s="13"/>
      <c r="K117" s="13"/>
      <c r="N117" s="3487"/>
      <c r="O117" s="3489"/>
      <c r="Q117" s="92">
        <v>10</v>
      </c>
      <c r="R117" s="856">
        <f>-SUM(B123:K123)</f>
        <v>0</v>
      </c>
      <c r="S117" s="856">
        <f>SUM(B124:K124)+R117</f>
        <v>0</v>
      </c>
      <c r="Z117" s="1631" t="s">
        <v>4365</v>
      </c>
      <c r="AA117" s="1633">
        <v>117</v>
      </c>
    </row>
    <row r="118" spans="1:27" ht="13.4" customHeight="1">
      <c r="A118" s="340" t="s">
        <v>3716</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7"/>
      <c r="O118" s="3489"/>
      <c r="Z118" s="1631" t="s">
        <v>4365</v>
      </c>
      <c r="AA118" s="1633">
        <v>118</v>
      </c>
    </row>
    <row r="119" spans="1:27" ht="13.4" customHeight="1">
      <c r="A119" s="17" t="s">
        <v>1128</v>
      </c>
      <c r="B119" s="18">
        <f>SUM(B114:B118)</f>
        <v>0</v>
      </c>
      <c r="C119" s="18">
        <f>SUM(C114:C118)</f>
        <v>0</v>
      </c>
      <c r="D119" s="18">
        <f>SUM(D114:D118)</f>
        <v>0</v>
      </c>
      <c r="E119" s="18">
        <f>SUM(E114:E118)</f>
        <v>0</v>
      </c>
      <c r="F119" s="1156">
        <f>SUM(F114:F118)</f>
        <v>0</v>
      </c>
      <c r="G119" s="13"/>
      <c r="H119" s="13"/>
      <c r="I119" s="13"/>
      <c r="J119" s="13"/>
      <c r="K119" s="13"/>
      <c r="N119" s="3487"/>
      <c r="O119" s="3489"/>
      <c r="Z119" s="1631" t="s">
        <v>4365</v>
      </c>
      <c r="AA119" s="1633">
        <v>119</v>
      </c>
    </row>
    <row r="120" spans="1:27" ht="13.4" customHeight="1">
      <c r="A120" s="17" t="str">
        <f>$A90</f>
        <v>Mortgage A</v>
      </c>
      <c r="B120" s="341">
        <f>IF('Part II-Sources of Funds'!$P$40="", 0,-'Part II-Sources of Funds'!$P$40)</f>
        <v>0</v>
      </c>
      <c r="C120" s="341">
        <f>IF('Part II-Sources of Funds'!$P$40="", 0,-'Part II-Sources of Funds'!$P$40)</f>
        <v>0</v>
      </c>
      <c r="D120" s="341">
        <f>IF('Part II-Sources of Funds'!$P$40="", 0,-'Part II-Sources of Funds'!$P$40)</f>
        <v>0</v>
      </c>
      <c r="E120" s="341">
        <f>IF('Part II-Sources of Funds'!$P$40="", 0,-'Part II-Sources of Funds'!$P$40)</f>
        <v>0</v>
      </c>
      <c r="F120" s="341">
        <f>IF('Part II-Sources of Funds'!$P$40="", 0,-'Part II-Sources of Funds'!$P$40)</f>
        <v>0</v>
      </c>
      <c r="G120" s="13"/>
      <c r="H120" s="13"/>
      <c r="I120" s="13"/>
      <c r="J120" s="13"/>
      <c r="K120" s="13"/>
      <c r="N120" s="3487"/>
      <c r="O120" s="3489"/>
      <c r="Z120" s="1631" t="s">
        <v>4365</v>
      </c>
      <c r="AA120" s="1633">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7"/>
      <c r="O121" s="3489"/>
      <c r="Z121" s="1631" t="s">
        <v>4365</v>
      </c>
      <c r="AA121" s="1633">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7"/>
      <c r="O122" s="3489"/>
      <c r="Z122" s="1631" t="s">
        <v>4365</v>
      </c>
      <c r="AA122" s="1633">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4365</v>
      </c>
      <c r="AA123" s="1633">
        <v>123</v>
      </c>
    </row>
    <row r="124" spans="1:27" ht="13.4" customHeight="1">
      <c r="A124" s="17" t="s">
        <v>710</v>
      </c>
      <c r="B124" s="138"/>
      <c r="C124" s="138"/>
      <c r="D124" s="138"/>
      <c r="E124" s="138"/>
      <c r="F124" s="138"/>
      <c r="G124" s="13"/>
      <c r="H124" s="13"/>
      <c r="I124" s="13"/>
      <c r="J124" s="13"/>
      <c r="K124" s="13"/>
      <c r="N124" s="3487"/>
      <c r="O124" s="3489"/>
      <c r="Z124" s="1631" t="s">
        <v>4365</v>
      </c>
      <c r="AA124" s="1633">
        <v>124</v>
      </c>
    </row>
    <row r="125" spans="1:27" ht="13.4" customHeight="1">
      <c r="A125" s="17" t="s">
        <v>1094</v>
      </c>
      <c r="B125" s="179">
        <f>+K95</f>
        <v>0</v>
      </c>
      <c r="C125" s="179">
        <f>+B125</f>
        <v>0</v>
      </c>
      <c r="D125" s="179">
        <f>+C125</f>
        <v>0</v>
      </c>
      <c r="E125" s="179">
        <f>+D125</f>
        <v>0</v>
      </c>
      <c r="F125" s="179">
        <f>+E125</f>
        <v>0</v>
      </c>
      <c r="G125" s="13"/>
      <c r="H125" s="13"/>
      <c r="I125" s="13"/>
      <c r="J125" s="13"/>
      <c r="K125" s="13"/>
      <c r="N125" s="3487"/>
      <c r="O125" s="3489"/>
      <c r="Z125" s="1631" t="s">
        <v>4365</v>
      </c>
      <c r="AA125" s="1633">
        <v>125</v>
      </c>
    </row>
    <row r="126" spans="1:27" ht="13.4" customHeight="1">
      <c r="A126" s="17" t="s">
        <v>1095</v>
      </c>
      <c r="B126" s="18">
        <f>SUM(B119:B125)</f>
        <v>0</v>
      </c>
      <c r="C126" s="18">
        <f>SUM(C119:C125)</f>
        <v>0</v>
      </c>
      <c r="D126" s="18">
        <f>SUM(D119:D125)</f>
        <v>0</v>
      </c>
      <c r="E126" s="18">
        <f>SUM(E119:E125)</f>
        <v>0</v>
      </c>
      <c r="F126" s="19">
        <f>SUM(F119:F125)</f>
        <v>0</v>
      </c>
      <c r="G126" s="13"/>
      <c r="H126" s="13"/>
      <c r="I126" s="13"/>
      <c r="J126" s="13"/>
      <c r="K126" s="13"/>
      <c r="N126" s="3487"/>
      <c r="O126" s="3489"/>
      <c r="Z126" s="1631" t="s">
        <v>4365</v>
      </c>
      <c r="AA126" s="1633">
        <v>126</v>
      </c>
    </row>
    <row r="127" spans="1:27" ht="13.4"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87"/>
      <c r="O127" s="3489"/>
      <c r="Z127" s="1631" t="s">
        <v>4365</v>
      </c>
      <c r="AA127" s="1633">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7"/>
      <c r="O128" s="3489"/>
      <c r="Z128" s="1631" t="s">
        <v>4365</v>
      </c>
      <c r="AA128" s="1633">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7"/>
      <c r="O129" s="3489"/>
      <c r="Z129" s="1631" t="s">
        <v>4365</v>
      </c>
      <c r="AA129" s="1633">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4365</v>
      </c>
      <c r="AA130" s="1633">
        <v>130</v>
      </c>
    </row>
    <row r="131" spans="1:27" ht="13.4" customHeight="1">
      <c r="A131" s="340" t="s">
        <v>3130</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87"/>
      <c r="O131" s="3489"/>
      <c r="Z131" s="1631" t="s">
        <v>4365</v>
      </c>
      <c r="AA131" s="1633">
        <v>131</v>
      </c>
    </row>
    <row r="132" spans="1:27" ht="13.4" customHeight="1">
      <c r="A132" s="17" t="s">
        <v>717</v>
      </c>
      <c r="B132" s="220" t="str">
        <f>IF(OR(B116="Choose mgt fee",B116="Choose One!"),"",(B109+B110+B111+B112+B113) / -(B115+B116+B117))</f>
        <v/>
      </c>
      <c r="C132" s="220" t="str">
        <f>IF(OR(C116="Choose mgt fee",C116="Choose One!"),"",(C109+C110+C111+C112+C113) / -(C115+C116+C117))</f>
        <v/>
      </c>
      <c r="D132" s="220" t="str">
        <f>IF(OR(D116="Choose mgt fee",D116="Choose One!"),"",(D109+D110+D111+D112+D113) / -(D115+D116+D117))</f>
        <v/>
      </c>
      <c r="E132" s="220" t="str">
        <f>IF(OR(E116="Choose mgt fee",E116="Choose One!"),"",(E109+E110+E111+E112+E113) / -(E115+E116+E117))</f>
        <v/>
      </c>
      <c r="F132" s="497" t="str">
        <f>IF(OR(F116="Choose mgt fee",F116="Choose One!"),"",(F109+F110+F111+F112+F113) / -(F115+F116+F117))</f>
        <v/>
      </c>
      <c r="G132" s="13"/>
      <c r="H132" s="13"/>
      <c r="I132" s="13"/>
      <c r="J132" s="13"/>
      <c r="K132" s="13"/>
      <c r="N132" s="3487"/>
      <c r="O132" s="3489"/>
      <c r="Z132" s="1631" t="s">
        <v>4365</v>
      </c>
      <c r="AA132" s="1633">
        <v>132</v>
      </c>
    </row>
    <row r="133" spans="1:27" ht="13.4" customHeight="1">
      <c r="A133" s="340" t="s">
        <v>2399</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487"/>
      <c r="O133" s="3489"/>
      <c r="Z133" s="1631" t="s">
        <v>4365</v>
      </c>
      <c r="AA133" s="1633">
        <v>133</v>
      </c>
    </row>
    <row r="134" spans="1:27" ht="13.4"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7"/>
      <c r="O134" s="3489"/>
      <c r="Z134" s="1631" t="s">
        <v>4365</v>
      </c>
      <c r="AA134" s="1633">
        <v>134</v>
      </c>
    </row>
    <row r="135" spans="1:27" ht="13.4"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7"/>
      <c r="O135" s="3489"/>
      <c r="Z135" s="1631" t="s">
        <v>4365</v>
      </c>
      <c r="AA135" s="1633">
        <v>135</v>
      </c>
    </row>
    <row r="136" spans="1:27" ht="13.4"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4365</v>
      </c>
      <c r="AA136" s="1633">
        <v>136</v>
      </c>
    </row>
    <row r="137" spans="1:27" ht="4.4000000000000004"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4" t="s">
        <v>3003</v>
      </c>
      <c r="B140" s="3567"/>
      <c r="C140" s="3567"/>
      <c r="D140" s="3567"/>
      <c r="E140" s="3567"/>
      <c r="F140" s="3568"/>
      <c r="G140" s="3569"/>
      <c r="H140" s="3570"/>
      <c r="I140" s="3570"/>
      <c r="J140" s="3570"/>
      <c r="K140" s="3571"/>
      <c r="N140" s="3085" t="s">
        <v>2445</v>
      </c>
      <c r="O140" s="308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JIEN4iRLvpFqYpjTHqTptzjqkD8ejYRF51EouVbuuBJo/oRVpvTFFjBEUThVOwqCyPbKS4r6lgHgSUvEBV9Kdg==" saltValue="8RoHf7IXbJ30CcEcUs/be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G218" sqref="G218:L218"/>
    </sheetView>
  </sheetViews>
  <sheetFormatPr defaultColWidth="9.1796875" defaultRowHeight="14"/>
  <cols>
    <col min="1" max="1" width="5.81640625" style="1934" customWidth="1"/>
    <col min="2" max="2" width="3.7265625" style="1934" customWidth="1"/>
    <col min="3" max="3" width="2.1796875" style="1934" customWidth="1"/>
    <col min="4" max="10" width="8.81640625" style="1934" customWidth="1"/>
    <col min="11" max="11" width="7.54296875" style="1934" customWidth="1"/>
    <col min="12" max="14" width="9.1796875" style="1934"/>
    <col min="15" max="16" width="9.453125" style="1934" customWidth="1"/>
    <col min="17" max="17" width="9.1796875" style="1934"/>
    <col min="18" max="26" width="9.1796875" style="2054"/>
    <col min="27" max="27" width="9.1796875" style="2489"/>
    <col min="28" max="28" width="9.1796875" style="2054"/>
    <col min="29" max="16384" width="9.1796875" style="1937"/>
  </cols>
  <sheetData>
    <row r="1" spans="1:28" s="1917" customFormat="1" ht="13">
      <c r="A1" s="3739" t="str">
        <f>CONCATENATE("PART SEVEN - THRESHOLD CRITERIA","  -  ",'Part I-Project Identification'!$O$7," ",'Part I-Project Identification'!$F$26,", ",'Part I-Project Identification'!F27,", ",'Part I-Project Identification'!J27," County")</f>
        <v>PART SEVEN - THRESHOLD CRITERIA  -  2024-5 , &lt;&lt; Select from list &gt;&gt;, Select City first County</v>
      </c>
      <c r="B1" s="3739"/>
      <c r="C1" s="3739"/>
      <c r="D1" s="3739"/>
      <c r="E1" s="3739"/>
      <c r="F1" s="3739"/>
      <c r="G1" s="3739"/>
      <c r="H1" s="3739"/>
      <c r="I1" s="3739"/>
      <c r="J1" s="3739"/>
      <c r="K1" s="3739"/>
      <c r="L1" s="3739"/>
      <c r="M1" s="3739"/>
      <c r="N1" s="3739"/>
      <c r="O1" s="3739"/>
      <c r="P1" s="3739"/>
      <c r="Q1" s="3739"/>
      <c r="R1" s="2052"/>
      <c r="S1" s="2052"/>
      <c r="T1" s="2052"/>
      <c r="U1" s="2052"/>
      <c r="V1" s="2052"/>
      <c r="W1" s="2052"/>
      <c r="X1" s="2052"/>
      <c r="Y1" s="2052"/>
      <c r="Z1" s="2052"/>
      <c r="AA1" s="2491">
        <v>1</v>
      </c>
      <c r="AB1" s="2052"/>
    </row>
    <row r="2" spans="1:28" s="1917" customFormat="1" ht="12.5">
      <c r="R2" s="2052"/>
      <c r="S2" s="2052"/>
      <c r="T2" s="2052"/>
      <c r="U2" s="2052"/>
      <c r="V2" s="2052"/>
      <c r="W2" s="2052"/>
      <c r="X2" s="2052"/>
      <c r="Y2" s="2052"/>
      <c r="Z2" s="2052"/>
      <c r="AA2" s="2491">
        <v>2</v>
      </c>
      <c r="AB2" s="2052"/>
    </row>
    <row r="3" spans="1:28" s="1917" customFormat="1" ht="13">
      <c r="A3" s="3740"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40"/>
      <c r="C3" s="3740"/>
      <c r="D3" s="3740"/>
      <c r="E3" s="3740"/>
      <c r="F3" s="3740"/>
      <c r="G3" s="3740"/>
      <c r="H3" s="3740"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40"/>
      <c r="J3" s="3740"/>
      <c r="K3" s="3740"/>
      <c r="L3" s="3740"/>
      <c r="M3" s="3740"/>
      <c r="N3" s="3740"/>
      <c r="O3" s="1918"/>
      <c r="P3" s="3741" t="s">
        <v>4657</v>
      </c>
      <c r="Q3" s="3743" t="s">
        <v>4430</v>
      </c>
      <c r="R3" s="2052"/>
      <c r="S3" s="2052"/>
      <c r="T3" s="2052"/>
      <c r="U3" s="2052"/>
      <c r="V3" s="2052"/>
      <c r="W3" s="2052"/>
      <c r="X3" s="2052"/>
      <c r="Y3" s="2052"/>
      <c r="Z3" s="2052"/>
      <c r="AA3" s="2491">
        <v>3</v>
      </c>
      <c r="AB3" s="2052"/>
    </row>
    <row r="4" spans="1:28" s="1917" customFormat="1" ht="13">
      <c r="A4" s="1919"/>
      <c r="B4" s="3745"/>
      <c r="C4" s="3745"/>
      <c r="D4" s="3745"/>
      <c r="E4" s="1919"/>
      <c r="F4" s="1919"/>
      <c r="G4" s="1919"/>
      <c r="H4" s="1919"/>
      <c r="I4" s="1918"/>
      <c r="J4" s="1920"/>
      <c r="K4" s="1919"/>
      <c r="L4" s="1919"/>
      <c r="M4" s="1919"/>
      <c r="N4" s="1919"/>
      <c r="O4" s="1918"/>
      <c r="P4" s="3741"/>
      <c r="Q4" s="3743"/>
      <c r="R4" s="2052"/>
      <c r="S4" s="2052"/>
      <c r="T4" s="2052"/>
      <c r="U4" s="2052"/>
      <c r="V4" s="2052"/>
      <c r="W4" s="2052"/>
      <c r="X4" s="2052"/>
      <c r="Y4" s="2052"/>
      <c r="Z4" s="2052"/>
      <c r="AA4" s="2491">
        <v>4</v>
      </c>
      <c r="AB4" s="2052"/>
    </row>
    <row r="5" spans="1:28" s="1917" customFormat="1" ht="13">
      <c r="A5" s="1918"/>
      <c r="B5" s="1918"/>
      <c r="C5" s="1918"/>
      <c r="D5" s="1918"/>
      <c r="E5" s="3746" t="str">
        <f>'Part I-Project Identification'!$A$6</f>
        <v>4% Credit Core
Sept 26, 2024</v>
      </c>
      <c r="F5" s="3746"/>
      <c r="G5" s="3746"/>
      <c r="H5" s="3746"/>
      <c r="I5" s="3746"/>
      <c r="J5" s="1920"/>
      <c r="K5" s="1919"/>
      <c r="L5" s="1919"/>
      <c r="M5" s="1919"/>
      <c r="N5" s="1919"/>
      <c r="O5" s="1918"/>
      <c r="P5" s="3742"/>
      <c r="Q5" s="3744"/>
      <c r="R5" s="2052"/>
      <c r="S5" s="2052"/>
      <c r="T5" s="2052"/>
      <c r="U5" s="2052"/>
      <c r="V5" s="2052"/>
      <c r="W5" s="2052"/>
      <c r="X5" s="2052"/>
      <c r="Y5" s="2052"/>
      <c r="Z5" s="2052"/>
      <c r="AA5" s="2491">
        <v>5</v>
      </c>
      <c r="AB5" s="2052"/>
    </row>
    <row r="6" spans="1:28" s="1917" customFormat="1" ht="13">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1">
        <v>6</v>
      </c>
      <c r="AB6" s="2052"/>
    </row>
    <row r="7" spans="1:28" s="1917" customFormat="1" ht="37.5" customHeight="1">
      <c r="A7" s="3733" t="s">
        <v>4658</v>
      </c>
      <c r="B7" s="3733"/>
      <c r="C7" s="3733"/>
      <c r="D7" s="3733"/>
      <c r="E7" s="3733"/>
      <c r="F7" s="3733"/>
      <c r="G7" s="3733"/>
      <c r="H7" s="3733"/>
      <c r="I7" s="3733"/>
      <c r="J7" s="3733"/>
      <c r="K7" s="3733"/>
      <c r="L7" s="3733"/>
      <c r="M7" s="3733"/>
      <c r="N7" s="3733"/>
      <c r="O7" s="3733"/>
      <c r="P7" s="3733"/>
      <c r="Q7" s="3733"/>
      <c r="R7" s="2052"/>
      <c r="S7" s="2052"/>
      <c r="T7" s="2052"/>
      <c r="U7" s="2052"/>
      <c r="V7" s="2052"/>
      <c r="W7" s="2052"/>
      <c r="X7" s="2052"/>
      <c r="Y7" s="2052"/>
      <c r="Z7" s="2052"/>
      <c r="AA7" s="2491">
        <v>7</v>
      </c>
      <c r="AB7" s="2052"/>
    </row>
    <row r="8" spans="1:28" s="1917" customFormat="1" ht="13">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1">
        <v>8</v>
      </c>
      <c r="AB8" s="2052"/>
    </row>
    <row r="9" spans="1:28" s="1928" customFormat="1" ht="18" customHeight="1">
      <c r="A9" s="1924" t="s">
        <v>4659</v>
      </c>
      <c r="B9" s="1925"/>
      <c r="C9" s="1925"/>
      <c r="D9" s="1925"/>
      <c r="E9" s="1925"/>
      <c r="F9" s="1925"/>
      <c r="G9" s="1925"/>
      <c r="H9" s="1925"/>
      <c r="I9" s="1926"/>
      <c r="J9" s="1926"/>
      <c r="K9" s="1927"/>
      <c r="L9" s="1927"/>
      <c r="M9" s="1927"/>
      <c r="N9" s="1927"/>
      <c r="O9" s="1927"/>
      <c r="P9" s="3734"/>
      <c r="Q9" s="3735"/>
      <c r="R9" s="2053"/>
      <c r="S9" s="2053"/>
      <c r="T9" s="2053"/>
      <c r="U9" s="2053"/>
      <c r="V9" s="2053"/>
      <c r="W9" s="2053"/>
      <c r="X9" s="2053"/>
      <c r="Y9" s="2053"/>
      <c r="Z9" s="2053"/>
      <c r="AA9" s="2492">
        <v>9</v>
      </c>
      <c r="AB9" s="2053"/>
    </row>
    <row r="10" spans="1:28" s="1928" customFormat="1" ht="14.5">
      <c r="A10" s="1929" t="s">
        <v>2983</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1">
        <v>10</v>
      </c>
      <c r="AB10" s="2053"/>
    </row>
    <row r="11" spans="1:28" s="1928" customFormat="1">
      <c r="A11" s="3736" t="s">
        <v>1327</v>
      </c>
      <c r="B11" s="3737"/>
      <c r="C11" s="3737"/>
      <c r="D11" s="3737"/>
      <c r="E11" s="3737"/>
      <c r="F11" s="3737"/>
      <c r="G11" s="3737"/>
      <c r="H11" s="3737"/>
      <c r="I11" s="3737"/>
      <c r="J11" s="3737"/>
      <c r="K11" s="3737"/>
      <c r="L11" s="3737"/>
      <c r="M11" s="3737"/>
      <c r="N11" s="3737"/>
      <c r="O11" s="3737"/>
      <c r="P11" s="3737"/>
      <c r="Q11" s="3738"/>
      <c r="R11" s="2053"/>
      <c r="S11" s="2053"/>
      <c r="T11" s="2053"/>
      <c r="U11" s="2053"/>
      <c r="V11" s="2053"/>
      <c r="W11" s="2053"/>
      <c r="X11" s="2053"/>
      <c r="Y11" s="2053"/>
      <c r="Z11" s="2053"/>
      <c r="AA11" s="2491">
        <v>11</v>
      </c>
      <c r="AB11" s="2053"/>
    </row>
    <row r="12" spans="1:28" s="1928" customFormat="1">
      <c r="A12" s="3725" t="s">
        <v>218</v>
      </c>
      <c r="B12" s="3726"/>
      <c r="C12" s="3726"/>
      <c r="D12" s="3726"/>
      <c r="E12" s="3726"/>
      <c r="F12" s="3726"/>
      <c r="G12" s="3726"/>
      <c r="H12" s="3726"/>
      <c r="I12" s="3726"/>
      <c r="J12" s="3726"/>
      <c r="K12" s="3726"/>
      <c r="L12" s="3726"/>
      <c r="M12" s="3726"/>
      <c r="N12" s="3726"/>
      <c r="O12" s="3726"/>
      <c r="P12" s="3726"/>
      <c r="Q12" s="3727"/>
      <c r="R12" s="2053"/>
      <c r="S12" s="2053"/>
      <c r="T12" s="2053"/>
      <c r="U12" s="2053"/>
      <c r="V12" s="2053"/>
      <c r="W12" s="2053"/>
      <c r="X12" s="2053"/>
      <c r="Y12" s="2053"/>
      <c r="Z12" s="2053"/>
      <c r="AA12" s="2491">
        <v>12</v>
      </c>
      <c r="AB12" s="2053"/>
    </row>
    <row r="13" spans="1:28" s="1928" customFormat="1">
      <c r="A13" s="3725" t="s">
        <v>1323</v>
      </c>
      <c r="B13" s="3726"/>
      <c r="C13" s="3726"/>
      <c r="D13" s="3726"/>
      <c r="E13" s="3726"/>
      <c r="F13" s="3726"/>
      <c r="G13" s="3726"/>
      <c r="H13" s="3726"/>
      <c r="I13" s="3726"/>
      <c r="J13" s="3726"/>
      <c r="K13" s="3726"/>
      <c r="L13" s="3726"/>
      <c r="M13" s="3726"/>
      <c r="N13" s="3726"/>
      <c r="O13" s="3726"/>
      <c r="P13" s="3726"/>
      <c r="Q13" s="3727"/>
      <c r="R13" s="2053"/>
      <c r="S13" s="2053"/>
      <c r="T13" s="2053"/>
      <c r="U13" s="2053"/>
      <c r="V13" s="2053"/>
      <c r="W13" s="2053"/>
      <c r="X13" s="2053"/>
      <c r="Y13" s="2053"/>
      <c r="Z13" s="2053"/>
      <c r="AA13" s="2491">
        <v>13</v>
      </c>
      <c r="AB13" s="2053"/>
    </row>
    <row r="14" spans="1:28" s="1928" customFormat="1">
      <c r="A14" s="3725" t="s">
        <v>1324</v>
      </c>
      <c r="B14" s="3726"/>
      <c r="C14" s="3726"/>
      <c r="D14" s="3726"/>
      <c r="E14" s="3726"/>
      <c r="F14" s="3726"/>
      <c r="G14" s="3726"/>
      <c r="H14" s="3726"/>
      <c r="I14" s="3726"/>
      <c r="J14" s="3726"/>
      <c r="K14" s="3726"/>
      <c r="L14" s="3726"/>
      <c r="M14" s="3726"/>
      <c r="N14" s="3726"/>
      <c r="O14" s="3726"/>
      <c r="P14" s="3726"/>
      <c r="Q14" s="3727"/>
      <c r="R14" s="2053"/>
      <c r="S14" s="2053"/>
      <c r="T14" s="2053"/>
      <c r="U14" s="2053"/>
      <c r="V14" s="2053"/>
      <c r="W14" s="2053"/>
      <c r="X14" s="2053"/>
      <c r="Y14" s="2053"/>
      <c r="Z14" s="2053"/>
      <c r="AA14" s="2491">
        <v>14</v>
      </c>
      <c r="AB14" s="2053"/>
    </row>
    <row r="15" spans="1:28" s="1928" customFormat="1">
      <c r="A15" s="3725" t="s">
        <v>1325</v>
      </c>
      <c r="B15" s="3726"/>
      <c r="C15" s="3726"/>
      <c r="D15" s="3726"/>
      <c r="E15" s="3726"/>
      <c r="F15" s="3726"/>
      <c r="G15" s="3726"/>
      <c r="H15" s="3726"/>
      <c r="I15" s="3726"/>
      <c r="J15" s="3726"/>
      <c r="K15" s="3726"/>
      <c r="L15" s="3726"/>
      <c r="M15" s="3726"/>
      <c r="N15" s="3726"/>
      <c r="O15" s="3726"/>
      <c r="P15" s="3726"/>
      <c r="Q15" s="3727"/>
      <c r="R15" s="2053"/>
      <c r="S15" s="2053"/>
      <c r="T15" s="2053"/>
      <c r="U15" s="2053"/>
      <c r="V15" s="2053"/>
      <c r="W15" s="2053"/>
      <c r="X15" s="2053"/>
      <c r="Y15" s="2053"/>
      <c r="Z15" s="2053"/>
      <c r="AA15" s="2491">
        <v>15</v>
      </c>
      <c r="AB15" s="2053"/>
    </row>
    <row r="16" spans="1:28" s="1928" customFormat="1">
      <c r="A16" s="3725" t="s">
        <v>1326</v>
      </c>
      <c r="B16" s="3726"/>
      <c r="C16" s="3726"/>
      <c r="D16" s="3726"/>
      <c r="E16" s="3726"/>
      <c r="F16" s="3726"/>
      <c r="G16" s="3726"/>
      <c r="H16" s="3726"/>
      <c r="I16" s="3726"/>
      <c r="J16" s="3726"/>
      <c r="K16" s="3726"/>
      <c r="L16" s="3726"/>
      <c r="M16" s="3726"/>
      <c r="N16" s="3726"/>
      <c r="O16" s="3726"/>
      <c r="P16" s="3726"/>
      <c r="Q16" s="3727"/>
      <c r="R16" s="2053"/>
      <c r="S16" s="2053"/>
      <c r="T16" s="2053"/>
      <c r="U16" s="2053"/>
      <c r="V16" s="2053"/>
      <c r="W16" s="2053"/>
      <c r="X16" s="2053"/>
      <c r="Y16" s="2053"/>
      <c r="Z16" s="2053"/>
      <c r="AA16" s="2491">
        <v>16</v>
      </c>
      <c r="AB16" s="2053"/>
    </row>
    <row r="17" spans="1:28" s="1928" customFormat="1">
      <c r="A17" s="3725" t="s">
        <v>1328</v>
      </c>
      <c r="B17" s="3726"/>
      <c r="C17" s="3726"/>
      <c r="D17" s="3726"/>
      <c r="E17" s="3726"/>
      <c r="F17" s="3726"/>
      <c r="G17" s="3726"/>
      <c r="H17" s="3726"/>
      <c r="I17" s="3726"/>
      <c r="J17" s="3726"/>
      <c r="K17" s="3726"/>
      <c r="L17" s="3726"/>
      <c r="M17" s="3726"/>
      <c r="N17" s="3726"/>
      <c r="O17" s="3726"/>
      <c r="P17" s="3726"/>
      <c r="Q17" s="3727"/>
      <c r="R17" s="2053"/>
      <c r="S17" s="2053"/>
      <c r="T17" s="2053"/>
      <c r="U17" s="2053"/>
      <c r="V17" s="2053"/>
      <c r="W17" s="2053"/>
      <c r="X17" s="2053"/>
      <c r="Y17" s="2053"/>
      <c r="Z17" s="2053"/>
      <c r="AA17" s="2491">
        <v>17</v>
      </c>
      <c r="AB17" s="2053"/>
    </row>
    <row r="18" spans="1:28" s="1928" customFormat="1">
      <c r="A18" s="3725" t="s">
        <v>1867</v>
      </c>
      <c r="B18" s="3726"/>
      <c r="C18" s="3726"/>
      <c r="D18" s="3726"/>
      <c r="E18" s="3726"/>
      <c r="F18" s="3726"/>
      <c r="G18" s="3726"/>
      <c r="H18" s="3726"/>
      <c r="I18" s="3726"/>
      <c r="J18" s="3726"/>
      <c r="K18" s="3726"/>
      <c r="L18" s="3726"/>
      <c r="M18" s="3726"/>
      <c r="N18" s="3726"/>
      <c r="O18" s="3726"/>
      <c r="P18" s="3726"/>
      <c r="Q18" s="3727"/>
      <c r="R18" s="2053"/>
      <c r="S18" s="2053"/>
      <c r="T18" s="2053"/>
      <c r="U18" s="2053"/>
      <c r="V18" s="2053"/>
      <c r="W18" s="2053"/>
      <c r="X18" s="2053"/>
      <c r="Y18" s="2053"/>
      <c r="Z18" s="2053"/>
      <c r="AA18" s="2492">
        <v>18</v>
      </c>
      <c r="AB18" s="2053"/>
    </row>
    <row r="19" spans="1:28" s="1928" customFormat="1">
      <c r="A19" s="3725" t="s">
        <v>1868</v>
      </c>
      <c r="B19" s="3726"/>
      <c r="C19" s="3726"/>
      <c r="D19" s="3726"/>
      <c r="E19" s="3726"/>
      <c r="F19" s="3726"/>
      <c r="G19" s="3726"/>
      <c r="H19" s="3726"/>
      <c r="I19" s="3726"/>
      <c r="J19" s="3726"/>
      <c r="K19" s="3726"/>
      <c r="L19" s="3726"/>
      <c r="M19" s="3726"/>
      <c r="N19" s="3726"/>
      <c r="O19" s="3726"/>
      <c r="P19" s="3726"/>
      <c r="Q19" s="3727"/>
      <c r="R19" s="2053"/>
      <c r="S19" s="2053"/>
      <c r="T19" s="2053"/>
      <c r="U19" s="2053"/>
      <c r="V19" s="2053"/>
      <c r="W19" s="2053"/>
      <c r="X19" s="2053"/>
      <c r="Y19" s="2053"/>
      <c r="Z19" s="2053"/>
      <c r="AA19" s="2491">
        <v>19</v>
      </c>
      <c r="AB19" s="2053"/>
    </row>
    <row r="20" spans="1:28" s="1928" customFormat="1">
      <c r="A20" s="3725" t="s">
        <v>1869</v>
      </c>
      <c r="B20" s="3726"/>
      <c r="C20" s="3726"/>
      <c r="D20" s="3726"/>
      <c r="E20" s="3726"/>
      <c r="F20" s="3726"/>
      <c r="G20" s="3726"/>
      <c r="H20" s="3726"/>
      <c r="I20" s="3726"/>
      <c r="J20" s="3726"/>
      <c r="K20" s="3726"/>
      <c r="L20" s="3726"/>
      <c r="M20" s="3726"/>
      <c r="N20" s="3726"/>
      <c r="O20" s="3726"/>
      <c r="P20" s="3726"/>
      <c r="Q20" s="3727"/>
      <c r="R20" s="2053"/>
      <c r="S20" s="2053"/>
      <c r="T20" s="2053"/>
      <c r="U20" s="2053"/>
      <c r="V20" s="2053"/>
      <c r="W20" s="2053"/>
      <c r="X20" s="2053"/>
      <c r="Y20" s="2053"/>
      <c r="Z20" s="2053"/>
      <c r="AA20" s="2491">
        <v>20</v>
      </c>
      <c r="AB20" s="2053"/>
    </row>
    <row r="21" spans="1:28" s="1928" customFormat="1">
      <c r="A21" s="3725" t="s">
        <v>1870</v>
      </c>
      <c r="B21" s="3726"/>
      <c r="C21" s="3726"/>
      <c r="D21" s="3726"/>
      <c r="E21" s="3726"/>
      <c r="F21" s="3726"/>
      <c r="G21" s="3726"/>
      <c r="H21" s="3726"/>
      <c r="I21" s="3726"/>
      <c r="J21" s="3726"/>
      <c r="K21" s="3726"/>
      <c r="L21" s="3726"/>
      <c r="M21" s="3726"/>
      <c r="N21" s="3726"/>
      <c r="O21" s="3726"/>
      <c r="P21" s="3726"/>
      <c r="Q21" s="3727"/>
      <c r="R21" s="2053"/>
      <c r="S21" s="2053"/>
      <c r="T21" s="2053"/>
      <c r="U21" s="2053"/>
      <c r="V21" s="2053"/>
      <c r="W21" s="2053"/>
      <c r="X21" s="2053"/>
      <c r="Y21" s="2053"/>
      <c r="Z21" s="2053"/>
      <c r="AA21" s="2491">
        <v>21</v>
      </c>
      <c r="AB21" s="2053"/>
    </row>
    <row r="22" spans="1:28" s="1928" customFormat="1">
      <c r="A22" s="3725" t="s">
        <v>1871</v>
      </c>
      <c r="B22" s="3726"/>
      <c r="C22" s="3726"/>
      <c r="D22" s="3726"/>
      <c r="E22" s="3726"/>
      <c r="F22" s="3726"/>
      <c r="G22" s="3726"/>
      <c r="H22" s="3726"/>
      <c r="I22" s="3726"/>
      <c r="J22" s="3726"/>
      <c r="K22" s="3726"/>
      <c r="L22" s="3726"/>
      <c r="M22" s="3726"/>
      <c r="N22" s="3726"/>
      <c r="O22" s="3726"/>
      <c r="P22" s="3726"/>
      <c r="Q22" s="3727"/>
      <c r="R22" s="2053"/>
      <c r="S22" s="2053"/>
      <c r="T22" s="2053"/>
      <c r="U22" s="2053"/>
      <c r="V22" s="2053"/>
      <c r="W22" s="2053"/>
      <c r="X22" s="2053"/>
      <c r="Y22" s="2053"/>
      <c r="Z22" s="2053"/>
      <c r="AA22" s="2491">
        <v>22</v>
      </c>
      <c r="AB22" s="2053"/>
    </row>
    <row r="23" spans="1:28" s="1928" customFormat="1">
      <c r="A23" s="3725" t="s">
        <v>1872</v>
      </c>
      <c r="B23" s="3726"/>
      <c r="C23" s="3726"/>
      <c r="D23" s="3726"/>
      <c r="E23" s="3726"/>
      <c r="F23" s="3726"/>
      <c r="G23" s="3726"/>
      <c r="H23" s="3726"/>
      <c r="I23" s="3726"/>
      <c r="J23" s="3726"/>
      <c r="K23" s="3726"/>
      <c r="L23" s="3726"/>
      <c r="M23" s="3726"/>
      <c r="N23" s="3726"/>
      <c r="O23" s="3726"/>
      <c r="P23" s="3726"/>
      <c r="Q23" s="3727"/>
      <c r="R23" s="2053"/>
      <c r="S23" s="2053"/>
      <c r="T23" s="2053"/>
      <c r="U23" s="2053"/>
      <c r="V23" s="2053"/>
      <c r="W23" s="2053"/>
      <c r="X23" s="2053"/>
      <c r="Y23" s="2053"/>
      <c r="Z23" s="2053"/>
      <c r="AA23" s="2491">
        <v>23</v>
      </c>
      <c r="AB23" s="2053"/>
    </row>
    <row r="24" spans="1:28" s="1928" customFormat="1">
      <c r="A24" s="3725" t="s">
        <v>1873</v>
      </c>
      <c r="B24" s="3726"/>
      <c r="C24" s="3726"/>
      <c r="D24" s="3726"/>
      <c r="E24" s="3726"/>
      <c r="F24" s="3726"/>
      <c r="G24" s="3726"/>
      <c r="H24" s="3726"/>
      <c r="I24" s="3726"/>
      <c r="J24" s="3726"/>
      <c r="K24" s="3726"/>
      <c r="L24" s="3726"/>
      <c r="M24" s="3726"/>
      <c r="N24" s="3726"/>
      <c r="O24" s="3726"/>
      <c r="P24" s="3726"/>
      <c r="Q24" s="3727"/>
      <c r="R24" s="2053"/>
      <c r="S24" s="2053"/>
      <c r="T24" s="2053"/>
      <c r="U24" s="2053"/>
      <c r="V24" s="2053"/>
      <c r="W24" s="2053"/>
      <c r="X24" s="2053"/>
      <c r="Y24" s="2053"/>
      <c r="Z24" s="2053"/>
      <c r="AA24" s="2491">
        <v>24</v>
      </c>
      <c r="AB24" s="2053"/>
    </row>
    <row r="25" spans="1:28" s="1928" customFormat="1">
      <c r="A25" s="3725" t="s">
        <v>1874</v>
      </c>
      <c r="B25" s="3726"/>
      <c r="C25" s="3726"/>
      <c r="D25" s="3726"/>
      <c r="E25" s="3726"/>
      <c r="F25" s="3726"/>
      <c r="G25" s="3726"/>
      <c r="H25" s="3726"/>
      <c r="I25" s="3726"/>
      <c r="J25" s="3726"/>
      <c r="K25" s="3726"/>
      <c r="L25" s="3726"/>
      <c r="M25" s="3726"/>
      <c r="N25" s="3726"/>
      <c r="O25" s="3726"/>
      <c r="P25" s="3726"/>
      <c r="Q25" s="3727"/>
      <c r="R25" s="2053"/>
      <c r="S25" s="2053"/>
      <c r="T25" s="2053"/>
      <c r="U25" s="2053"/>
      <c r="V25" s="2053"/>
      <c r="W25" s="2053"/>
      <c r="X25" s="2053"/>
      <c r="Y25" s="2053"/>
      <c r="Z25" s="2053"/>
      <c r="AA25" s="2491">
        <v>25</v>
      </c>
      <c r="AB25" s="2053"/>
    </row>
    <row r="26" spans="1:28" s="1928" customFormat="1">
      <c r="A26" s="3725" t="s">
        <v>1875</v>
      </c>
      <c r="B26" s="3726"/>
      <c r="C26" s="3726"/>
      <c r="D26" s="3726"/>
      <c r="E26" s="3726"/>
      <c r="F26" s="3726"/>
      <c r="G26" s="3726"/>
      <c r="H26" s="3726"/>
      <c r="I26" s="3726"/>
      <c r="J26" s="3726"/>
      <c r="K26" s="3726"/>
      <c r="L26" s="3726"/>
      <c r="M26" s="3726"/>
      <c r="N26" s="3726"/>
      <c r="O26" s="3726"/>
      <c r="P26" s="3726"/>
      <c r="Q26" s="3727"/>
      <c r="R26" s="2053"/>
      <c r="S26" s="2053"/>
      <c r="T26" s="2053"/>
      <c r="U26" s="2053"/>
      <c r="V26" s="2053"/>
      <c r="W26" s="2053"/>
      <c r="X26" s="2053"/>
      <c r="Y26" s="2053"/>
      <c r="Z26" s="2053"/>
      <c r="AA26" s="2491">
        <v>26</v>
      </c>
      <c r="AB26" s="2053"/>
    </row>
    <row r="27" spans="1:28" s="1928" customFormat="1">
      <c r="A27" s="3725" t="s">
        <v>1876</v>
      </c>
      <c r="B27" s="3726"/>
      <c r="C27" s="3726"/>
      <c r="D27" s="3726"/>
      <c r="E27" s="3726"/>
      <c r="F27" s="3726"/>
      <c r="G27" s="3726"/>
      <c r="H27" s="3726"/>
      <c r="I27" s="3726"/>
      <c r="J27" s="3726"/>
      <c r="K27" s="3726"/>
      <c r="L27" s="3726"/>
      <c r="M27" s="3726"/>
      <c r="N27" s="3726"/>
      <c r="O27" s="3726"/>
      <c r="P27" s="3726"/>
      <c r="Q27" s="3727"/>
      <c r="R27" s="2053"/>
      <c r="S27" s="2053"/>
      <c r="T27" s="2053"/>
      <c r="U27" s="2053"/>
      <c r="V27" s="2053"/>
      <c r="W27" s="2053"/>
      <c r="X27" s="2053"/>
      <c r="Y27" s="2053"/>
      <c r="Z27" s="2053"/>
      <c r="AA27" s="2492">
        <v>27</v>
      </c>
      <c r="AB27" s="2053"/>
    </row>
    <row r="28" spans="1:28" s="1928" customFormat="1">
      <c r="A28" s="3728" t="s">
        <v>1877</v>
      </c>
      <c r="B28" s="3729"/>
      <c r="C28" s="3729"/>
      <c r="D28" s="3729"/>
      <c r="E28" s="3729"/>
      <c r="F28" s="3729"/>
      <c r="G28" s="3729"/>
      <c r="H28" s="3729"/>
      <c r="I28" s="3729"/>
      <c r="J28" s="3729"/>
      <c r="K28" s="3729"/>
      <c r="L28" s="3729"/>
      <c r="M28" s="3729"/>
      <c r="N28" s="3729"/>
      <c r="O28" s="3729"/>
      <c r="P28" s="3729"/>
      <c r="Q28" s="3730"/>
      <c r="R28" s="2053"/>
      <c r="S28" s="2053"/>
      <c r="T28" s="2053"/>
      <c r="U28" s="2053"/>
      <c r="V28" s="2053"/>
      <c r="W28" s="2053"/>
      <c r="X28" s="2053"/>
      <c r="Y28" s="2053"/>
      <c r="Z28" s="2053"/>
      <c r="AA28" s="2491">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1">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1">
        <v>30</v>
      </c>
      <c r="AB30" s="2053"/>
    </row>
    <row r="31" spans="1:28" ht="20.25" customHeight="1">
      <c r="A31" s="1941" t="s">
        <v>572</v>
      </c>
      <c r="B31" s="1933" t="s">
        <v>4532</v>
      </c>
      <c r="C31" s="1933"/>
      <c r="D31" s="1933"/>
      <c r="E31" s="1933"/>
      <c r="F31" s="1933"/>
      <c r="G31" s="1933"/>
      <c r="I31" s="1935"/>
      <c r="J31" s="1935"/>
      <c r="K31" s="1935"/>
      <c r="L31" s="1932"/>
      <c r="M31" s="1932"/>
      <c r="O31" s="1936" t="s">
        <v>1726</v>
      </c>
      <c r="P31" s="3731"/>
      <c r="Q31" s="3732"/>
      <c r="AA31" s="2491">
        <v>31</v>
      </c>
    </row>
    <row r="32" spans="1:28" ht="15" customHeight="1">
      <c r="B32" s="1938" t="s">
        <v>4660</v>
      </c>
      <c r="C32" s="1938"/>
      <c r="D32" s="1938"/>
      <c r="E32" s="1938"/>
      <c r="F32" s="1938"/>
      <c r="G32" s="1935"/>
      <c r="H32" s="1935"/>
      <c r="I32" s="1935"/>
      <c r="J32" s="1935"/>
      <c r="K32" s="1932"/>
      <c r="L32" s="1932"/>
      <c r="M32" s="1932"/>
      <c r="N32" s="1932"/>
      <c r="O32" s="1932"/>
      <c r="P32" s="1932"/>
      <c r="AA32" s="2491">
        <v>32</v>
      </c>
    </row>
    <row r="33" spans="1:27" ht="20.25" customHeight="1">
      <c r="A33" s="3582"/>
      <c r="B33" s="3582"/>
      <c r="C33" s="3582"/>
      <c r="D33" s="3582"/>
      <c r="E33" s="3582"/>
      <c r="F33" s="3582"/>
      <c r="G33" s="3582"/>
      <c r="H33" s="3582"/>
      <c r="I33" s="3582"/>
      <c r="J33" s="3582"/>
      <c r="K33" s="3582"/>
      <c r="L33" s="3582"/>
      <c r="M33" s="3582"/>
      <c r="N33" s="3582"/>
      <c r="O33" s="3582"/>
      <c r="P33" s="3582"/>
      <c r="Q33" s="3653"/>
      <c r="AA33" s="2491">
        <v>33</v>
      </c>
    </row>
    <row r="34" spans="1:27" ht="15" customHeight="1">
      <c r="B34" s="1938" t="s">
        <v>1725</v>
      </c>
      <c r="C34" s="1939"/>
      <c r="D34" s="1940"/>
      <c r="E34" s="1940"/>
      <c r="F34" s="1940"/>
      <c r="G34" s="1940"/>
      <c r="H34" s="1940"/>
      <c r="I34" s="1940"/>
      <c r="J34" s="1940"/>
      <c r="K34" s="1940"/>
      <c r="L34" s="1940"/>
      <c r="M34" s="1940"/>
      <c r="N34" s="1940"/>
      <c r="O34" s="1940"/>
      <c r="P34" s="1940"/>
      <c r="AA34" s="2491">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1">
        <v>35</v>
      </c>
    </row>
    <row r="36" spans="1:27" ht="11.25" customHeight="1">
      <c r="B36" s="1935"/>
      <c r="C36" s="1940"/>
      <c r="D36" s="1940"/>
      <c r="E36" s="1940"/>
      <c r="F36" s="1940"/>
      <c r="G36" s="1940"/>
      <c r="H36" s="1940"/>
      <c r="I36" s="1940"/>
      <c r="J36" s="1940"/>
      <c r="K36" s="1940"/>
      <c r="L36" s="1940"/>
      <c r="M36" s="1940"/>
      <c r="N36" s="1940"/>
      <c r="O36" s="1940"/>
      <c r="P36" s="1940"/>
      <c r="Q36" s="1932"/>
      <c r="AA36" s="2492">
        <v>36</v>
      </c>
    </row>
    <row r="37" spans="1:27" ht="11.25" customHeight="1">
      <c r="B37" s="1935"/>
      <c r="C37" s="1940"/>
      <c r="D37" s="1940"/>
      <c r="E37" s="1940"/>
      <c r="F37" s="1940"/>
      <c r="G37" s="1940"/>
      <c r="H37" s="1940"/>
      <c r="I37" s="1940"/>
      <c r="J37" s="1940"/>
      <c r="K37" s="1940"/>
      <c r="L37" s="1940"/>
      <c r="M37" s="1940"/>
      <c r="N37" s="1940"/>
      <c r="O37" s="1940"/>
      <c r="P37" s="1940"/>
      <c r="Q37" s="1932"/>
      <c r="AA37" s="2491">
        <v>37</v>
      </c>
    </row>
    <row r="38" spans="1:27" ht="20.25" customHeight="1">
      <c r="A38" s="1941" t="s">
        <v>688</v>
      </c>
      <c r="B38" s="1933" t="s">
        <v>1117</v>
      </c>
      <c r="C38" s="1933"/>
      <c r="D38" s="1933"/>
      <c r="E38" s="1940"/>
      <c r="F38" s="1940"/>
      <c r="G38" s="1942"/>
      <c r="O38" s="1936" t="s">
        <v>1726</v>
      </c>
      <c r="P38" s="3588"/>
      <c r="Q38" s="3639"/>
      <c r="AA38" s="2491">
        <v>38</v>
      </c>
    </row>
    <row r="39" spans="1:27" ht="18.75" customHeight="1">
      <c r="A39" s="1941"/>
      <c r="B39" s="3724" t="s">
        <v>4661</v>
      </c>
      <c r="C39" s="3724"/>
      <c r="D39" s="3724"/>
      <c r="E39" s="3724"/>
      <c r="F39" s="3724"/>
      <c r="G39" s="3724"/>
      <c r="H39" s="3724"/>
      <c r="I39" s="3724"/>
      <c r="J39" s="3724"/>
      <c r="K39" s="3724"/>
      <c r="L39" s="3724"/>
      <c r="M39" s="3724"/>
      <c r="N39" s="3724"/>
      <c r="O39" s="3724"/>
      <c r="P39" s="3599"/>
      <c r="Q39" s="3600"/>
      <c r="AA39" s="2491">
        <v>39</v>
      </c>
    </row>
    <row r="40" spans="1:27" ht="15" customHeight="1">
      <c r="B40" s="1944" t="s">
        <v>3158</v>
      </c>
      <c r="D40" s="1944"/>
      <c r="E40" s="1944"/>
      <c r="F40" s="1944"/>
      <c r="G40" s="1944"/>
      <c r="H40" s="1942"/>
      <c r="I40" s="1935"/>
      <c r="J40" s="1935"/>
      <c r="AA40" s="2491">
        <v>40</v>
      </c>
    </row>
    <row r="41" spans="1:27" ht="20.25" customHeight="1">
      <c r="A41" s="3628"/>
      <c r="B41" s="3629"/>
      <c r="C41" s="3629"/>
      <c r="D41" s="3629"/>
      <c r="E41" s="3629"/>
      <c r="F41" s="3629"/>
      <c r="G41" s="3629"/>
      <c r="H41" s="3629"/>
      <c r="I41" s="3629"/>
      <c r="J41" s="3629"/>
      <c r="K41" s="3629"/>
      <c r="L41" s="3629"/>
      <c r="M41" s="3629"/>
      <c r="N41" s="3629"/>
      <c r="O41" s="3629"/>
      <c r="P41" s="3629"/>
      <c r="Q41" s="3630"/>
      <c r="AA41" s="2491">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1">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1">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1">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2">
        <v>45</v>
      </c>
    </row>
    <row r="46" spans="1:27" ht="20.25" customHeight="1">
      <c r="A46" s="1941" t="s">
        <v>690</v>
      </c>
      <c r="B46" s="1941" t="s">
        <v>4797</v>
      </c>
      <c r="C46" s="1941"/>
      <c r="D46" s="1940"/>
      <c r="E46" s="1940"/>
      <c r="F46" s="1940"/>
      <c r="G46" s="1940"/>
      <c r="H46" s="1940"/>
      <c r="I46" s="1940"/>
      <c r="J46" s="1940"/>
      <c r="L46" s="1945"/>
      <c r="M46" s="1946"/>
      <c r="O46" s="1936" t="s">
        <v>1726</v>
      </c>
      <c r="P46" s="3588"/>
      <c r="Q46" s="3596"/>
      <c r="AA46" s="2491">
        <v>46</v>
      </c>
    </row>
    <row r="47" spans="1:27" ht="20.25" customHeight="1">
      <c r="A47" s="1947"/>
      <c r="B47" s="1942" t="s">
        <v>5020</v>
      </c>
      <c r="C47" s="1941"/>
      <c r="D47" s="1940"/>
      <c r="E47" s="1940"/>
      <c r="F47" s="1940"/>
      <c r="G47" s="1940"/>
      <c r="H47" s="1940"/>
      <c r="I47" s="1940"/>
      <c r="J47" s="1940"/>
      <c r="L47" s="1945"/>
      <c r="M47" s="1946"/>
      <c r="O47" s="1936"/>
      <c r="P47" s="3599"/>
      <c r="Q47" s="3600"/>
      <c r="AA47" s="2491">
        <v>47</v>
      </c>
    </row>
    <row r="48" spans="1:27" ht="15" customHeight="1">
      <c r="B48" s="1944" t="s">
        <v>3158</v>
      </c>
      <c r="D48" s="1944"/>
      <c r="E48" s="1944"/>
      <c r="F48" s="1944"/>
      <c r="G48" s="1944"/>
      <c r="H48" s="1942"/>
      <c r="I48" s="1935"/>
      <c r="J48" s="1935"/>
      <c r="K48" s="1938" t="s">
        <v>1725</v>
      </c>
      <c r="L48" s="1932"/>
      <c r="M48" s="1932"/>
      <c r="N48" s="1932"/>
      <c r="O48" s="1932"/>
      <c r="P48" s="1932"/>
      <c r="Q48" s="1932"/>
      <c r="AA48" s="2491">
        <v>48</v>
      </c>
    </row>
    <row r="49" spans="1:27" ht="20.25" customHeight="1">
      <c r="A49" s="3582"/>
      <c r="B49" s="3582"/>
      <c r="C49" s="3582"/>
      <c r="D49" s="3582"/>
      <c r="E49" s="3582"/>
      <c r="F49" s="3582"/>
      <c r="G49" s="3582"/>
      <c r="H49" s="3582"/>
      <c r="I49" s="3582"/>
      <c r="J49" s="3582"/>
      <c r="K49" s="3585"/>
      <c r="L49" s="3585"/>
      <c r="M49" s="3585"/>
      <c r="N49" s="3585"/>
      <c r="O49" s="3585"/>
      <c r="P49" s="3585"/>
      <c r="Q49" s="3640"/>
      <c r="AA49" s="2491">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1">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1">
        <v>51</v>
      </c>
    </row>
    <row r="52" spans="1:27" ht="20.25" customHeight="1">
      <c r="A52" s="1941" t="s">
        <v>1661</v>
      </c>
      <c r="B52" s="1941" t="s">
        <v>3894</v>
      </c>
      <c r="C52" s="1941"/>
      <c r="D52" s="1940"/>
      <c r="E52" s="1940"/>
      <c r="F52" s="1940"/>
      <c r="G52" s="1940"/>
      <c r="H52" s="1948"/>
      <c r="J52" s="1947"/>
      <c r="K52" s="1926"/>
      <c r="L52" s="1947"/>
      <c r="M52" s="1949"/>
      <c r="O52" s="1936" t="s">
        <v>1726</v>
      </c>
      <c r="P52" s="3588"/>
      <c r="Q52" s="3596"/>
      <c r="AA52" s="2491">
        <v>52</v>
      </c>
    </row>
    <row r="53" spans="1:27" ht="28" customHeight="1">
      <c r="A53" s="1947"/>
      <c r="B53" s="3590" t="s">
        <v>2258</v>
      </c>
      <c r="C53" s="3590"/>
      <c r="D53" s="3590"/>
      <c r="E53" s="3590"/>
      <c r="F53" s="3590"/>
      <c r="G53" s="3590"/>
      <c r="H53" s="3591"/>
      <c r="I53" s="3582"/>
      <c r="J53" s="3583"/>
      <c r="K53" s="3583"/>
      <c r="L53" s="3583"/>
      <c r="M53" s="3583"/>
      <c r="N53" s="3583"/>
      <c r="O53" s="3583"/>
      <c r="P53" s="3583"/>
      <c r="Q53" s="3584"/>
      <c r="AA53" s="2491">
        <v>53</v>
      </c>
    </row>
    <row r="54" spans="1:27" ht="16" customHeight="1">
      <c r="A54" s="1947"/>
      <c r="B54" s="1934" t="s">
        <v>4662</v>
      </c>
      <c r="D54" s="1950"/>
      <c r="E54" s="1950"/>
      <c r="F54" s="1950"/>
      <c r="I54" s="3719"/>
      <c r="J54" s="3720"/>
      <c r="K54" s="3721"/>
      <c r="L54" s="1943"/>
      <c r="M54" s="1951"/>
      <c r="N54" s="1951"/>
      <c r="O54" s="1951"/>
      <c r="P54" s="1951"/>
      <c r="Q54" s="1932"/>
      <c r="AA54" s="2492">
        <v>54</v>
      </c>
    </row>
    <row r="55" spans="1:27" ht="16" customHeight="1">
      <c r="A55" s="1947"/>
      <c r="B55" s="1934" t="s">
        <v>4663</v>
      </c>
      <c r="D55" s="1950"/>
      <c r="E55" s="1950"/>
      <c r="F55" s="1950"/>
      <c r="H55" s="1943" t="s">
        <v>4664</v>
      </c>
      <c r="I55" s="3719"/>
      <c r="J55" s="3720"/>
      <c r="K55" s="3721"/>
      <c r="L55" s="1952"/>
      <c r="M55" s="1953" t="s">
        <v>4665</v>
      </c>
      <c r="N55" s="3719"/>
      <c r="O55" s="3721"/>
      <c r="P55" s="1937"/>
      <c r="Q55" s="1937"/>
      <c r="AA55" s="2491">
        <v>55</v>
      </c>
    </row>
    <row r="56" spans="1:27" ht="15" customHeight="1">
      <c r="B56" s="1954" t="s">
        <v>3158</v>
      </c>
      <c r="D56" s="1954"/>
      <c r="E56" s="1954"/>
      <c r="F56" s="1954"/>
      <c r="G56" s="1954"/>
      <c r="H56" s="1942"/>
      <c r="I56" s="1935"/>
      <c r="J56" s="1935"/>
      <c r="K56" s="1935"/>
      <c r="L56" s="1932"/>
      <c r="M56" s="1932"/>
      <c r="N56" s="1932"/>
      <c r="O56" s="1932"/>
      <c r="P56" s="1932"/>
      <c r="Q56" s="1932"/>
      <c r="AA56" s="2491">
        <v>56</v>
      </c>
    </row>
    <row r="57" spans="1:27" ht="20.25" customHeight="1">
      <c r="A57" s="3582"/>
      <c r="B57" s="3582"/>
      <c r="C57" s="3582"/>
      <c r="D57" s="3582"/>
      <c r="E57" s="3582"/>
      <c r="F57" s="3582"/>
      <c r="G57" s="3582"/>
      <c r="H57" s="3582"/>
      <c r="I57" s="3582"/>
      <c r="J57" s="3582"/>
      <c r="K57" s="3582"/>
      <c r="L57" s="3582"/>
      <c r="M57" s="3582"/>
      <c r="N57" s="3582"/>
      <c r="O57" s="3582"/>
      <c r="P57" s="3582"/>
      <c r="Q57" s="3653"/>
      <c r="AA57" s="2491">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1">
        <v>58</v>
      </c>
    </row>
    <row r="59" spans="1:27" ht="20.25" customHeight="1">
      <c r="A59" s="3585"/>
      <c r="B59" s="3585"/>
      <c r="C59" s="3585"/>
      <c r="D59" s="3585"/>
      <c r="E59" s="3585"/>
      <c r="F59" s="3585"/>
      <c r="G59" s="3585"/>
      <c r="H59" s="3585"/>
      <c r="I59" s="3585"/>
      <c r="J59" s="3585"/>
      <c r="K59" s="3585"/>
      <c r="L59" s="3585"/>
      <c r="M59" s="3585"/>
      <c r="N59" s="3585"/>
      <c r="O59" s="3585"/>
      <c r="P59" s="3585"/>
      <c r="Q59" s="3640"/>
      <c r="AA59" s="2491">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1">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1">
        <v>61</v>
      </c>
    </row>
    <row r="62" spans="1:27" ht="20.25" customHeight="1">
      <c r="A62" s="1941" t="s">
        <v>1663</v>
      </c>
      <c r="B62" s="1941" t="s">
        <v>2416</v>
      </c>
      <c r="C62" s="1941"/>
      <c r="D62" s="1940"/>
      <c r="E62" s="1940"/>
      <c r="F62" s="1940"/>
      <c r="G62" s="1940"/>
      <c r="H62" s="1940"/>
      <c r="I62" s="1940"/>
      <c r="J62" s="1940"/>
      <c r="K62" s="1940"/>
      <c r="L62" s="1940"/>
      <c r="M62" s="1940"/>
      <c r="O62" s="1936" t="s">
        <v>1726</v>
      </c>
      <c r="P62" s="3641"/>
      <c r="Q62" s="3669"/>
      <c r="AA62" s="2491">
        <v>62</v>
      </c>
    </row>
    <row r="63" spans="1:27" ht="16" customHeight="1">
      <c r="A63" s="1947"/>
      <c r="B63" s="1934" t="s">
        <v>4666</v>
      </c>
      <c r="I63" s="1956"/>
      <c r="J63" s="3722"/>
      <c r="K63" s="3722"/>
      <c r="L63" s="3722"/>
      <c r="M63" s="3722"/>
      <c r="N63" s="3722"/>
      <c r="O63" s="3722"/>
      <c r="P63" s="3722"/>
      <c r="Q63" s="3723"/>
      <c r="AA63" s="2492">
        <v>63</v>
      </c>
    </row>
    <row r="64" spans="1:27" ht="16" customHeight="1">
      <c r="A64" s="1947"/>
      <c r="B64" s="1934" t="s">
        <v>3827</v>
      </c>
      <c r="O64" s="1943"/>
      <c r="P64" s="1962"/>
      <c r="Q64" s="1955"/>
      <c r="AA64" s="2491">
        <v>64</v>
      </c>
    </row>
    <row r="65" spans="1:28" ht="31.5" customHeight="1">
      <c r="B65" s="1941"/>
      <c r="C65" s="3590" t="s">
        <v>4799</v>
      </c>
      <c r="D65" s="3590"/>
      <c r="E65" s="3590"/>
      <c r="F65" s="3590"/>
      <c r="G65" s="3590"/>
      <c r="H65" s="3590"/>
      <c r="I65" s="3590"/>
      <c r="J65" s="3590"/>
      <c r="K65" s="3590"/>
      <c r="L65" s="3590"/>
      <c r="M65" s="3590"/>
      <c r="N65" s="3590"/>
      <c r="O65" s="3590"/>
      <c r="P65" s="2059"/>
      <c r="Q65" s="2084"/>
      <c r="AA65" s="2491">
        <v>65</v>
      </c>
    </row>
    <row r="66" spans="1:28" ht="15" customHeight="1">
      <c r="B66" s="1954" t="s">
        <v>4660</v>
      </c>
      <c r="D66" s="1954"/>
      <c r="E66" s="1954"/>
      <c r="F66" s="1954"/>
      <c r="G66" s="1954"/>
      <c r="H66" s="1942"/>
      <c r="I66" s="1935"/>
      <c r="J66" s="1935"/>
      <c r="K66" s="1935"/>
      <c r="L66" s="1932"/>
      <c r="M66" s="1932"/>
      <c r="N66" s="1932"/>
      <c r="O66" s="1932"/>
      <c r="P66" s="1932"/>
      <c r="Q66" s="1932"/>
      <c r="AA66" s="2491">
        <v>66</v>
      </c>
    </row>
    <row r="67" spans="1:28" ht="20.25" customHeight="1">
      <c r="A67" s="3628"/>
      <c r="B67" s="3635"/>
      <c r="C67" s="3635"/>
      <c r="D67" s="3635"/>
      <c r="E67" s="3635"/>
      <c r="F67" s="3635"/>
      <c r="G67" s="3635"/>
      <c r="H67" s="3635"/>
      <c r="I67" s="3635"/>
      <c r="J67" s="3635"/>
      <c r="K67" s="3635"/>
      <c r="L67" s="3635"/>
      <c r="M67" s="3635"/>
      <c r="N67" s="3635"/>
      <c r="O67" s="3635"/>
      <c r="P67" s="3635"/>
      <c r="Q67" s="3636"/>
      <c r="AA67" s="2491">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1">
        <v>68</v>
      </c>
    </row>
    <row r="69" spans="1:28" ht="20.25" customHeight="1">
      <c r="A69" s="3616"/>
      <c r="B69" s="3637"/>
      <c r="C69" s="3637"/>
      <c r="D69" s="3637"/>
      <c r="E69" s="3637"/>
      <c r="F69" s="3637"/>
      <c r="G69" s="3637"/>
      <c r="H69" s="3637"/>
      <c r="I69" s="3637"/>
      <c r="J69" s="3637"/>
      <c r="K69" s="3637"/>
      <c r="L69" s="3637"/>
      <c r="M69" s="3637"/>
      <c r="N69" s="3637"/>
      <c r="O69" s="3637"/>
      <c r="P69" s="3637"/>
      <c r="Q69" s="3638"/>
      <c r="AA69" s="2491">
        <v>69</v>
      </c>
    </row>
    <row r="70" spans="1:28" ht="11.25" customHeight="1">
      <c r="AA70" s="2491">
        <v>70</v>
      </c>
    </row>
    <row r="71" spans="1:28" ht="11.25" customHeight="1">
      <c r="A71" s="1937"/>
      <c r="AA71" s="2491">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8"/>
      <c r="Q72" s="3596"/>
      <c r="AA72" s="2492">
        <v>72</v>
      </c>
    </row>
    <row r="73" spans="1:28" ht="32.25" customHeight="1">
      <c r="A73" s="1947"/>
      <c r="B73" s="3590" t="s">
        <v>5004</v>
      </c>
      <c r="C73" s="3590"/>
      <c r="D73" s="3590"/>
      <c r="E73" s="3590"/>
      <c r="F73" s="3590"/>
      <c r="G73" s="3590"/>
      <c r="H73" s="3590"/>
      <c r="I73" s="3590"/>
      <c r="J73" s="3590"/>
      <c r="K73" s="3591"/>
      <c r="L73" s="3715"/>
      <c r="M73" s="3716"/>
      <c r="N73" s="3716"/>
      <c r="O73" s="3716"/>
      <c r="P73" s="3717"/>
      <c r="Q73" s="3718"/>
      <c r="AA73" s="2491">
        <v>73</v>
      </c>
    </row>
    <row r="74" spans="1:28" ht="16.5" customHeight="1">
      <c r="B74" s="1934" t="s">
        <v>4667</v>
      </c>
      <c r="C74" s="1937"/>
      <c r="O74" s="1943"/>
      <c r="P74" s="1962"/>
      <c r="Q74" s="1955"/>
      <c r="AA74" s="2491">
        <v>74</v>
      </c>
    </row>
    <row r="75" spans="1:28" ht="16.5" customHeight="1">
      <c r="A75" s="1947"/>
      <c r="B75" s="1934" t="s">
        <v>4530</v>
      </c>
      <c r="D75" s="1950"/>
      <c r="E75" s="1950"/>
      <c r="F75" s="1950"/>
      <c r="G75" s="1950"/>
      <c r="H75" s="1950"/>
      <c r="K75" s="1950"/>
      <c r="L75" s="1940"/>
      <c r="O75" s="1943"/>
      <c r="P75" s="1959"/>
      <c r="Q75" s="1960"/>
      <c r="AA75" s="2491">
        <v>75</v>
      </c>
    </row>
    <row r="76" spans="1:28" ht="15" customHeight="1">
      <c r="A76" s="1947"/>
      <c r="B76" s="1934" t="s">
        <v>4668</v>
      </c>
      <c r="D76" s="1950"/>
      <c r="E76" s="1950"/>
      <c r="F76" s="1950"/>
      <c r="G76" s="1950"/>
      <c r="H76" s="1950"/>
      <c r="K76" s="1950"/>
      <c r="L76" s="1940"/>
      <c r="M76" s="1940"/>
      <c r="N76" s="1940"/>
      <c r="O76" s="1943"/>
      <c r="AA76" s="2491">
        <v>76</v>
      </c>
    </row>
    <row r="77" spans="1:28" ht="16.5" customHeight="1">
      <c r="A77" s="1947"/>
      <c r="B77" s="1941"/>
      <c r="C77" s="1934" t="s">
        <v>4669</v>
      </c>
      <c r="E77" s="1950"/>
      <c r="F77" s="1950"/>
      <c r="G77" s="1950"/>
      <c r="H77" s="1950"/>
      <c r="K77" s="1950"/>
      <c r="L77" s="1940"/>
      <c r="M77" s="1940"/>
      <c r="O77" s="1943"/>
      <c r="P77" s="1962"/>
      <c r="Q77" s="1955"/>
      <c r="AA77" s="2491">
        <v>77</v>
      </c>
    </row>
    <row r="78" spans="1:28" ht="16.5" customHeight="1">
      <c r="A78" s="1947"/>
      <c r="B78" s="1941"/>
      <c r="C78" s="1934" t="s">
        <v>4670</v>
      </c>
      <c r="E78" s="1950"/>
      <c r="F78" s="1950"/>
      <c r="G78" s="1950"/>
      <c r="K78" s="1950"/>
      <c r="L78" s="1940"/>
      <c r="M78" s="1940"/>
      <c r="O78" s="1943"/>
      <c r="P78" s="1957"/>
      <c r="Q78" s="1958"/>
      <c r="AA78" s="2491">
        <v>78</v>
      </c>
    </row>
    <row r="79" spans="1:28" s="1973" customFormat="1" ht="16.5" customHeight="1">
      <c r="A79" s="1963"/>
      <c r="B79" s="1964"/>
      <c r="C79" s="1964"/>
      <c r="D79" s="1929" t="s">
        <v>4671</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1">
        <v>79</v>
      </c>
      <c r="AB79" s="2055"/>
    </row>
    <row r="80" spans="1:28" ht="16.5" customHeight="1">
      <c r="A80" s="1947"/>
      <c r="B80" s="1941"/>
      <c r="C80" s="1934" t="s">
        <v>4672</v>
      </c>
      <c r="E80" s="1950"/>
      <c r="F80" s="1950"/>
      <c r="G80" s="1950"/>
      <c r="K80" s="1950"/>
      <c r="L80" s="1940"/>
      <c r="M80" s="1940"/>
      <c r="O80" s="1943"/>
      <c r="P80" s="1959"/>
      <c r="Q80" s="1960"/>
      <c r="AA80" s="2491">
        <v>80</v>
      </c>
    </row>
    <row r="81" spans="1:27" ht="32.25" customHeight="1">
      <c r="A81" s="1947"/>
      <c r="B81" s="3711" t="s">
        <v>4825</v>
      </c>
      <c r="C81" s="3711"/>
      <c r="D81" s="3711"/>
      <c r="E81" s="3711"/>
      <c r="F81" s="3711"/>
      <c r="G81" s="3711"/>
      <c r="H81" s="3711"/>
      <c r="I81" s="3711"/>
      <c r="J81" s="3711"/>
      <c r="K81" s="3711"/>
      <c r="L81" s="3711"/>
      <c r="M81" s="3711"/>
      <c r="N81" s="3711"/>
      <c r="O81" s="3711"/>
      <c r="P81" s="3711"/>
      <c r="Q81" s="3711"/>
      <c r="AA81" s="2492">
        <v>81</v>
      </c>
    </row>
    <row r="82" spans="1:27" ht="20.25" customHeight="1">
      <c r="B82" s="3582"/>
      <c r="C82" s="3582"/>
      <c r="D82" s="3582"/>
      <c r="E82" s="3582"/>
      <c r="F82" s="3582"/>
      <c r="G82" s="3582"/>
      <c r="H82" s="3582"/>
      <c r="I82" s="3582"/>
      <c r="J82" s="3582"/>
      <c r="K82" s="3582"/>
      <c r="L82" s="3582"/>
      <c r="M82" s="3582"/>
      <c r="N82" s="3582"/>
      <c r="O82" s="3582"/>
      <c r="P82" s="3582"/>
      <c r="Q82" s="3667"/>
      <c r="AA82" s="2491">
        <v>82</v>
      </c>
    </row>
    <row r="83" spans="1:27" ht="15" customHeight="1">
      <c r="B83" s="1954" t="s">
        <v>3158</v>
      </c>
      <c r="D83" s="1954"/>
      <c r="E83" s="1954"/>
      <c r="F83" s="1954"/>
      <c r="G83" s="1954"/>
      <c r="H83" s="1942"/>
      <c r="I83" s="1935"/>
      <c r="J83" s="1935"/>
      <c r="K83" s="1935"/>
      <c r="L83" s="1932"/>
      <c r="M83" s="1932"/>
      <c r="N83" s="1932"/>
      <c r="O83" s="1932"/>
      <c r="P83" s="1932"/>
      <c r="Q83" s="1932"/>
      <c r="AA83" s="2491">
        <v>83</v>
      </c>
    </row>
    <row r="84" spans="1:27" ht="20.25" customHeight="1">
      <c r="A84" s="3582"/>
      <c r="B84" s="3582"/>
      <c r="C84" s="3582"/>
      <c r="D84" s="3582"/>
      <c r="E84" s="3582"/>
      <c r="F84" s="3582"/>
      <c r="G84" s="3582"/>
      <c r="H84" s="3582"/>
      <c r="I84" s="3582"/>
      <c r="J84" s="3582"/>
      <c r="K84" s="3582"/>
      <c r="L84" s="3582"/>
      <c r="M84" s="3582"/>
      <c r="N84" s="3582"/>
      <c r="O84" s="3582"/>
      <c r="P84" s="3582"/>
      <c r="Q84" s="3653"/>
      <c r="AA84" s="2491">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1">
        <v>85</v>
      </c>
    </row>
    <row r="86" spans="1:27" ht="20.25" customHeight="1">
      <c r="A86" s="3585"/>
      <c r="B86" s="3585"/>
      <c r="C86" s="3585"/>
      <c r="D86" s="3585"/>
      <c r="E86" s="3585"/>
      <c r="F86" s="3585"/>
      <c r="G86" s="3585"/>
      <c r="H86" s="3585"/>
      <c r="I86" s="3585"/>
      <c r="J86" s="3585"/>
      <c r="K86" s="3585"/>
      <c r="L86" s="3585"/>
      <c r="M86" s="3585"/>
      <c r="N86" s="3585"/>
      <c r="O86" s="3585"/>
      <c r="P86" s="3585"/>
      <c r="Q86" s="3640"/>
      <c r="AA86" s="2491">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1">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1">
        <v>88</v>
      </c>
    </row>
    <row r="89" spans="1:27" ht="15.65" customHeight="1">
      <c r="A89" s="1941" t="s">
        <v>719</v>
      </c>
      <c r="B89" s="1941" t="s">
        <v>2418</v>
      </c>
      <c r="C89" s="1941"/>
      <c r="D89" s="1940"/>
      <c r="E89" s="1940"/>
      <c r="F89" s="1940"/>
      <c r="G89" s="1940"/>
      <c r="H89" s="1940"/>
      <c r="I89" s="1940"/>
      <c r="J89" s="1940"/>
      <c r="K89" s="1940"/>
      <c r="N89" s="1961"/>
      <c r="O89" s="1936" t="s">
        <v>1726</v>
      </c>
      <c r="P89" s="3588"/>
      <c r="Q89" s="3596"/>
      <c r="AA89" s="2491">
        <v>89</v>
      </c>
    </row>
    <row r="90" spans="1:27" ht="14.15"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2" t="s">
        <v>1641</v>
      </c>
      <c r="M90" s="3713"/>
      <c r="N90" s="3714"/>
      <c r="O90" s="3588" t="s">
        <v>1641</v>
      </c>
      <c r="P90" s="3634"/>
      <c r="Q90" s="3589"/>
      <c r="AA90" s="2492">
        <v>90</v>
      </c>
    </row>
    <row r="91" spans="1:27" ht="14.15" customHeight="1">
      <c r="A91" s="1947"/>
      <c r="B91" s="1934" t="s">
        <v>635</v>
      </c>
      <c r="G91" s="3609"/>
      <c r="H91" s="3609"/>
      <c r="I91" s="3609"/>
      <c r="J91" s="3609"/>
      <c r="K91" s="3609"/>
      <c r="L91" s="3609"/>
      <c r="M91" s="3609"/>
      <c r="N91" s="3609"/>
      <c r="O91" s="3609"/>
      <c r="P91" s="3609"/>
      <c r="Q91" s="3710"/>
      <c r="AA91" s="2491">
        <v>91</v>
      </c>
    </row>
    <row r="92" spans="1:27" ht="15" customHeight="1">
      <c r="B92" s="1954" t="s">
        <v>3158</v>
      </c>
      <c r="D92" s="1954"/>
      <c r="E92" s="1954"/>
      <c r="F92" s="1954"/>
      <c r="G92" s="1954"/>
      <c r="H92" s="1942"/>
      <c r="I92" s="1935"/>
      <c r="J92" s="1935"/>
      <c r="K92" s="1935"/>
      <c r="L92" s="1932"/>
      <c r="M92" s="1932"/>
      <c r="N92" s="1932"/>
      <c r="O92" s="1932"/>
      <c r="P92" s="1932"/>
      <c r="Q92" s="1932"/>
      <c r="AA92" s="2491">
        <v>92</v>
      </c>
    </row>
    <row r="93" spans="1:27" ht="18.649999999999999" customHeight="1">
      <c r="A93" s="3582"/>
      <c r="B93" s="3582"/>
      <c r="C93" s="3582"/>
      <c r="D93" s="3582"/>
      <c r="E93" s="3582"/>
      <c r="F93" s="3582"/>
      <c r="G93" s="3582"/>
      <c r="H93" s="3582"/>
      <c r="I93" s="3582"/>
      <c r="J93" s="3582"/>
      <c r="K93" s="3582"/>
      <c r="L93" s="3582"/>
      <c r="M93" s="3582"/>
      <c r="N93" s="3582"/>
      <c r="O93" s="3582"/>
      <c r="P93" s="3582"/>
      <c r="Q93" s="3667"/>
      <c r="AA93" s="2491">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1">
        <v>94</v>
      </c>
    </row>
    <row r="95" spans="1:27" ht="18.649999999999999" customHeight="1">
      <c r="A95" s="3585"/>
      <c r="B95" s="3585"/>
      <c r="C95" s="3585"/>
      <c r="D95" s="3585"/>
      <c r="E95" s="3585"/>
      <c r="F95" s="3585"/>
      <c r="G95" s="3585"/>
      <c r="H95" s="3585"/>
      <c r="I95" s="3585"/>
      <c r="J95" s="3585"/>
      <c r="K95" s="3585"/>
      <c r="L95" s="3585"/>
      <c r="M95" s="3585"/>
      <c r="N95" s="3585"/>
      <c r="O95" s="3585"/>
      <c r="P95" s="3585"/>
      <c r="Q95" s="3668"/>
      <c r="AA95" s="2491">
        <v>95</v>
      </c>
    </row>
    <row r="96" spans="1:27" ht="11.25" customHeight="1">
      <c r="A96" s="1932"/>
      <c r="B96" s="1935"/>
      <c r="C96" s="1940"/>
      <c r="D96" s="1940"/>
      <c r="E96" s="1940"/>
      <c r="F96" s="1940"/>
      <c r="G96" s="1940"/>
      <c r="H96" s="1940"/>
      <c r="I96" s="1940"/>
      <c r="J96" s="1940"/>
      <c r="K96" s="1940"/>
      <c r="L96" s="1940"/>
      <c r="M96" s="1940"/>
      <c r="Q96" s="1932"/>
      <c r="AA96" s="2491">
        <v>96</v>
      </c>
    </row>
    <row r="97" spans="1:27" ht="11.25" customHeight="1">
      <c r="A97" s="1937"/>
      <c r="B97" s="1935"/>
      <c r="C97" s="1940"/>
      <c r="D97" s="1940"/>
      <c r="E97" s="1940"/>
      <c r="F97" s="1940"/>
      <c r="G97" s="1940"/>
      <c r="H97" s="1940"/>
      <c r="I97" s="1940"/>
      <c r="J97" s="1940"/>
      <c r="K97" s="1940"/>
      <c r="L97" s="1940"/>
      <c r="M97" s="1940"/>
      <c r="Q97" s="1932"/>
      <c r="AA97" s="2491">
        <v>97</v>
      </c>
    </row>
    <row r="98" spans="1:27" ht="15.65" customHeight="1">
      <c r="A98" s="1941" t="s">
        <v>280</v>
      </c>
      <c r="B98" s="1941" t="s">
        <v>2419</v>
      </c>
      <c r="C98" s="1941"/>
      <c r="D98" s="1940"/>
      <c r="E98" s="1940"/>
      <c r="F98" s="1940"/>
      <c r="G98" s="1940"/>
      <c r="H98" s="1940"/>
      <c r="I98" s="1940"/>
      <c r="J98" s="1940"/>
      <c r="K98" s="1940"/>
      <c r="L98" s="1940"/>
      <c r="M98" s="1940"/>
      <c r="O98" s="1936" t="s">
        <v>1726</v>
      </c>
      <c r="P98" s="3588"/>
      <c r="Q98" s="3596"/>
      <c r="AA98" s="2491">
        <v>98</v>
      </c>
    </row>
    <row r="99" spans="1:27" ht="15" customHeight="1">
      <c r="B99" s="1954" t="s">
        <v>3158</v>
      </c>
      <c r="D99" s="1954"/>
      <c r="E99" s="1954"/>
      <c r="F99" s="1954"/>
      <c r="G99" s="1954"/>
      <c r="H99" s="1942"/>
      <c r="I99" s="1935"/>
      <c r="J99" s="1935"/>
      <c r="K99" s="1935"/>
      <c r="L99" s="1932"/>
      <c r="M99" s="1932"/>
      <c r="N99" s="1932"/>
      <c r="O99" s="1932"/>
      <c r="P99" s="1932"/>
      <c r="Q99" s="1932"/>
      <c r="AA99" s="2492">
        <v>99</v>
      </c>
    </row>
    <row r="100" spans="1:27" ht="18.649999999999999" customHeight="1">
      <c r="A100" s="3582"/>
      <c r="B100" s="3582"/>
      <c r="C100" s="3582"/>
      <c r="D100" s="3582"/>
      <c r="E100" s="3582"/>
      <c r="F100" s="3582"/>
      <c r="G100" s="3582"/>
      <c r="H100" s="3582"/>
      <c r="I100" s="3582"/>
      <c r="J100" s="3582"/>
      <c r="K100" s="3582"/>
      <c r="L100" s="3582"/>
      <c r="M100" s="3582"/>
      <c r="N100" s="3582"/>
      <c r="O100" s="3582"/>
      <c r="P100" s="3582"/>
      <c r="Q100" s="3667"/>
      <c r="AA100" s="2491">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1">
        <v>101</v>
      </c>
    </row>
    <row r="102" spans="1:27" ht="18.649999999999999" customHeight="1">
      <c r="A102" s="3585"/>
      <c r="B102" s="3585"/>
      <c r="C102" s="3585"/>
      <c r="D102" s="3585"/>
      <c r="E102" s="3585"/>
      <c r="F102" s="3585"/>
      <c r="G102" s="3585"/>
      <c r="H102" s="3585"/>
      <c r="I102" s="3585"/>
      <c r="J102" s="3585"/>
      <c r="K102" s="3585"/>
      <c r="L102" s="3585"/>
      <c r="M102" s="3585"/>
      <c r="N102" s="3585"/>
      <c r="O102" s="3585"/>
      <c r="P102" s="3585"/>
      <c r="Q102" s="3668"/>
      <c r="AA102" s="2491">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1">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1">
        <v>104</v>
      </c>
    </row>
    <row r="105" spans="1:27" ht="15.65" customHeight="1">
      <c r="A105" s="1941" t="s">
        <v>400</v>
      </c>
      <c r="B105" s="3709" t="s">
        <v>2420</v>
      </c>
      <c r="C105" s="3709"/>
      <c r="D105" s="3709"/>
      <c r="N105" s="1961"/>
      <c r="O105" s="1936" t="s">
        <v>1726</v>
      </c>
      <c r="P105" s="3588"/>
      <c r="Q105" s="3596"/>
      <c r="AA105" s="2491">
        <v>105</v>
      </c>
    </row>
    <row r="106" spans="1:27" ht="15" customHeight="1">
      <c r="B106" s="1954" t="s">
        <v>3158</v>
      </c>
      <c r="D106" s="1954"/>
      <c r="E106" s="1954"/>
      <c r="F106" s="1954"/>
      <c r="G106" s="1954"/>
      <c r="H106" s="1942"/>
      <c r="I106" s="1935"/>
      <c r="J106" s="1935"/>
      <c r="K106" s="1935"/>
      <c r="L106" s="1932"/>
      <c r="M106" s="1932"/>
      <c r="N106" s="1932"/>
      <c r="O106" s="1932"/>
      <c r="P106" s="1932"/>
      <c r="Q106" s="1932"/>
      <c r="AA106" s="2491">
        <v>106</v>
      </c>
    </row>
    <row r="107" spans="1:27" ht="18.649999999999999" customHeight="1">
      <c r="A107" s="3582"/>
      <c r="B107" s="3582"/>
      <c r="C107" s="3582"/>
      <c r="D107" s="3582"/>
      <c r="E107" s="3582"/>
      <c r="F107" s="3582"/>
      <c r="G107" s="3582"/>
      <c r="H107" s="3582"/>
      <c r="I107" s="3582"/>
      <c r="J107" s="3582"/>
      <c r="K107" s="3582"/>
      <c r="L107" s="3582"/>
      <c r="M107" s="3582"/>
      <c r="N107" s="3582"/>
      <c r="O107" s="3582"/>
      <c r="P107" s="3582"/>
      <c r="Q107" s="3667"/>
      <c r="AA107" s="2491">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2">
        <v>108</v>
      </c>
    </row>
    <row r="109" spans="1:27" ht="18.649999999999999" customHeight="1">
      <c r="A109" s="3585"/>
      <c r="B109" s="3585"/>
      <c r="C109" s="3585"/>
      <c r="D109" s="3585"/>
      <c r="E109" s="3585"/>
      <c r="F109" s="3585"/>
      <c r="G109" s="3585"/>
      <c r="H109" s="3585"/>
      <c r="I109" s="3585"/>
      <c r="J109" s="3585"/>
      <c r="K109" s="3585"/>
      <c r="L109" s="3585"/>
      <c r="M109" s="3585"/>
      <c r="N109" s="3585"/>
      <c r="O109" s="3585"/>
      <c r="P109" s="3585"/>
      <c r="Q109" s="3668"/>
      <c r="AA109" s="2491">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1">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1">
        <v>111</v>
      </c>
    </row>
    <row r="112" spans="1:27" ht="15.65" customHeight="1">
      <c r="A112" s="1941" t="s">
        <v>342</v>
      </c>
      <c r="B112" s="1941" t="s">
        <v>2421</v>
      </c>
      <c r="C112" s="1941"/>
      <c r="D112" s="1940"/>
      <c r="E112" s="1940"/>
      <c r="G112" s="1940"/>
      <c r="J112" s="1950"/>
      <c r="K112" s="1950"/>
      <c r="L112" s="1950"/>
      <c r="M112" s="1950"/>
      <c r="N112" s="1961"/>
      <c r="O112" s="1936" t="s">
        <v>1726</v>
      </c>
      <c r="P112" s="3641"/>
      <c r="Q112" s="3669"/>
      <c r="AA112" s="2491">
        <v>112</v>
      </c>
    </row>
    <row r="113" spans="1:27" ht="14.15" customHeight="1">
      <c r="A113" s="1947"/>
      <c r="B113" s="1934" t="s">
        <v>4673</v>
      </c>
      <c r="H113" s="1934" t="s">
        <v>4674</v>
      </c>
      <c r="J113" s="3706" t="s">
        <v>1705</v>
      </c>
      <c r="K113" s="3707"/>
      <c r="L113" s="3707"/>
      <c r="M113" s="3707"/>
      <c r="N113" s="3707"/>
      <c r="O113" s="3707"/>
      <c r="P113" s="3707"/>
      <c r="Q113" s="3708"/>
      <c r="AA113" s="2491">
        <v>113</v>
      </c>
    </row>
    <row r="114" spans="1:27" ht="14.15" customHeight="1">
      <c r="A114" s="1947"/>
      <c r="B114" s="1947"/>
      <c r="H114" s="1934" t="s">
        <v>4675</v>
      </c>
      <c r="J114" s="3694" t="s">
        <v>1705</v>
      </c>
      <c r="K114" s="3695"/>
      <c r="L114" s="3695"/>
      <c r="M114" s="3695"/>
      <c r="N114" s="3695"/>
      <c r="O114" s="3695"/>
      <c r="P114" s="3695"/>
      <c r="Q114" s="3696"/>
      <c r="AA114" s="2491">
        <v>114</v>
      </c>
    </row>
    <row r="115" spans="1:27" ht="15" customHeight="1">
      <c r="A115" s="1947"/>
      <c r="B115" s="1954" t="s">
        <v>3158</v>
      </c>
      <c r="C115" s="1974"/>
      <c r="D115" s="1974"/>
      <c r="E115" s="1974"/>
      <c r="F115" s="1974"/>
      <c r="H115" s="1937"/>
      <c r="I115" s="1937"/>
      <c r="J115" s="1937"/>
      <c r="K115" s="1937"/>
      <c r="L115" s="1937"/>
      <c r="M115" s="1937"/>
      <c r="N115" s="1937"/>
      <c r="O115" s="1937"/>
      <c r="P115" s="1937"/>
      <c r="Q115" s="1937"/>
      <c r="AA115" s="2491">
        <v>115</v>
      </c>
    </row>
    <row r="116" spans="1:27" ht="18.649999999999999" customHeight="1">
      <c r="A116" s="3582"/>
      <c r="B116" s="3582"/>
      <c r="C116" s="3582"/>
      <c r="D116" s="3582"/>
      <c r="E116" s="3582"/>
      <c r="F116" s="3582"/>
      <c r="G116" s="3582"/>
      <c r="H116" s="3582"/>
      <c r="I116" s="3582"/>
      <c r="J116" s="3582"/>
      <c r="K116" s="3582"/>
      <c r="L116" s="3582"/>
      <c r="M116" s="3582"/>
      <c r="N116" s="3582"/>
      <c r="O116" s="3582"/>
      <c r="P116" s="3582"/>
      <c r="Q116" s="3667"/>
      <c r="AA116" s="2491">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2">
        <v>117</v>
      </c>
    </row>
    <row r="118" spans="1:27" ht="18.649999999999999" customHeight="1">
      <c r="A118" s="3585"/>
      <c r="B118" s="3585"/>
      <c r="C118" s="3585"/>
      <c r="D118" s="3585"/>
      <c r="E118" s="3585"/>
      <c r="F118" s="3585"/>
      <c r="G118" s="3585"/>
      <c r="H118" s="3585"/>
      <c r="I118" s="3585"/>
      <c r="J118" s="3585"/>
      <c r="K118" s="3585"/>
      <c r="L118" s="3585"/>
      <c r="M118" s="3585"/>
      <c r="N118" s="3585"/>
      <c r="O118" s="3585"/>
      <c r="P118" s="3585"/>
      <c r="Q118" s="3640"/>
      <c r="AA118" s="2491">
        <v>118</v>
      </c>
    </row>
    <row r="119" spans="1:27" ht="12.75" customHeight="1">
      <c r="B119" s="1935"/>
      <c r="C119" s="1940"/>
      <c r="D119" s="1940"/>
      <c r="E119" s="1940"/>
      <c r="F119" s="1940"/>
      <c r="G119" s="1940"/>
      <c r="H119" s="1940"/>
      <c r="I119" s="1940"/>
      <c r="J119" s="1940"/>
      <c r="K119" s="1940"/>
      <c r="L119" s="1940"/>
      <c r="M119" s="1940"/>
      <c r="Q119" s="1932"/>
      <c r="AA119" s="2491">
        <v>119</v>
      </c>
    </row>
    <row r="120" spans="1:27" ht="12.75" customHeight="1">
      <c r="A120" s="1937"/>
      <c r="B120" s="1935"/>
      <c r="C120" s="1940"/>
      <c r="D120" s="1940"/>
      <c r="E120" s="1940"/>
      <c r="F120" s="1940"/>
      <c r="G120" s="1940"/>
      <c r="H120" s="1940"/>
      <c r="I120" s="1940"/>
      <c r="J120" s="1940"/>
      <c r="K120" s="1940"/>
      <c r="L120" s="1940"/>
      <c r="M120" s="1940"/>
      <c r="Q120" s="1932"/>
      <c r="AA120" s="2491">
        <v>120</v>
      </c>
    </row>
    <row r="121" spans="1:27" ht="20.25" customHeight="1">
      <c r="A121" s="1941" t="s">
        <v>343</v>
      </c>
      <c r="B121" s="1933" t="s">
        <v>4676</v>
      </c>
      <c r="C121" s="1933"/>
      <c r="D121" s="1933"/>
      <c r="E121" s="1933"/>
      <c r="F121" s="1933"/>
      <c r="G121" s="1940"/>
      <c r="H121" s="1940"/>
      <c r="J121" s="1940"/>
      <c r="K121" s="1940"/>
      <c r="L121" s="1940"/>
      <c r="M121" s="1940"/>
      <c r="N121" s="1961"/>
      <c r="O121" s="1936" t="s">
        <v>1726</v>
      </c>
      <c r="P121" s="3588"/>
      <c r="Q121" s="3596"/>
      <c r="AA121" s="2491">
        <v>121</v>
      </c>
    </row>
    <row r="122" spans="1:27" ht="14.5" customHeight="1">
      <c r="A122" s="1947"/>
      <c r="B122" s="1934" t="s">
        <v>4677</v>
      </c>
      <c r="H122" s="1934" t="s">
        <v>4678</v>
      </c>
      <c r="J122" s="3706" t="s">
        <v>1705</v>
      </c>
      <c r="K122" s="3707"/>
      <c r="L122" s="3707"/>
      <c r="M122" s="3707"/>
      <c r="N122" s="3707"/>
      <c r="O122" s="3707"/>
      <c r="P122" s="3707"/>
      <c r="Q122" s="3708"/>
      <c r="R122" s="1975"/>
      <c r="AA122" s="2491">
        <v>122</v>
      </c>
    </row>
    <row r="123" spans="1:27" ht="14.5" customHeight="1">
      <c r="A123" s="1974"/>
      <c r="B123" s="1947"/>
      <c r="H123" s="1934" t="s">
        <v>4679</v>
      </c>
      <c r="J123" s="3694" t="s">
        <v>1705</v>
      </c>
      <c r="K123" s="3695"/>
      <c r="L123" s="3695"/>
      <c r="M123" s="3695"/>
      <c r="N123" s="3695"/>
      <c r="O123" s="3695"/>
      <c r="P123" s="3695"/>
      <c r="Q123" s="3696"/>
      <c r="R123" s="1975"/>
      <c r="AA123" s="2491">
        <v>123</v>
      </c>
    </row>
    <row r="124" spans="1:27" ht="15" customHeight="1">
      <c r="B124" s="1954" t="s">
        <v>3158</v>
      </c>
      <c r="D124" s="1954"/>
      <c r="E124" s="1954"/>
      <c r="F124" s="1954"/>
      <c r="G124" s="1954"/>
      <c r="H124" s="1942"/>
      <c r="I124" s="1935"/>
      <c r="J124" s="1935"/>
      <c r="K124" s="1935"/>
      <c r="L124" s="1932"/>
      <c r="M124" s="1932"/>
      <c r="N124" s="1932"/>
      <c r="O124" s="1932"/>
      <c r="P124" s="1932"/>
      <c r="Q124" s="1932"/>
      <c r="AA124" s="2491">
        <v>124</v>
      </c>
    </row>
    <row r="125" spans="1:27" ht="20.25" customHeight="1">
      <c r="A125" s="3582"/>
      <c r="B125" s="3582"/>
      <c r="C125" s="3582"/>
      <c r="D125" s="3582"/>
      <c r="E125" s="3582"/>
      <c r="F125" s="3582"/>
      <c r="G125" s="3582"/>
      <c r="H125" s="3582"/>
      <c r="I125" s="3582"/>
      <c r="J125" s="3582"/>
      <c r="K125" s="3582"/>
      <c r="L125" s="3582"/>
      <c r="M125" s="3582"/>
      <c r="N125" s="3582"/>
      <c r="O125" s="3582"/>
      <c r="P125" s="3582"/>
      <c r="Q125" s="3667"/>
      <c r="AA125" s="2491">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2">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40"/>
      <c r="AA127" s="2491">
        <v>127</v>
      </c>
    </row>
    <row r="128" spans="1:27" ht="11.25" customHeight="1">
      <c r="A128" s="1932"/>
      <c r="B128" s="1935"/>
      <c r="C128" s="1940"/>
      <c r="D128" s="1940"/>
      <c r="E128" s="1940"/>
      <c r="F128" s="1940"/>
      <c r="G128" s="1940"/>
      <c r="H128" s="1940"/>
      <c r="I128" s="1940"/>
      <c r="J128" s="1940"/>
      <c r="K128" s="1940"/>
      <c r="L128" s="1940"/>
      <c r="M128" s="1940"/>
      <c r="Q128" s="1932"/>
      <c r="AA128" s="2491">
        <v>128</v>
      </c>
    </row>
    <row r="129" spans="1:27" ht="11.25" customHeight="1">
      <c r="A129" s="1937"/>
      <c r="B129" s="1935"/>
      <c r="C129" s="1940"/>
      <c r="D129" s="1940"/>
      <c r="E129" s="1940"/>
      <c r="F129" s="1940"/>
      <c r="G129" s="1940"/>
      <c r="H129" s="1940"/>
      <c r="I129" s="1940"/>
      <c r="J129" s="1940"/>
      <c r="K129" s="1940"/>
      <c r="L129" s="1940"/>
      <c r="M129" s="1940"/>
      <c r="Q129" s="1932"/>
      <c r="AA129" s="2491">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8"/>
      <c r="Q130" s="3596"/>
      <c r="AA130" s="2491">
        <v>130</v>
      </c>
    </row>
    <row r="131" spans="1:27" ht="27.65" customHeight="1">
      <c r="A131" s="1937"/>
      <c r="B131" s="3590" t="s">
        <v>5005</v>
      </c>
      <c r="C131" s="3590"/>
      <c r="D131" s="3590"/>
      <c r="E131" s="3590"/>
      <c r="F131" s="3590"/>
      <c r="G131" s="3590"/>
      <c r="H131" s="3590"/>
      <c r="I131" s="3590"/>
      <c r="J131" s="3590"/>
      <c r="K131" s="3590"/>
      <c r="L131" s="3590"/>
      <c r="M131" s="3590"/>
      <c r="N131" s="3590"/>
      <c r="O131" s="3591"/>
      <c r="P131" s="3599"/>
      <c r="Q131" s="3600"/>
      <c r="AA131" s="2491">
        <v>131</v>
      </c>
    </row>
    <row r="132" spans="1:27" ht="20.25" customHeight="1">
      <c r="A132" s="1947" t="s">
        <v>1836</v>
      </c>
      <c r="B132" s="1934" t="s">
        <v>4680</v>
      </c>
      <c r="O132" s="1943"/>
      <c r="P132" s="1937"/>
      <c r="Q132" s="1937"/>
      <c r="AA132" s="2491">
        <v>132</v>
      </c>
    </row>
    <row r="133" spans="1:27" ht="14.5" customHeight="1">
      <c r="A133" s="1947"/>
      <c r="B133" s="1942"/>
      <c r="C133" s="1934" t="s">
        <v>1787</v>
      </c>
      <c r="J133" s="1943"/>
      <c r="K133" s="1937"/>
      <c r="L133" s="1937"/>
      <c r="M133" s="3703" t="s">
        <v>1641</v>
      </c>
      <c r="N133" s="3704"/>
      <c r="O133" s="3704"/>
      <c r="P133" s="3704"/>
      <c r="Q133" s="3705"/>
      <c r="AA133" s="2491">
        <v>133</v>
      </c>
    </row>
    <row r="134" spans="1:27" ht="14.5" customHeight="1">
      <c r="A134" s="1947"/>
      <c r="B134" s="1942"/>
      <c r="C134" s="1942" t="s">
        <v>4616</v>
      </c>
      <c r="E134" s="1942"/>
      <c r="F134" s="1942"/>
      <c r="G134" s="1942"/>
      <c r="H134" s="1942"/>
      <c r="J134" s="1943"/>
      <c r="K134" s="1937"/>
      <c r="L134" s="1937"/>
      <c r="M134" s="3687" t="s">
        <v>1641</v>
      </c>
      <c r="N134" s="3688"/>
      <c r="O134" s="3688"/>
      <c r="P134" s="3688"/>
      <c r="Q134" s="3689"/>
      <c r="AA134" s="2491">
        <v>134</v>
      </c>
    </row>
    <row r="135" spans="1:27" ht="14.5" customHeight="1">
      <c r="A135" s="1947"/>
      <c r="B135" s="1942"/>
      <c r="C135" s="3690" t="s">
        <v>4094</v>
      </c>
      <c r="D135" s="3691"/>
      <c r="E135" s="3691"/>
      <c r="F135" s="3691"/>
      <c r="G135" s="3691"/>
      <c r="H135" s="3691"/>
      <c r="I135" s="3691"/>
      <c r="J135" s="3691"/>
      <c r="K135" s="3691"/>
      <c r="L135" s="3691"/>
      <c r="M135" s="3692"/>
      <c r="N135" s="3692"/>
      <c r="O135" s="3692"/>
      <c r="P135" s="3692"/>
      <c r="Q135" s="3693"/>
      <c r="AA135" s="2492">
        <v>135</v>
      </c>
    </row>
    <row r="136" spans="1:27" ht="14.5" customHeight="1">
      <c r="A136" s="1947"/>
      <c r="B136" s="1942"/>
      <c r="C136" s="1942" t="s">
        <v>3665</v>
      </c>
      <c r="E136" s="1942"/>
      <c r="F136" s="1942"/>
      <c r="G136" s="1942"/>
      <c r="H136" s="1942"/>
      <c r="J136" s="1943"/>
      <c r="K136" s="1937"/>
      <c r="L136" s="1937"/>
      <c r="M136" s="3694" t="s">
        <v>1641</v>
      </c>
      <c r="N136" s="3695"/>
      <c r="O136" s="3695"/>
      <c r="P136" s="3695"/>
      <c r="Q136" s="3696"/>
      <c r="AA136" s="2491">
        <v>136</v>
      </c>
    </row>
    <row r="137" spans="1:27" ht="20.25" customHeight="1">
      <c r="A137" s="1947" t="s">
        <v>1838</v>
      </c>
      <c r="B137" s="3590" t="s">
        <v>4681</v>
      </c>
      <c r="C137" s="3590"/>
      <c r="D137" s="3590"/>
      <c r="E137" s="3590"/>
      <c r="F137" s="3590"/>
      <c r="G137" s="3590"/>
      <c r="H137" s="3590"/>
      <c r="I137" s="3590"/>
      <c r="J137" s="3590"/>
      <c r="K137" s="3590"/>
      <c r="L137" s="3590"/>
      <c r="M137" s="3590"/>
      <c r="N137" s="3590"/>
      <c r="O137" s="1943"/>
      <c r="P137" s="1976"/>
      <c r="Q137" s="1932"/>
      <c r="AA137" s="2491">
        <v>137</v>
      </c>
    </row>
    <row r="138" spans="1:27" ht="27.65" customHeight="1">
      <c r="A138" s="1963"/>
      <c r="B138" s="1940"/>
      <c r="C138" s="3590" t="s">
        <v>4682</v>
      </c>
      <c r="D138" s="3590"/>
      <c r="E138" s="3590"/>
      <c r="F138" s="3590"/>
      <c r="G138" s="3590"/>
      <c r="H138" s="3590"/>
      <c r="I138" s="3590"/>
      <c r="J138" s="3590"/>
      <c r="K138" s="3590"/>
      <c r="L138" s="3590"/>
      <c r="M138" s="3590"/>
      <c r="N138" s="3590"/>
      <c r="O138" s="3590"/>
      <c r="P138" s="3590"/>
      <c r="Q138" s="3590"/>
      <c r="AA138" s="2491">
        <v>138</v>
      </c>
    </row>
    <row r="139" spans="1:27" ht="15.75" customHeight="1">
      <c r="A139" s="1932"/>
      <c r="B139" s="1970" t="s">
        <v>1611</v>
      </c>
      <c r="C139" s="3697" t="s">
        <v>949</v>
      </c>
      <c r="D139" s="3698"/>
      <c r="E139" s="3698"/>
      <c r="F139" s="3698"/>
      <c r="G139" s="3698"/>
      <c r="H139" s="3699"/>
      <c r="I139" s="1937"/>
      <c r="J139" s="3700" t="s">
        <v>4683</v>
      </c>
      <c r="K139" s="3701"/>
      <c r="L139" s="3701"/>
      <c r="M139" s="3701"/>
      <c r="N139" s="3701"/>
      <c r="O139" s="3701"/>
      <c r="P139" s="3701"/>
      <c r="Q139" s="3702"/>
      <c r="AA139" s="2491">
        <v>139</v>
      </c>
    </row>
    <row r="140" spans="1:27" ht="15.75" customHeight="1">
      <c r="A140" s="1932"/>
      <c r="B140" s="1970" t="s">
        <v>1612</v>
      </c>
      <c r="C140" s="3675" t="s">
        <v>949</v>
      </c>
      <c r="D140" s="3676"/>
      <c r="E140" s="3676"/>
      <c r="F140" s="3676"/>
      <c r="G140" s="3676"/>
      <c r="H140" s="3677"/>
      <c r="I140" s="1937"/>
      <c r="J140" s="3678" t="s">
        <v>4683</v>
      </c>
      <c r="K140" s="3679"/>
      <c r="L140" s="3679"/>
      <c r="M140" s="3679"/>
      <c r="N140" s="3679"/>
      <c r="O140" s="3679"/>
      <c r="P140" s="3679"/>
      <c r="Q140" s="3680"/>
      <c r="AA140" s="2491">
        <v>140</v>
      </c>
    </row>
    <row r="141" spans="1:27" ht="15.75" customHeight="1">
      <c r="A141" s="1932"/>
      <c r="B141" s="1970" t="s">
        <v>1613</v>
      </c>
      <c r="C141" s="3675" t="s">
        <v>949</v>
      </c>
      <c r="D141" s="3676"/>
      <c r="E141" s="3676"/>
      <c r="F141" s="3676"/>
      <c r="G141" s="3676"/>
      <c r="H141" s="3677"/>
      <c r="I141" s="1937"/>
      <c r="J141" s="3678" t="s">
        <v>4683</v>
      </c>
      <c r="K141" s="3679"/>
      <c r="L141" s="3679"/>
      <c r="M141" s="3679"/>
      <c r="N141" s="3679"/>
      <c r="O141" s="3679"/>
      <c r="P141" s="3679"/>
      <c r="Q141" s="3680"/>
      <c r="AA141" s="2491">
        <v>141</v>
      </c>
    </row>
    <row r="142" spans="1:27" ht="15.75" customHeight="1">
      <c r="A142" s="1932"/>
      <c r="B142" s="1970" t="s">
        <v>2176</v>
      </c>
      <c r="C142" s="3681" t="s">
        <v>949</v>
      </c>
      <c r="D142" s="3682"/>
      <c r="E142" s="3682"/>
      <c r="F142" s="3682"/>
      <c r="G142" s="3682"/>
      <c r="H142" s="3683"/>
      <c r="I142" s="1937"/>
      <c r="J142" s="3684" t="s">
        <v>4683</v>
      </c>
      <c r="K142" s="3685"/>
      <c r="L142" s="3685"/>
      <c r="M142" s="3685"/>
      <c r="N142" s="3685"/>
      <c r="O142" s="3685"/>
      <c r="P142" s="3685"/>
      <c r="Q142" s="3686"/>
      <c r="AA142" s="2491">
        <v>142</v>
      </c>
    </row>
    <row r="143" spans="1:27" ht="15" customHeight="1">
      <c r="B143" s="1944" t="s">
        <v>3158</v>
      </c>
      <c r="D143" s="1944"/>
      <c r="E143" s="1944"/>
      <c r="F143" s="1944"/>
      <c r="G143" s="1944"/>
      <c r="H143" s="1942"/>
      <c r="I143" s="1935"/>
      <c r="J143" s="1935"/>
      <c r="K143" s="1935"/>
      <c r="L143" s="1932"/>
      <c r="M143" s="1932"/>
      <c r="N143" s="1932"/>
      <c r="O143" s="1932"/>
      <c r="P143" s="1937"/>
      <c r="Q143" s="1937"/>
      <c r="AA143" s="2491">
        <v>143</v>
      </c>
    </row>
    <row r="144" spans="1:27" ht="20.25" customHeight="1">
      <c r="A144" s="3582"/>
      <c r="B144" s="3582"/>
      <c r="C144" s="3582"/>
      <c r="D144" s="3582"/>
      <c r="E144" s="3582"/>
      <c r="F144" s="3582"/>
      <c r="G144" s="3582"/>
      <c r="H144" s="3582"/>
      <c r="I144" s="3582"/>
      <c r="J144" s="3582"/>
      <c r="K144" s="3582"/>
      <c r="L144" s="3582"/>
      <c r="M144" s="3582"/>
      <c r="N144" s="3582"/>
      <c r="O144" s="3582"/>
      <c r="P144" s="3582"/>
      <c r="Q144" s="3667"/>
      <c r="AA144" s="2492">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1">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1">
        <v>146</v>
      </c>
    </row>
    <row r="147" spans="1:27" ht="11.25" customHeight="1">
      <c r="A147" s="1932"/>
      <c r="B147" s="1935"/>
      <c r="C147" s="1940"/>
      <c r="D147" s="1940"/>
      <c r="E147" s="1940"/>
      <c r="F147" s="1940"/>
      <c r="G147" s="1940"/>
      <c r="H147" s="1940"/>
      <c r="I147" s="1940"/>
      <c r="J147" s="1940"/>
      <c r="K147" s="1940"/>
      <c r="L147" s="1940"/>
      <c r="M147" s="1940"/>
      <c r="Q147" s="1932"/>
      <c r="AA147" s="2491">
        <v>147</v>
      </c>
    </row>
    <row r="148" spans="1:27" ht="11.25" customHeight="1">
      <c r="A148" s="1937"/>
      <c r="B148" s="1935"/>
      <c r="C148" s="1940"/>
      <c r="D148" s="1940"/>
      <c r="E148" s="1940"/>
      <c r="F148" s="1940"/>
      <c r="G148" s="1940"/>
      <c r="H148" s="1940"/>
      <c r="I148" s="1940"/>
      <c r="J148" s="1940"/>
      <c r="K148" s="1940"/>
      <c r="L148" s="1940"/>
      <c r="M148" s="1940"/>
      <c r="Q148" s="1932"/>
      <c r="AA148" s="2491">
        <v>148</v>
      </c>
    </row>
    <row r="149" spans="1:27" ht="20.25" customHeight="1">
      <c r="A149" s="1941" t="s">
        <v>1602</v>
      </c>
      <c r="B149" s="1933" t="s">
        <v>3830</v>
      </c>
      <c r="C149" s="1933"/>
      <c r="D149" s="1933"/>
      <c r="E149" s="1933"/>
      <c r="F149" s="1933"/>
      <c r="G149" s="1933"/>
      <c r="H149" s="1940"/>
      <c r="I149" s="1940"/>
      <c r="J149" s="1940"/>
      <c r="K149" s="1940"/>
      <c r="L149" s="1977"/>
      <c r="M149" s="1978"/>
      <c r="O149" s="1936" t="s">
        <v>1726</v>
      </c>
      <c r="P149" s="3641"/>
      <c r="Q149" s="3669"/>
      <c r="AA149" s="2491">
        <v>149</v>
      </c>
    </row>
    <row r="150" spans="1:27" ht="20.25" customHeight="1">
      <c r="A150" s="1937"/>
      <c r="B150" s="1934" t="s">
        <v>4684</v>
      </c>
      <c r="C150" s="1937"/>
      <c r="D150" s="1937"/>
      <c r="E150" s="1937"/>
      <c r="F150" s="1937"/>
      <c r="G150" s="1937"/>
      <c r="H150" s="1937"/>
      <c r="I150" s="1937"/>
      <c r="J150" s="1937"/>
      <c r="K150" s="1937"/>
      <c r="L150" s="1937"/>
      <c r="M150" s="1937"/>
      <c r="N150" s="1935"/>
      <c r="O150" s="1937"/>
      <c r="P150" s="3602"/>
      <c r="Q150" s="3603"/>
      <c r="AA150" s="2491">
        <v>150</v>
      </c>
    </row>
    <row r="151" spans="1:27" ht="20.25" customHeight="1">
      <c r="A151" s="1947"/>
      <c r="B151" s="1934" t="s">
        <v>1190</v>
      </c>
      <c r="G151" s="1937"/>
      <c r="H151" s="3649" t="s">
        <v>1641</v>
      </c>
      <c r="I151" s="3670"/>
      <c r="J151" s="3670"/>
      <c r="K151" s="3670"/>
      <c r="L151" s="3670"/>
      <c r="M151" s="3670"/>
      <c r="N151" s="3670"/>
      <c r="O151" s="3670"/>
      <c r="P151" s="3671"/>
      <c r="Q151" s="3672"/>
      <c r="R151" s="1956"/>
      <c r="AA151" s="2491">
        <v>151</v>
      </c>
    </row>
    <row r="152" spans="1:27" ht="20.25" customHeight="1">
      <c r="A152" s="1947"/>
      <c r="B152" s="1934" t="s">
        <v>1801</v>
      </c>
      <c r="G152" s="1937"/>
      <c r="H152" s="3651"/>
      <c r="I152" s="3673"/>
      <c r="J152" s="3673"/>
      <c r="K152" s="3673"/>
      <c r="L152" s="3673"/>
      <c r="M152" s="3673"/>
      <c r="N152" s="3673"/>
      <c r="O152" s="3673"/>
      <c r="P152" s="3673"/>
      <c r="Q152" s="3674"/>
      <c r="R152" s="1956"/>
      <c r="AA152" s="2491">
        <v>152</v>
      </c>
    </row>
    <row r="153" spans="1:27" ht="15" customHeight="1">
      <c r="B153" s="1954" t="s">
        <v>3158</v>
      </c>
      <c r="D153" s="1954"/>
      <c r="E153" s="1954"/>
      <c r="F153" s="1954"/>
      <c r="G153" s="1954"/>
      <c r="H153" s="1942"/>
      <c r="I153" s="1935"/>
      <c r="J153" s="1935"/>
      <c r="K153" s="1935"/>
      <c r="L153" s="1932"/>
      <c r="M153" s="1932"/>
      <c r="N153" s="1932"/>
      <c r="O153" s="1932"/>
      <c r="P153" s="1932"/>
      <c r="Q153" s="1932"/>
      <c r="AA153" s="2492">
        <v>153</v>
      </c>
    </row>
    <row r="154" spans="1:27" ht="20.25" customHeight="1">
      <c r="A154" s="3582"/>
      <c r="B154" s="3582"/>
      <c r="C154" s="3582"/>
      <c r="D154" s="3582"/>
      <c r="E154" s="3582"/>
      <c r="F154" s="3582"/>
      <c r="G154" s="3582"/>
      <c r="H154" s="3582"/>
      <c r="I154" s="3582"/>
      <c r="J154" s="3582"/>
      <c r="K154" s="3582"/>
      <c r="L154" s="3582"/>
      <c r="M154" s="3582"/>
      <c r="N154" s="3582"/>
      <c r="O154" s="3582"/>
      <c r="P154" s="3582"/>
      <c r="Q154" s="3667"/>
      <c r="AA154" s="2491">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1">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1">
        <v>156</v>
      </c>
    </row>
    <row r="157" spans="1:27" ht="11.25" customHeight="1">
      <c r="A157" s="1932"/>
      <c r="B157" s="1935"/>
      <c r="C157" s="1940"/>
      <c r="D157" s="1940"/>
      <c r="E157" s="1940"/>
      <c r="F157" s="1940"/>
      <c r="G157" s="1940"/>
      <c r="H157" s="1940"/>
      <c r="I157" s="1940"/>
      <c r="J157" s="1940"/>
      <c r="K157" s="1940"/>
      <c r="L157" s="1940"/>
      <c r="M157" s="1940"/>
      <c r="Q157" s="1932"/>
      <c r="AA157" s="2491">
        <v>157</v>
      </c>
    </row>
    <row r="158" spans="1:27" ht="11.25" customHeight="1">
      <c r="A158" s="1937"/>
      <c r="B158" s="1935"/>
      <c r="C158" s="1940"/>
      <c r="D158" s="1940"/>
      <c r="E158" s="1940"/>
      <c r="F158" s="1940"/>
      <c r="G158" s="1940"/>
      <c r="H158" s="1940"/>
      <c r="I158" s="1940"/>
      <c r="J158" s="1940"/>
      <c r="K158" s="1940"/>
      <c r="L158" s="1940"/>
      <c r="M158" s="1940"/>
      <c r="Q158" s="1932"/>
      <c r="AA158" s="2491">
        <v>158</v>
      </c>
    </row>
    <row r="159" spans="1:27" ht="20.25" customHeight="1">
      <c r="A159" s="1941" t="s">
        <v>2489</v>
      </c>
      <c r="B159" s="1933" t="s">
        <v>2424</v>
      </c>
      <c r="C159" s="1933"/>
      <c r="D159" s="1933"/>
      <c r="E159" s="1933"/>
      <c r="F159" s="1933"/>
      <c r="G159" s="1933"/>
      <c r="H159" s="1940"/>
      <c r="I159" s="1940"/>
      <c r="J159" s="1940"/>
      <c r="K159" s="1940"/>
      <c r="L159" s="1940"/>
      <c r="M159" s="1940"/>
      <c r="O159" s="1936" t="s">
        <v>1726</v>
      </c>
      <c r="P159" s="3588"/>
      <c r="Q159" s="3596"/>
      <c r="AA159" s="2491">
        <v>159</v>
      </c>
    </row>
    <row r="160" spans="1:27" ht="15" customHeight="1">
      <c r="B160" s="1954" t="s">
        <v>3158</v>
      </c>
      <c r="D160" s="1954"/>
      <c r="E160" s="1954"/>
      <c r="F160" s="1954"/>
      <c r="G160" s="1954"/>
      <c r="H160" s="1942"/>
      <c r="I160" s="1935"/>
      <c r="J160" s="1935"/>
      <c r="K160" s="1935"/>
      <c r="L160" s="1932"/>
      <c r="M160" s="1932"/>
      <c r="N160" s="1932"/>
      <c r="O160" s="1932"/>
      <c r="P160" s="1932"/>
      <c r="Q160" s="1932"/>
      <c r="AA160" s="2491">
        <v>160</v>
      </c>
    </row>
    <row r="161" spans="1:27" ht="20.25" customHeight="1">
      <c r="A161" s="3582"/>
      <c r="B161" s="3582"/>
      <c r="C161" s="3582"/>
      <c r="D161" s="3582"/>
      <c r="E161" s="3582"/>
      <c r="F161" s="3582"/>
      <c r="G161" s="3582"/>
      <c r="H161" s="3582"/>
      <c r="I161" s="3582"/>
      <c r="J161" s="3582"/>
      <c r="K161" s="3582"/>
      <c r="L161" s="3582"/>
      <c r="M161" s="3582"/>
      <c r="N161" s="3582"/>
      <c r="O161" s="3582"/>
      <c r="P161" s="3582"/>
      <c r="Q161" s="3667"/>
      <c r="AA161" s="2491">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2">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1">
        <v>163</v>
      </c>
    </row>
    <row r="164" spans="1:27" ht="11.25" customHeight="1">
      <c r="AA164" s="2491">
        <v>164</v>
      </c>
    </row>
    <row r="165" spans="1:27" ht="11.25" customHeight="1">
      <c r="A165" s="1937"/>
      <c r="AA165" s="2491">
        <v>165</v>
      </c>
    </row>
    <row r="166" spans="1:27" ht="17.149999999999999" customHeight="1">
      <c r="A166" s="1941" t="s">
        <v>2075</v>
      </c>
      <c r="B166" s="1941" t="s">
        <v>2425</v>
      </c>
      <c r="C166" s="1941"/>
      <c r="D166" s="1940"/>
      <c r="E166" s="1940"/>
      <c r="F166" s="1940"/>
      <c r="G166" s="1940"/>
      <c r="H166" s="1940"/>
      <c r="I166" s="1940"/>
      <c r="J166" s="1940"/>
      <c r="K166" s="1940"/>
      <c r="L166" s="1940"/>
      <c r="M166" s="1940"/>
      <c r="O166" s="1936" t="s">
        <v>1726</v>
      </c>
      <c r="P166" s="3588"/>
      <c r="Q166" s="3596"/>
      <c r="AA166" s="2491">
        <v>166</v>
      </c>
    </row>
    <row r="167" spans="1:27" ht="15" customHeight="1">
      <c r="A167" s="1947" t="s">
        <v>1836</v>
      </c>
      <c r="B167" s="1933" t="s">
        <v>4099</v>
      </c>
      <c r="G167" s="1937"/>
      <c r="J167" s="1937"/>
      <c r="K167" s="1937"/>
      <c r="L167" s="1937"/>
      <c r="M167" s="1937"/>
      <c r="N167" s="1937"/>
      <c r="O167" s="1943"/>
      <c r="P167" s="1937"/>
      <c r="Q167" s="1937"/>
      <c r="AA167" s="2491">
        <v>167</v>
      </c>
    </row>
    <row r="168" spans="1:27" ht="29.5" customHeight="1">
      <c r="B168" s="3593" t="s">
        <v>5006</v>
      </c>
      <c r="C168" s="3593"/>
      <c r="D168" s="3593"/>
      <c r="E168" s="3593"/>
      <c r="F168" s="3593"/>
      <c r="G168" s="3593"/>
      <c r="H168" s="3593"/>
      <c r="I168" s="3593"/>
      <c r="J168" s="3593"/>
      <c r="K168" s="3593"/>
      <c r="L168" s="3593"/>
      <c r="M168" s="3593"/>
      <c r="N168" s="3593"/>
      <c r="O168" s="3594"/>
      <c r="P168" s="3664"/>
      <c r="Q168" s="3665"/>
      <c r="AA168" s="2491">
        <v>168</v>
      </c>
    </row>
    <row r="169" spans="1:27" ht="17.149999999999999" customHeight="1">
      <c r="A169" s="1947" t="s">
        <v>1838</v>
      </c>
      <c r="B169" s="1933" t="s">
        <v>297</v>
      </c>
      <c r="G169" s="1937"/>
      <c r="H169" s="3592" t="s">
        <v>3251</v>
      </c>
      <c r="I169" s="3592"/>
      <c r="J169" s="3592"/>
      <c r="K169" s="3592"/>
      <c r="L169" s="3592"/>
      <c r="M169" s="3592"/>
      <c r="N169" s="3592"/>
      <c r="O169" s="3592"/>
      <c r="P169" s="3666"/>
      <c r="Q169" s="3666"/>
      <c r="AA169" s="2491">
        <v>169</v>
      </c>
    </row>
    <row r="170" spans="1:27" ht="15" customHeight="1">
      <c r="B170" s="1954" t="s">
        <v>3158</v>
      </c>
      <c r="M170" s="1935"/>
      <c r="N170" s="1935"/>
      <c r="O170" s="1979"/>
      <c r="P170" s="1932"/>
      <c r="AA170" s="2491">
        <v>170</v>
      </c>
    </row>
    <row r="171" spans="1:27" ht="17.149999999999999" customHeight="1">
      <c r="A171" s="3582"/>
      <c r="B171" s="3582"/>
      <c r="C171" s="3582"/>
      <c r="D171" s="3582"/>
      <c r="E171" s="3582"/>
      <c r="F171" s="3582"/>
      <c r="G171" s="3582"/>
      <c r="H171" s="3582"/>
      <c r="I171" s="3582"/>
      <c r="J171" s="3582"/>
      <c r="K171" s="3582"/>
      <c r="L171" s="3582"/>
      <c r="M171" s="3582"/>
      <c r="N171" s="3582"/>
      <c r="O171" s="3582"/>
      <c r="P171" s="3582"/>
      <c r="Q171" s="3667"/>
      <c r="AA171" s="2492">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1">
        <v>172</v>
      </c>
    </row>
    <row r="173" spans="1:27" ht="17.149999999999999" customHeight="1">
      <c r="A173" s="3585"/>
      <c r="B173" s="3585"/>
      <c r="C173" s="3585"/>
      <c r="D173" s="3585"/>
      <c r="E173" s="3585"/>
      <c r="F173" s="3585"/>
      <c r="G173" s="3585"/>
      <c r="H173" s="3585"/>
      <c r="I173" s="3585"/>
      <c r="J173" s="3585"/>
      <c r="K173" s="3585"/>
      <c r="L173" s="3585"/>
      <c r="M173" s="3585"/>
      <c r="N173" s="3585"/>
      <c r="O173" s="3585"/>
      <c r="P173" s="3585"/>
      <c r="Q173" s="3640"/>
      <c r="AA173" s="2491">
        <v>173</v>
      </c>
    </row>
    <row r="174" spans="1:27" ht="11.25" customHeight="1">
      <c r="F174" s="1932"/>
      <c r="G174" s="1932"/>
      <c r="H174" s="1932"/>
      <c r="I174" s="1932"/>
      <c r="J174" s="1942"/>
      <c r="K174" s="1942"/>
      <c r="L174" s="1942"/>
      <c r="M174" s="1935"/>
      <c r="N174" s="1932"/>
      <c r="O174" s="1932"/>
      <c r="P174" s="1979"/>
      <c r="AA174" s="2491">
        <v>174</v>
      </c>
    </row>
    <row r="175" spans="1:27" ht="11.25" customHeight="1">
      <c r="A175" s="1937"/>
      <c r="F175" s="1932"/>
      <c r="G175" s="1932"/>
      <c r="H175" s="1932"/>
      <c r="I175" s="1932"/>
      <c r="J175" s="1942"/>
      <c r="K175" s="1942"/>
      <c r="L175" s="1942"/>
      <c r="M175" s="1935"/>
      <c r="N175" s="1932"/>
      <c r="O175" s="1932"/>
      <c r="P175" s="1979"/>
      <c r="AA175" s="2491">
        <v>175</v>
      </c>
    </row>
    <row r="176" spans="1:27" ht="17.149999999999999" customHeight="1">
      <c r="A176" s="1941" t="s">
        <v>3284</v>
      </c>
      <c r="B176" s="1941" t="s">
        <v>2426</v>
      </c>
      <c r="C176" s="1980"/>
      <c r="D176" s="1980"/>
      <c r="E176" s="1940"/>
      <c r="F176" s="1940"/>
      <c r="G176" s="1940"/>
      <c r="H176" s="1940"/>
      <c r="I176" s="1940"/>
      <c r="J176" s="1940"/>
      <c r="K176" s="1940"/>
      <c r="L176" s="1940"/>
      <c r="M176" s="1940"/>
      <c r="O176" s="1936" t="s">
        <v>1726</v>
      </c>
      <c r="P176" s="3641"/>
      <c r="Q176" s="3642"/>
      <c r="AA176" s="2491">
        <v>176</v>
      </c>
    </row>
    <row r="177" spans="1:27" ht="15" customHeight="1">
      <c r="A177" s="1937"/>
      <c r="B177" s="1934" t="s">
        <v>4684</v>
      </c>
      <c r="C177" s="1937"/>
      <c r="D177" s="1937"/>
      <c r="E177" s="1937"/>
      <c r="F177" s="1937"/>
      <c r="G177" s="1937"/>
      <c r="H177" s="1937"/>
      <c r="I177" s="1937"/>
      <c r="J177" s="1937"/>
      <c r="K177" s="1937"/>
      <c r="L177" s="1937"/>
      <c r="M177" s="1937"/>
      <c r="N177" s="1935"/>
      <c r="O177" s="1937"/>
      <c r="P177" s="3602"/>
      <c r="Q177" s="3654"/>
      <c r="AA177" s="2491">
        <v>177</v>
      </c>
    </row>
    <row r="178" spans="1:27" ht="30.65" customHeight="1">
      <c r="A178" s="1937"/>
      <c r="B178" s="3590" t="s">
        <v>5007</v>
      </c>
      <c r="C178" s="3590"/>
      <c r="D178" s="3590"/>
      <c r="E178" s="3590"/>
      <c r="F178" s="3590"/>
      <c r="G178" s="3590"/>
      <c r="H178" s="3590"/>
      <c r="I178" s="3590"/>
      <c r="J178" s="3590"/>
      <c r="K178" s="3590"/>
      <c r="L178" s="3590"/>
      <c r="M178" s="3590"/>
      <c r="N178" s="3590"/>
      <c r="O178" s="3590"/>
      <c r="P178" s="3607"/>
      <c r="Q178" s="3608"/>
      <c r="AA178" s="2491">
        <v>178</v>
      </c>
    </row>
    <row r="179" spans="1:27">
      <c r="A179" s="1947" t="s">
        <v>1836</v>
      </c>
      <c r="B179" s="1941" t="s">
        <v>5025</v>
      </c>
      <c r="C179" s="1940"/>
      <c r="D179" s="1940"/>
      <c r="E179" s="1940"/>
      <c r="F179" s="1940"/>
      <c r="G179" s="1940"/>
      <c r="H179" s="1940"/>
      <c r="I179" s="1940"/>
      <c r="J179" s="1940"/>
      <c r="K179" s="1937"/>
      <c r="L179" s="2086"/>
      <c r="M179" s="1984"/>
      <c r="N179" s="2085"/>
      <c r="O179" s="1943"/>
      <c r="P179" s="1943"/>
      <c r="Q179" s="1943"/>
      <c r="AA179" s="2491">
        <v>179</v>
      </c>
    </row>
    <row r="180" spans="1:27" ht="45" customHeight="1">
      <c r="A180" s="1937"/>
      <c r="B180" s="3593" t="s">
        <v>5042</v>
      </c>
      <c r="C180" s="3593"/>
      <c r="D180" s="3593"/>
      <c r="E180" s="3593"/>
      <c r="F180" s="3593"/>
      <c r="G180" s="3593"/>
      <c r="H180" s="3593"/>
      <c r="I180" s="3593"/>
      <c r="J180" s="3593"/>
      <c r="K180" s="3593"/>
      <c r="L180" s="3593"/>
      <c r="M180" s="3593"/>
      <c r="N180" s="3593"/>
      <c r="O180" s="3593"/>
      <c r="P180" s="1943"/>
      <c r="Q180" s="1943"/>
      <c r="AA180" s="2492">
        <v>180</v>
      </c>
    </row>
    <row r="181" spans="1:27" ht="28.5" customHeight="1">
      <c r="A181" s="1937"/>
      <c r="B181" s="1937"/>
      <c r="C181" s="1968"/>
      <c r="D181" s="3593" t="s">
        <v>5043</v>
      </c>
      <c r="E181" s="3593"/>
      <c r="F181" s="3593"/>
      <c r="G181" s="3593"/>
      <c r="H181" s="3593"/>
      <c r="I181" s="3593"/>
      <c r="J181" s="3593"/>
      <c r="K181" s="3593"/>
      <c r="L181" s="3593"/>
      <c r="M181" s="3593"/>
      <c r="N181" s="3593"/>
      <c r="O181" s="3593"/>
      <c r="P181" s="3661">
        <f>'Part VIII Scoring Criteria'!O105</f>
        <v>0</v>
      </c>
      <c r="Q181" s="3662"/>
      <c r="AA181" s="2492"/>
    </row>
    <row r="182" spans="1:27" ht="12" customHeight="1">
      <c r="A182" s="1937"/>
      <c r="C182" s="1937"/>
      <c r="D182" s="1937"/>
      <c r="E182" s="1937"/>
      <c r="F182" s="1937"/>
      <c r="G182" s="1937"/>
      <c r="H182" s="1937"/>
      <c r="I182" s="1937"/>
      <c r="J182" s="1937"/>
      <c r="K182" s="1937"/>
      <c r="L182" s="3660" t="s">
        <v>4685</v>
      </c>
      <c r="M182" s="3660"/>
      <c r="N182" s="1935"/>
      <c r="O182" s="1937"/>
      <c r="P182" s="1976"/>
      <c r="Q182" s="1932"/>
      <c r="AA182" s="2491">
        <v>181</v>
      </c>
    </row>
    <row r="183" spans="1:27" ht="17.149999999999999" customHeight="1">
      <c r="A183" s="1947" t="s">
        <v>1838</v>
      </c>
      <c r="B183" s="1941" t="s">
        <v>4800</v>
      </c>
      <c r="D183" s="1981"/>
      <c r="E183" s="1981"/>
      <c r="F183" s="1981"/>
      <c r="G183" s="1981"/>
      <c r="H183" s="1981"/>
      <c r="I183" s="1981"/>
      <c r="J183" s="1981"/>
      <c r="K183" s="1981"/>
      <c r="L183" s="1934" t="s">
        <v>4686</v>
      </c>
      <c r="M183" s="1935" t="s">
        <v>4687</v>
      </c>
      <c r="N183" s="1981"/>
      <c r="O183" s="1943"/>
      <c r="P183" s="3663" t="s">
        <v>5058</v>
      </c>
      <c r="Q183" s="3663"/>
      <c r="AA183" s="2491">
        <v>182</v>
      </c>
    </row>
    <row r="184" spans="1:27" ht="15" customHeight="1">
      <c r="A184" s="1947"/>
      <c r="B184" s="1934" t="s">
        <v>4688</v>
      </c>
      <c r="C184" s="1937"/>
      <c r="D184" s="1950"/>
      <c r="E184" s="1950"/>
      <c r="F184" s="1950"/>
      <c r="G184" s="1950"/>
      <c r="H184" s="1937"/>
      <c r="K184" s="1982"/>
      <c r="L184" s="1983">
        <f>ROUNDUP('Part V-Revenues &amp; Expenses'!$P$67*M184,0)</f>
        <v>0</v>
      </c>
      <c r="M184" s="1984">
        <f>'DCA Underwriting Assumptions'!$Q$147</f>
        <v>0.05</v>
      </c>
      <c r="N184" s="2085" t="s">
        <v>4801</v>
      </c>
      <c r="O184" s="1943"/>
      <c r="P184" s="3602"/>
      <c r="Q184" s="3654"/>
      <c r="AA184" s="2491">
        <v>183</v>
      </c>
    </row>
    <row r="185" spans="1:27" ht="15" customHeight="1">
      <c r="A185" s="1947"/>
      <c r="B185" s="1942"/>
      <c r="D185" s="3590" t="s">
        <v>4802</v>
      </c>
      <c r="E185" s="3590"/>
      <c r="F185" s="3590"/>
      <c r="G185" s="3590"/>
      <c r="H185" s="3590"/>
      <c r="I185" s="3590"/>
      <c r="J185" s="3590"/>
      <c r="K185" s="1982"/>
      <c r="L185" s="1985">
        <f>ROUNDUP(L184*M185,0)</f>
        <v>0</v>
      </c>
      <c r="M185" s="1984">
        <f>'DCA Underwriting Assumptions'!$Q$148</f>
        <v>0.4</v>
      </c>
      <c r="N185" s="2085" t="s">
        <v>4803</v>
      </c>
      <c r="O185" s="1943"/>
      <c r="P185" s="3604"/>
      <c r="Q185" s="3656"/>
      <c r="AA185" s="2491">
        <v>184</v>
      </c>
    </row>
    <row r="186" spans="1:27" ht="15" customHeight="1">
      <c r="A186" s="1947"/>
      <c r="B186" s="3590" t="s">
        <v>4689</v>
      </c>
      <c r="C186" s="3590"/>
      <c r="D186" s="3590"/>
      <c r="E186" s="3590"/>
      <c r="F186" s="3590"/>
      <c r="G186" s="3590"/>
      <c r="H186" s="3590"/>
      <c r="I186" s="3590"/>
      <c r="J186" s="3590"/>
      <c r="K186" s="1937"/>
      <c r="L186" s="1986">
        <f>ROUNDUP('Part V-Revenues &amp; Expenses'!$P$67*M186,0)</f>
        <v>0</v>
      </c>
      <c r="M186" s="1984">
        <f>'DCA Underwriting Assumptions'!$Q$149</f>
        <v>0.02</v>
      </c>
      <c r="N186" s="2085" t="s">
        <v>4801</v>
      </c>
      <c r="O186" s="1943"/>
      <c r="P186" s="3607"/>
      <c r="Q186" s="3655"/>
      <c r="AA186" s="2491">
        <v>185</v>
      </c>
    </row>
    <row r="187" spans="1:27" ht="15" customHeight="1">
      <c r="A187" s="1947" t="s">
        <v>697</v>
      </c>
      <c r="B187" s="1941" t="s">
        <v>4804</v>
      </c>
      <c r="C187" s="1940"/>
      <c r="D187" s="1940"/>
      <c r="E187" s="1940"/>
      <c r="F187" s="1940"/>
      <c r="G187" s="1940"/>
      <c r="H187" s="1940"/>
      <c r="I187" s="1940"/>
      <c r="J187" s="1940"/>
      <c r="K187" s="1937"/>
      <c r="L187" s="2086"/>
      <c r="M187" s="1984"/>
      <c r="N187" s="2085"/>
      <c r="O187" s="1943"/>
      <c r="P187" s="1943"/>
      <c r="Q187" s="1943"/>
      <c r="AA187" s="2491">
        <v>186</v>
      </c>
    </row>
    <row r="188" spans="1:27" ht="15.65" customHeight="1">
      <c r="A188" s="1947"/>
      <c r="B188" s="1934" t="s">
        <v>4807</v>
      </c>
      <c r="G188" s="1937"/>
      <c r="M188" s="3657"/>
      <c r="N188" s="3658"/>
      <c r="O188" s="3658"/>
      <c r="P188" s="3658"/>
      <c r="Q188" s="3659"/>
      <c r="AA188" s="2491">
        <v>187</v>
      </c>
    </row>
    <row r="189" spans="1:27" ht="15.65" customHeight="1">
      <c r="A189" s="1947"/>
      <c r="C189" s="1937"/>
      <c r="D189" s="1934" t="s">
        <v>4805</v>
      </c>
      <c r="O189" s="1943"/>
      <c r="P189" s="1962"/>
      <c r="Q189" s="1955"/>
      <c r="R189" s="1943"/>
      <c r="AA189" s="2491">
        <v>188</v>
      </c>
    </row>
    <row r="190" spans="1:27" ht="15.65" customHeight="1">
      <c r="A190" s="1947"/>
      <c r="C190" s="1937"/>
      <c r="D190" s="1934" t="s">
        <v>4806</v>
      </c>
      <c r="O190" s="1943"/>
      <c r="P190" s="1959"/>
      <c r="Q190" s="1960"/>
      <c r="R190" s="1943"/>
      <c r="AA190" s="2492">
        <v>189</v>
      </c>
    </row>
    <row r="191" spans="1:27" ht="15" customHeight="1">
      <c r="B191" s="1954" t="s">
        <v>3158</v>
      </c>
      <c r="D191" s="1954"/>
      <c r="E191" s="1954"/>
      <c r="F191" s="1954"/>
      <c r="G191" s="1954"/>
      <c r="H191" s="1942"/>
      <c r="I191" s="1935"/>
      <c r="J191" s="1935"/>
      <c r="K191" s="1935"/>
      <c r="L191" s="1932"/>
      <c r="M191" s="1932"/>
      <c r="N191" s="1932"/>
      <c r="O191" s="1932"/>
      <c r="P191" s="1932"/>
      <c r="Q191" s="1932"/>
      <c r="AA191" s="2491">
        <v>190</v>
      </c>
    </row>
    <row r="192" spans="1:27" ht="17.149999999999999" customHeight="1">
      <c r="A192" s="3582"/>
      <c r="B192" s="3582"/>
      <c r="C192" s="3582"/>
      <c r="D192" s="3582"/>
      <c r="E192" s="3582"/>
      <c r="F192" s="3582"/>
      <c r="G192" s="3582"/>
      <c r="H192" s="3582"/>
      <c r="I192" s="3582"/>
      <c r="J192" s="3582"/>
      <c r="K192" s="3582"/>
      <c r="L192" s="3582"/>
      <c r="M192" s="3582"/>
      <c r="N192" s="3582"/>
      <c r="O192" s="3582"/>
      <c r="P192" s="3582"/>
      <c r="Q192" s="3653"/>
      <c r="AA192" s="2491">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1">
        <v>192</v>
      </c>
    </row>
    <row r="194" spans="1:27" ht="17.149999999999999" customHeight="1">
      <c r="A194" s="3585"/>
      <c r="B194" s="3585"/>
      <c r="C194" s="3585"/>
      <c r="D194" s="3585"/>
      <c r="E194" s="3585"/>
      <c r="F194" s="3585"/>
      <c r="G194" s="3585"/>
      <c r="H194" s="3585"/>
      <c r="I194" s="3585"/>
      <c r="J194" s="3585"/>
      <c r="K194" s="3585"/>
      <c r="L194" s="3585"/>
      <c r="M194" s="3585"/>
      <c r="N194" s="3585"/>
      <c r="O194" s="3585"/>
      <c r="P194" s="3585"/>
      <c r="Q194" s="3640"/>
      <c r="AA194" s="2491">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1">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1">
        <v>195</v>
      </c>
    </row>
    <row r="197" spans="1:27" ht="20.25" customHeight="1">
      <c r="A197" s="1941" t="s">
        <v>3285</v>
      </c>
      <c r="B197" s="1933" t="s">
        <v>2427</v>
      </c>
      <c r="C197" s="1933"/>
      <c r="D197" s="1933"/>
      <c r="E197" s="1933"/>
      <c r="F197" s="1933"/>
      <c r="G197" s="1933"/>
      <c r="H197" s="1940"/>
      <c r="I197" s="1940"/>
      <c r="J197" s="1940"/>
      <c r="K197" s="1940"/>
      <c r="L197" s="1940"/>
      <c r="M197" s="1940"/>
      <c r="O197" s="1936" t="s">
        <v>1726</v>
      </c>
      <c r="P197" s="3588"/>
      <c r="Q197" s="3639"/>
      <c r="AA197" s="2491">
        <v>196</v>
      </c>
    </row>
    <row r="198" spans="1:27" ht="15" customHeight="1">
      <c r="B198" s="1934" t="s">
        <v>4684</v>
      </c>
      <c r="P198" s="3602"/>
      <c r="Q198" s="3654"/>
      <c r="AA198" s="2491">
        <v>197</v>
      </c>
    </row>
    <row r="199" spans="1:27" ht="28.5" customHeight="1">
      <c r="B199" s="3590" t="s">
        <v>5008</v>
      </c>
      <c r="C199" s="3590"/>
      <c r="D199" s="3590"/>
      <c r="E199" s="3590"/>
      <c r="F199" s="3590"/>
      <c r="G199" s="3590"/>
      <c r="H199" s="3590"/>
      <c r="I199" s="3590"/>
      <c r="J199" s="3590"/>
      <c r="K199" s="3590"/>
      <c r="L199" s="3590"/>
      <c r="M199" s="3590"/>
      <c r="N199" s="3590"/>
      <c r="P199" s="3607"/>
      <c r="Q199" s="3655"/>
      <c r="AA199" s="2492">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1">
        <v>199</v>
      </c>
    </row>
    <row r="201" spans="1:27" ht="59.25" customHeight="1">
      <c r="B201" s="1970" t="s">
        <v>1611</v>
      </c>
      <c r="C201" s="3593" t="s">
        <v>4740</v>
      </c>
      <c r="D201" s="3593"/>
      <c r="E201" s="3593"/>
      <c r="F201" s="3582" t="s">
        <v>2141</v>
      </c>
      <c r="G201" s="3583"/>
      <c r="H201" s="3583"/>
      <c r="I201" s="3583"/>
      <c r="J201" s="3583"/>
      <c r="K201" s="3583"/>
      <c r="L201" s="3583"/>
      <c r="M201" s="3583"/>
      <c r="N201" s="3583"/>
      <c r="O201" s="3583"/>
      <c r="P201" s="3583"/>
      <c r="Q201" s="3584"/>
      <c r="AA201" s="2491">
        <v>200</v>
      </c>
    </row>
    <row r="202" spans="1:27" ht="30" customHeight="1">
      <c r="B202" s="1970" t="s">
        <v>1612</v>
      </c>
      <c r="C202" s="3593" t="s">
        <v>4741</v>
      </c>
      <c r="D202" s="3593"/>
      <c r="E202" s="3593"/>
      <c r="F202" s="3593"/>
      <c r="G202" s="3594"/>
      <c r="H202" s="3582" t="s">
        <v>1017</v>
      </c>
      <c r="I202" s="3583"/>
      <c r="J202" s="3583"/>
      <c r="K202" s="3583"/>
      <c r="L202" s="3583"/>
      <c r="M202" s="3583"/>
      <c r="N202" s="3583"/>
      <c r="O202" s="3583"/>
      <c r="P202" s="3583"/>
      <c r="Q202" s="3584"/>
      <c r="AA202" s="2491">
        <v>201</v>
      </c>
    </row>
    <row r="203" spans="1:27" ht="20.25" customHeight="1">
      <c r="A203" s="1947"/>
      <c r="B203" s="1970" t="s">
        <v>1613</v>
      </c>
      <c r="C203" s="3590" t="s">
        <v>4690</v>
      </c>
      <c r="D203" s="3590"/>
      <c r="E203" s="3590"/>
      <c r="F203" s="3590"/>
      <c r="G203" s="3590"/>
      <c r="H203" s="3590"/>
      <c r="I203" s="3590"/>
      <c r="J203" s="3590"/>
      <c r="K203" s="3590"/>
      <c r="L203" s="3590"/>
      <c r="M203" s="3590"/>
      <c r="N203" s="3590"/>
      <c r="O203" s="3590"/>
      <c r="P203" s="3590"/>
      <c r="Q203" s="3590"/>
      <c r="AA203" s="2491">
        <v>202</v>
      </c>
    </row>
    <row r="204" spans="1:27" ht="15.65" customHeight="1">
      <c r="A204" s="1947"/>
      <c r="B204" s="1943"/>
      <c r="C204" s="3649"/>
      <c r="D204" s="3649"/>
      <c r="E204" s="3649"/>
      <c r="F204" s="3649"/>
      <c r="G204" s="3649"/>
      <c r="H204" s="3649"/>
      <c r="I204" s="3649"/>
      <c r="J204" s="3649"/>
      <c r="K204" s="3649"/>
      <c r="L204" s="3649"/>
      <c r="M204" s="3649"/>
      <c r="N204" s="3649"/>
      <c r="O204" s="3649"/>
      <c r="P204" s="3649"/>
      <c r="Q204" s="3650"/>
      <c r="AA204" s="2491">
        <v>203</v>
      </c>
    </row>
    <row r="205" spans="1:27" ht="15.65" customHeight="1">
      <c r="A205" s="1947"/>
      <c r="B205" s="1943"/>
      <c r="C205" s="3651"/>
      <c r="D205" s="3651"/>
      <c r="E205" s="3651"/>
      <c r="F205" s="3651"/>
      <c r="G205" s="3651"/>
      <c r="H205" s="3651"/>
      <c r="I205" s="3651"/>
      <c r="J205" s="3651"/>
      <c r="K205" s="3651"/>
      <c r="L205" s="3651"/>
      <c r="M205" s="3651"/>
      <c r="N205" s="3651"/>
      <c r="O205" s="3651"/>
      <c r="P205" s="3651"/>
      <c r="Q205" s="3652"/>
      <c r="AA205" s="2491">
        <v>204</v>
      </c>
    </row>
    <row r="206" spans="1:27" ht="15" customHeight="1">
      <c r="B206" s="1954" t="s">
        <v>3158</v>
      </c>
      <c r="D206" s="1954"/>
      <c r="E206" s="1954"/>
      <c r="F206" s="1954"/>
      <c r="G206" s="1954"/>
      <c r="H206" s="1942"/>
      <c r="I206" s="1935"/>
      <c r="J206" s="1935"/>
      <c r="K206" s="1935"/>
      <c r="L206" s="1932"/>
      <c r="M206" s="1932"/>
      <c r="N206" s="1932"/>
      <c r="O206" s="1932"/>
      <c r="P206" s="1932"/>
      <c r="Q206" s="1932"/>
      <c r="AA206" s="2491">
        <v>205</v>
      </c>
    </row>
    <row r="207" spans="1:27" ht="20.25" customHeight="1">
      <c r="A207" s="3582"/>
      <c r="B207" s="3582"/>
      <c r="C207" s="3582"/>
      <c r="D207" s="3582"/>
      <c r="E207" s="3582"/>
      <c r="F207" s="3582"/>
      <c r="G207" s="3582"/>
      <c r="H207" s="3582"/>
      <c r="I207" s="3582"/>
      <c r="J207" s="3582"/>
      <c r="K207" s="3582"/>
      <c r="L207" s="3582"/>
      <c r="M207" s="3582"/>
      <c r="N207" s="3582"/>
      <c r="O207" s="3582"/>
      <c r="P207" s="3582"/>
      <c r="Q207" s="3653"/>
      <c r="AA207" s="2491">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2">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40"/>
      <c r="AA209" s="2491">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1">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1">
        <v>210</v>
      </c>
    </row>
    <row r="212" spans="1:27" ht="20.25" customHeight="1">
      <c r="A212" s="1941" t="s">
        <v>3283</v>
      </c>
      <c r="B212" s="1941" t="s">
        <v>4808</v>
      </c>
      <c r="C212" s="1941"/>
      <c r="D212" s="1940"/>
      <c r="E212" s="1940"/>
      <c r="F212" s="1940"/>
      <c r="G212" s="1940"/>
      <c r="H212" s="1940"/>
      <c r="N212" s="1961"/>
      <c r="O212" s="1936" t="s">
        <v>1726</v>
      </c>
      <c r="P212" s="3641"/>
      <c r="Q212" s="3642"/>
      <c r="AA212" s="2491">
        <v>211</v>
      </c>
    </row>
    <row r="213" spans="1:27" ht="15" customHeight="1">
      <c r="A213" s="1947"/>
      <c r="B213" s="1934" t="s">
        <v>4798</v>
      </c>
      <c r="O213" s="1943"/>
      <c r="P213" s="3643" t="s">
        <v>1641</v>
      </c>
      <c r="Q213" s="3644"/>
      <c r="AA213" s="2491">
        <v>212</v>
      </c>
    </row>
    <row r="214" spans="1:27" ht="15" customHeight="1">
      <c r="A214" s="1947"/>
      <c r="B214" s="1934" t="s">
        <v>4809</v>
      </c>
      <c r="O214" s="1943"/>
      <c r="P214" s="3645" t="s">
        <v>1641</v>
      </c>
      <c r="Q214" s="3646"/>
      <c r="AA214" s="2491">
        <v>213</v>
      </c>
    </row>
    <row r="215" spans="1:27" ht="15" customHeight="1">
      <c r="A215" s="1947"/>
      <c r="B215" s="1934" t="s">
        <v>4810</v>
      </c>
      <c r="C215" s="1937"/>
      <c r="K215" s="1935"/>
      <c r="M215" s="1943"/>
      <c r="O215" s="1988"/>
      <c r="P215" s="3645" t="s">
        <v>1641</v>
      </c>
      <c r="Q215" s="3646"/>
      <c r="AA215" s="2491">
        <v>214</v>
      </c>
    </row>
    <row r="216" spans="1:27" ht="29.5" customHeight="1">
      <c r="A216" s="1947"/>
      <c r="B216" s="3590" t="s">
        <v>4811</v>
      </c>
      <c r="C216" s="3590"/>
      <c r="D216" s="3590"/>
      <c r="E216" s="3590"/>
      <c r="F216" s="3590"/>
      <c r="G216" s="3590"/>
      <c r="H216" s="3590"/>
      <c r="I216" s="3590"/>
      <c r="J216" s="3590"/>
      <c r="K216" s="3590"/>
      <c r="L216" s="3590"/>
      <c r="M216" s="3590"/>
      <c r="N216" s="3590"/>
      <c r="O216" s="3590"/>
      <c r="P216" s="3647" t="s">
        <v>1641</v>
      </c>
      <c r="Q216" s="3648"/>
      <c r="AA216" s="2491">
        <v>215</v>
      </c>
    </row>
    <row r="217" spans="1:27" ht="15.65" customHeight="1">
      <c r="A217" s="1947"/>
      <c r="B217" s="1934" t="s">
        <v>4812</v>
      </c>
      <c r="M217" s="1937"/>
      <c r="N217" s="1937"/>
      <c r="O217" s="3631"/>
      <c r="P217" s="3632"/>
      <c r="Q217" s="3633"/>
      <c r="AA217" s="2492">
        <v>216</v>
      </c>
    </row>
    <row r="218" spans="1:27" ht="15.65" customHeight="1">
      <c r="A218" s="1947"/>
      <c r="B218" s="1933" t="s">
        <v>4691</v>
      </c>
      <c r="G218" s="3588"/>
      <c r="H218" s="3634"/>
      <c r="I218" s="3634"/>
      <c r="J218" s="3634"/>
      <c r="K218" s="3634"/>
      <c r="L218" s="3589"/>
      <c r="M218" s="1937"/>
      <c r="N218" s="1937"/>
      <c r="O218" s="1937"/>
      <c r="P218" s="1937"/>
      <c r="Q218" s="1937"/>
      <c r="AA218" s="2491">
        <v>217</v>
      </c>
    </row>
    <row r="219" spans="1:27" ht="15" customHeight="1">
      <c r="B219" s="1954" t="s">
        <v>3158</v>
      </c>
      <c r="D219" s="1954"/>
      <c r="E219" s="1954"/>
      <c r="F219" s="1954"/>
      <c r="G219" s="1954"/>
      <c r="H219" s="1942"/>
      <c r="I219" s="1935"/>
      <c r="J219" s="1935"/>
      <c r="K219" s="1935"/>
      <c r="L219" s="1932"/>
      <c r="M219" s="1932"/>
      <c r="N219" s="1932"/>
      <c r="O219" s="1932"/>
      <c r="P219" s="1932"/>
      <c r="Q219" s="1932"/>
      <c r="AA219" s="2491">
        <v>218</v>
      </c>
    </row>
    <row r="220" spans="1:27" ht="20.25" customHeight="1">
      <c r="A220" s="3628"/>
      <c r="B220" s="3635"/>
      <c r="C220" s="3635"/>
      <c r="D220" s="3635"/>
      <c r="E220" s="3635"/>
      <c r="F220" s="3635"/>
      <c r="G220" s="3635"/>
      <c r="H220" s="3635"/>
      <c r="I220" s="3635"/>
      <c r="J220" s="3635"/>
      <c r="K220" s="3635"/>
      <c r="L220" s="3635"/>
      <c r="M220" s="3635"/>
      <c r="N220" s="3635"/>
      <c r="O220" s="3635"/>
      <c r="P220" s="3635"/>
      <c r="Q220" s="3636"/>
      <c r="AA220" s="2491">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1">
        <v>220</v>
      </c>
    </row>
    <row r="222" spans="1:27" ht="20.25" customHeight="1">
      <c r="A222" s="3616"/>
      <c r="B222" s="3637"/>
      <c r="C222" s="3637"/>
      <c r="D222" s="3637"/>
      <c r="E222" s="3637"/>
      <c r="F222" s="3637"/>
      <c r="G222" s="3637"/>
      <c r="H222" s="3637"/>
      <c r="I222" s="3637"/>
      <c r="J222" s="3637"/>
      <c r="K222" s="3637"/>
      <c r="L222" s="3637"/>
      <c r="M222" s="3637"/>
      <c r="N222" s="3637"/>
      <c r="O222" s="3637"/>
      <c r="P222" s="3637"/>
      <c r="Q222" s="3638"/>
      <c r="AA222" s="2491">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1">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1">
        <v>223</v>
      </c>
    </row>
    <row r="225" spans="1:28" ht="20.25" customHeight="1">
      <c r="A225" s="1941" t="s">
        <v>3286</v>
      </c>
      <c r="B225" s="1933" t="s">
        <v>4438</v>
      </c>
      <c r="C225" s="1933"/>
      <c r="D225" s="1933"/>
      <c r="E225" s="1933"/>
      <c r="F225" s="1933"/>
      <c r="G225" s="1933"/>
      <c r="H225" s="1940"/>
      <c r="I225" s="1940"/>
      <c r="J225" s="1940"/>
      <c r="K225" s="1940"/>
      <c r="L225" s="1940"/>
      <c r="M225" s="1940"/>
      <c r="N225" s="1989"/>
      <c r="O225" s="1936" t="s">
        <v>1726</v>
      </c>
      <c r="P225" s="3588"/>
      <c r="Q225" s="3639"/>
      <c r="AA225" s="2491">
        <v>224</v>
      </c>
    </row>
    <row r="226" spans="1:28" ht="33.75" customHeight="1">
      <c r="A226" s="1941"/>
      <c r="B226" s="3590" t="s">
        <v>4692</v>
      </c>
      <c r="C226" s="3590"/>
      <c r="D226" s="3590"/>
      <c r="E226" s="3590"/>
      <c r="F226" s="3590"/>
      <c r="G226" s="3590"/>
      <c r="H226" s="3590"/>
      <c r="I226" s="3590"/>
      <c r="J226" s="3590"/>
      <c r="K226" s="3590"/>
      <c r="L226" s="3590"/>
      <c r="M226" s="3590"/>
      <c r="N226" s="3590"/>
      <c r="O226" s="3591"/>
      <c r="P226" s="3599"/>
      <c r="Q226" s="3600"/>
      <c r="AA226" s="2492">
        <v>225</v>
      </c>
    </row>
    <row r="227" spans="1:28" s="1990" customFormat="1">
      <c r="A227" s="1963" t="s">
        <v>1836</v>
      </c>
      <c r="B227" s="2087" t="s">
        <v>4814</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1">
        <v>226</v>
      </c>
      <c r="AB227" s="2056"/>
    </row>
    <row r="228" spans="1:28" s="1990" customFormat="1" ht="30.75" customHeight="1">
      <c r="A228" s="1963"/>
      <c r="C228" s="1966" t="s">
        <v>4813</v>
      </c>
      <c r="D228" s="2060"/>
      <c r="E228" s="2060"/>
      <c r="G228" s="3593" t="s">
        <v>5009</v>
      </c>
      <c r="H228" s="3593"/>
      <c r="I228" s="3593"/>
      <c r="J228" s="3593"/>
      <c r="K228" s="3593"/>
      <c r="L228" s="3593"/>
      <c r="M228" s="3593"/>
      <c r="N228" s="3593"/>
      <c r="O228" s="3594"/>
      <c r="P228" s="2088"/>
      <c r="Q228" s="1955"/>
      <c r="R228" s="2056"/>
      <c r="S228" s="2056"/>
      <c r="T228" s="2056"/>
      <c r="U228" s="2056"/>
      <c r="V228" s="2056"/>
      <c r="W228" s="2056"/>
      <c r="X228" s="2056"/>
      <c r="Y228" s="2056"/>
      <c r="Z228" s="2056"/>
      <c r="AA228" s="2491">
        <v>227</v>
      </c>
      <c r="AB228" s="2056"/>
    </row>
    <row r="229" spans="1:28" s="1990" customFormat="1" ht="30.75" customHeight="1">
      <c r="A229" s="1963"/>
      <c r="C229" s="3593" t="s">
        <v>4815</v>
      </c>
      <c r="D229" s="3593"/>
      <c r="E229" s="3593"/>
      <c r="F229" s="3593"/>
      <c r="G229" s="3593" t="s">
        <v>5010</v>
      </c>
      <c r="H229" s="3593"/>
      <c r="I229" s="3593"/>
      <c r="J229" s="3593"/>
      <c r="K229" s="3593"/>
      <c r="L229" s="3593"/>
      <c r="M229" s="3593"/>
      <c r="N229" s="3593"/>
      <c r="O229" s="3594"/>
      <c r="P229" s="2089"/>
      <c r="Q229" s="1960"/>
      <c r="R229" s="2056"/>
      <c r="S229" s="2056"/>
      <c r="T229" s="2056"/>
      <c r="U229" s="2056"/>
      <c r="V229" s="2056"/>
      <c r="W229" s="2056"/>
      <c r="X229" s="2056"/>
      <c r="Y229" s="2056"/>
      <c r="Z229" s="2056"/>
      <c r="AA229" s="2491">
        <v>228</v>
      </c>
      <c r="AB229" s="2056"/>
    </row>
    <row r="230" spans="1:28" ht="44.25" customHeight="1">
      <c r="A230" s="1963" t="s">
        <v>1838</v>
      </c>
      <c r="B230" s="3593" t="s">
        <v>4816</v>
      </c>
      <c r="C230" s="3593"/>
      <c r="D230" s="3593"/>
      <c r="E230" s="3593"/>
      <c r="F230" s="3593"/>
      <c r="G230" s="3593"/>
      <c r="H230" s="3593"/>
      <c r="I230" s="3593"/>
      <c r="J230" s="3593"/>
      <c r="K230" s="3593"/>
      <c r="L230" s="3593"/>
      <c r="M230" s="3593"/>
      <c r="N230" s="3593"/>
      <c r="O230" s="3593"/>
      <c r="P230" s="2092"/>
      <c r="Q230" s="2091"/>
      <c r="AA230" s="2491">
        <v>229</v>
      </c>
    </row>
    <row r="231" spans="1:28" ht="20.25" customHeight="1">
      <c r="A231" s="1947" t="s">
        <v>697</v>
      </c>
      <c r="B231" s="1934" t="s">
        <v>4817</v>
      </c>
      <c r="G231" s="1934" t="s">
        <v>4818</v>
      </c>
      <c r="P231" s="2092"/>
      <c r="Q231" s="2091"/>
      <c r="AA231" s="2491">
        <v>230</v>
      </c>
    </row>
    <row r="232" spans="1:28" ht="45" customHeight="1">
      <c r="A232" s="1963" t="s">
        <v>1957</v>
      </c>
      <c r="B232" s="3593" t="s">
        <v>4693</v>
      </c>
      <c r="C232" s="3593"/>
      <c r="D232" s="3593"/>
      <c r="E232" s="3593"/>
      <c r="F232" s="3593"/>
      <c r="G232" s="3593"/>
      <c r="H232" s="3593"/>
      <c r="I232" s="3593"/>
      <c r="J232" s="3593"/>
      <c r="K232" s="3593"/>
      <c r="L232" s="3593"/>
      <c r="M232" s="3593"/>
      <c r="N232" s="3593"/>
      <c r="O232" s="3593"/>
      <c r="P232" s="2092"/>
      <c r="Q232" s="2091"/>
      <c r="AA232" s="2491">
        <v>231</v>
      </c>
    </row>
    <row r="233" spans="1:28" ht="15" customHeight="1">
      <c r="B233" s="1954" t="s">
        <v>3158</v>
      </c>
      <c r="D233" s="1954"/>
      <c r="E233" s="1954"/>
      <c r="F233" s="1954"/>
      <c r="G233" s="1954"/>
      <c r="H233" s="1942"/>
      <c r="I233" s="1935"/>
      <c r="J233" s="1935"/>
      <c r="K233" s="1935"/>
      <c r="L233" s="1932"/>
      <c r="M233" s="1932"/>
      <c r="N233" s="1932"/>
      <c r="O233" s="1932"/>
      <c r="P233" s="1932"/>
      <c r="Q233" s="1932"/>
      <c r="AA233" s="2491">
        <v>232</v>
      </c>
    </row>
    <row r="234" spans="1:28" ht="20.25" customHeight="1">
      <c r="A234" s="3628"/>
      <c r="B234" s="3629"/>
      <c r="C234" s="3629"/>
      <c r="D234" s="3629"/>
      <c r="E234" s="3629"/>
      <c r="F234" s="3629"/>
      <c r="G234" s="3629"/>
      <c r="H234" s="3629"/>
      <c r="I234" s="3629"/>
      <c r="J234" s="3629"/>
      <c r="K234" s="3629"/>
      <c r="L234" s="3629"/>
      <c r="M234" s="3629"/>
      <c r="N234" s="3629"/>
      <c r="O234" s="3629"/>
      <c r="P234" s="3629"/>
      <c r="Q234" s="3630"/>
      <c r="AA234" s="2491">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2">
        <v>234</v>
      </c>
    </row>
    <row r="236" spans="1:28" ht="20.25" customHeight="1">
      <c r="A236" s="3616"/>
      <c r="B236" s="3617"/>
      <c r="C236" s="3617"/>
      <c r="D236" s="3617"/>
      <c r="E236" s="3617"/>
      <c r="F236" s="3617"/>
      <c r="G236" s="3617"/>
      <c r="H236" s="3617"/>
      <c r="I236" s="3617"/>
      <c r="J236" s="3617"/>
      <c r="K236" s="3617"/>
      <c r="L236" s="3617"/>
      <c r="M236" s="3617"/>
      <c r="N236" s="3617"/>
      <c r="O236" s="3617"/>
      <c r="P236" s="3617"/>
      <c r="Q236" s="3618"/>
      <c r="AA236" s="2491">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1">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1">
        <v>237</v>
      </c>
    </row>
    <row r="239" spans="1:28" ht="20.25" customHeight="1">
      <c r="A239" s="1941" t="s">
        <v>3287</v>
      </c>
      <c r="B239" s="1933" t="s">
        <v>3272</v>
      </c>
      <c r="C239" s="1933"/>
      <c r="D239" s="1933"/>
      <c r="E239" s="1933"/>
      <c r="F239" s="1933"/>
      <c r="G239" s="1933"/>
      <c r="H239" s="1940"/>
      <c r="I239" s="1940"/>
      <c r="J239" s="1940"/>
      <c r="K239" s="1940"/>
      <c r="L239" s="1940"/>
      <c r="M239" s="1940"/>
      <c r="N239" s="1991"/>
      <c r="O239" s="1936" t="s">
        <v>1726</v>
      </c>
      <c r="P239" s="3588"/>
      <c r="Q239" s="3589"/>
      <c r="AA239" s="2491">
        <v>238</v>
      </c>
    </row>
    <row r="240" spans="1:28" ht="20.25" customHeight="1">
      <c r="A240" s="1947"/>
      <c r="B240" s="3619" t="s">
        <v>3273</v>
      </c>
      <c r="C240" s="3619"/>
      <c r="D240" s="3619"/>
      <c r="E240" s="3619"/>
      <c r="F240" s="3620"/>
      <c r="G240" s="3621"/>
      <c r="H240" s="3622"/>
      <c r="I240" s="3622"/>
      <c r="J240" s="3622"/>
      <c r="K240" s="3622"/>
      <c r="L240" s="3622"/>
      <c r="M240" s="3622"/>
      <c r="N240" s="3622"/>
      <c r="O240" s="3622"/>
      <c r="P240" s="3622"/>
      <c r="Q240" s="3623"/>
      <c r="AA240" s="2491">
        <v>239</v>
      </c>
    </row>
    <row r="241" spans="1:27" ht="20.25" customHeight="1" thickBot="1">
      <c r="A241" s="1947"/>
      <c r="B241" s="3619" t="s">
        <v>3274</v>
      </c>
      <c r="C241" s="3619"/>
      <c r="D241" s="3619"/>
      <c r="E241" s="3619"/>
      <c r="F241" s="3620"/>
      <c r="G241" s="3624"/>
      <c r="H241" s="3625"/>
      <c r="I241" s="3625"/>
      <c r="J241" s="3625"/>
      <c r="K241" s="3625"/>
      <c r="L241" s="3625"/>
      <c r="M241" s="3625"/>
      <c r="N241" s="3625"/>
      <c r="O241" s="3625"/>
      <c r="P241" s="3626"/>
      <c r="Q241" s="3627"/>
      <c r="AA241" s="2491">
        <v>240</v>
      </c>
    </row>
    <row r="242" spans="1:27" ht="30" customHeight="1" thickBot="1">
      <c r="A242" s="1947"/>
      <c r="B242" s="3593" t="s">
        <v>5011</v>
      </c>
      <c r="C242" s="3593"/>
      <c r="D242" s="3593"/>
      <c r="E242" s="3593"/>
      <c r="F242" s="3593"/>
      <c r="G242" s="3593"/>
      <c r="H242" s="3593"/>
      <c r="I242" s="3593"/>
      <c r="J242" s="3593"/>
      <c r="K242" s="3593"/>
      <c r="L242" s="3593"/>
      <c r="M242" s="3593"/>
      <c r="N242" s="3593"/>
      <c r="O242" s="3613"/>
      <c r="P242" s="3614"/>
      <c r="Q242" s="3615"/>
      <c r="AA242" s="2491">
        <v>241</v>
      </c>
    </row>
    <row r="243" spans="1:27" ht="20.25" customHeight="1">
      <c r="B243" s="1954" t="s">
        <v>3158</v>
      </c>
      <c r="D243" s="1954"/>
      <c r="E243" s="1954"/>
      <c r="F243" s="1954"/>
      <c r="G243" s="1954"/>
      <c r="H243" s="1942"/>
      <c r="I243" s="1935"/>
      <c r="J243" s="1935"/>
      <c r="K243" s="1935"/>
      <c r="L243" s="1932"/>
      <c r="M243" s="1932"/>
      <c r="N243" s="1932"/>
      <c r="O243" s="1932"/>
      <c r="P243" s="1932"/>
      <c r="Q243" s="1932"/>
      <c r="AA243" s="2491">
        <v>242</v>
      </c>
    </row>
    <row r="244" spans="1:27" ht="20.25" customHeight="1">
      <c r="A244" s="3582"/>
      <c r="B244" s="3583"/>
      <c r="C244" s="3583"/>
      <c r="D244" s="3583"/>
      <c r="E244" s="3583"/>
      <c r="F244" s="3583"/>
      <c r="G244" s="3583"/>
      <c r="H244" s="3583"/>
      <c r="I244" s="3583"/>
      <c r="J244" s="3583"/>
      <c r="K244" s="3583"/>
      <c r="L244" s="3583"/>
      <c r="M244" s="3583"/>
      <c r="N244" s="3583"/>
      <c r="O244" s="3583"/>
      <c r="P244" s="3583"/>
      <c r="Q244" s="3584"/>
      <c r="AA244" s="2492">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1">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1">
        <v>245</v>
      </c>
    </row>
    <row r="247" spans="1:27" ht="11.15" customHeight="1">
      <c r="A247" s="1932"/>
      <c r="B247" s="1935"/>
      <c r="C247" s="1940"/>
      <c r="D247" s="1940"/>
      <c r="E247" s="1940"/>
      <c r="F247" s="1940"/>
      <c r="G247" s="1940"/>
      <c r="H247" s="1940"/>
      <c r="I247" s="1940"/>
      <c r="J247" s="1940"/>
      <c r="K247" s="1940"/>
      <c r="L247" s="1940"/>
      <c r="M247" s="1940"/>
      <c r="Q247" s="1932"/>
      <c r="AA247" s="2491">
        <v>246</v>
      </c>
    </row>
    <row r="248" spans="1:27" ht="11.15" customHeight="1">
      <c r="A248" s="1937"/>
      <c r="B248" s="1935"/>
      <c r="C248" s="1940"/>
      <c r="D248" s="1940"/>
      <c r="E248" s="1940"/>
      <c r="F248" s="1940"/>
      <c r="G248" s="1940"/>
      <c r="H248" s="1940"/>
      <c r="I248" s="1940"/>
      <c r="J248" s="1940"/>
      <c r="K248" s="1940"/>
      <c r="L248" s="1940"/>
      <c r="M248" s="1940"/>
      <c r="Q248" s="1932"/>
      <c r="AA248" s="2491">
        <v>247</v>
      </c>
    </row>
    <row r="249" spans="1:27" ht="20.25" customHeight="1">
      <c r="A249" s="1941" t="s">
        <v>3290</v>
      </c>
      <c r="B249" s="1933" t="s">
        <v>2428</v>
      </c>
      <c r="C249" s="1933"/>
      <c r="D249" s="1933"/>
      <c r="E249" s="1940"/>
      <c r="G249" s="1934" t="s">
        <v>654</v>
      </c>
      <c r="H249" s="1940"/>
      <c r="I249" s="1940"/>
      <c r="J249" s="1940"/>
      <c r="K249" s="1940"/>
      <c r="L249" s="1940"/>
      <c r="M249" s="1940"/>
      <c r="O249" s="1936" t="s">
        <v>1726</v>
      </c>
      <c r="P249" s="3588"/>
      <c r="Q249" s="3589"/>
      <c r="AA249" s="2491">
        <v>248</v>
      </c>
    </row>
    <row r="250" spans="1:27" ht="15.65" customHeight="1">
      <c r="A250" s="1947"/>
      <c r="B250" s="1934" t="s">
        <v>2431</v>
      </c>
      <c r="D250" s="1950"/>
      <c r="E250" s="1950"/>
      <c r="O250" s="1943"/>
      <c r="P250" s="3602"/>
      <c r="Q250" s="3603"/>
      <c r="AA250" s="2491">
        <v>249</v>
      </c>
    </row>
    <row r="251" spans="1:27" ht="15.65" customHeight="1">
      <c r="A251" s="1947"/>
      <c r="B251" s="1934" t="s">
        <v>3059</v>
      </c>
      <c r="D251" s="1950"/>
      <c r="E251" s="1950"/>
      <c r="O251" s="1943"/>
      <c r="P251" s="3604"/>
      <c r="Q251" s="3605"/>
      <c r="AA251" s="2491">
        <v>250</v>
      </c>
    </row>
    <row r="252" spans="1:27" ht="15.65" customHeight="1">
      <c r="A252" s="1947"/>
      <c r="B252" s="1934" t="s">
        <v>689</v>
      </c>
      <c r="D252" s="3609"/>
      <c r="E252" s="3610"/>
      <c r="F252" s="3610"/>
      <c r="G252" s="3610"/>
      <c r="H252" s="3610"/>
      <c r="I252" s="3610"/>
      <c r="J252" s="3610"/>
      <c r="K252" s="3610"/>
      <c r="L252" s="3610"/>
      <c r="M252" s="3610"/>
      <c r="N252" s="3610"/>
      <c r="O252" s="3610"/>
      <c r="P252" s="3611"/>
      <c r="Q252" s="3612"/>
      <c r="AA252" s="2491">
        <v>251</v>
      </c>
    </row>
    <row r="253" spans="1:27" ht="17.149999999999999" customHeight="1">
      <c r="B253" s="1954" t="s">
        <v>3158</v>
      </c>
      <c r="D253" s="1954"/>
      <c r="E253" s="1954"/>
      <c r="F253" s="1954"/>
      <c r="G253" s="1954"/>
      <c r="H253" s="1942"/>
      <c r="I253" s="1935"/>
      <c r="J253" s="1935"/>
      <c r="K253" s="1935"/>
      <c r="L253" s="1932"/>
      <c r="M253" s="1932"/>
      <c r="N253" s="1932"/>
      <c r="O253" s="1932"/>
      <c r="P253" s="1932"/>
      <c r="Q253" s="1932"/>
      <c r="AA253" s="2492">
        <v>252</v>
      </c>
    </row>
    <row r="254" spans="1:27" ht="20.25" customHeight="1">
      <c r="A254" s="3582"/>
      <c r="B254" s="3583"/>
      <c r="C254" s="3583"/>
      <c r="D254" s="3583"/>
      <c r="E254" s="3583"/>
      <c r="F254" s="3583"/>
      <c r="G254" s="3583"/>
      <c r="H254" s="3583"/>
      <c r="I254" s="3583"/>
      <c r="J254" s="3583"/>
      <c r="K254" s="3583"/>
      <c r="L254" s="3583"/>
      <c r="M254" s="3583"/>
      <c r="N254" s="3583"/>
      <c r="O254" s="3583"/>
      <c r="P254" s="3583"/>
      <c r="Q254" s="3584"/>
      <c r="AA254" s="2491">
        <v>253</v>
      </c>
    </row>
    <row r="255" spans="1:27" ht="17.149999999999999" customHeight="1">
      <c r="B255" s="1938" t="s">
        <v>1725</v>
      </c>
      <c r="C255" s="1939"/>
      <c r="D255" s="1940"/>
      <c r="E255" s="1940"/>
      <c r="F255" s="1940"/>
      <c r="G255" s="1940"/>
      <c r="H255" s="1940"/>
      <c r="I255" s="1940"/>
      <c r="J255" s="1940"/>
      <c r="K255" s="1940"/>
      <c r="L255" s="1940"/>
      <c r="M255" s="1940"/>
      <c r="N255" s="1940"/>
      <c r="O255" s="1940"/>
      <c r="P255" s="1940"/>
      <c r="Q255" s="1940"/>
      <c r="AA255" s="2491">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1">
        <v>255</v>
      </c>
    </row>
    <row r="257" spans="1:27" ht="11.15" customHeight="1">
      <c r="A257" s="1932"/>
      <c r="B257" s="1935"/>
      <c r="C257" s="1940"/>
      <c r="D257" s="1940"/>
      <c r="E257" s="1940"/>
      <c r="F257" s="1940"/>
      <c r="G257" s="1940"/>
      <c r="H257" s="1940"/>
      <c r="I257" s="1940"/>
      <c r="J257" s="1940"/>
      <c r="K257" s="1940"/>
      <c r="L257" s="1940"/>
      <c r="M257" s="1940"/>
      <c r="N257" s="1940"/>
      <c r="O257" s="1940"/>
      <c r="P257" s="1940"/>
      <c r="Q257" s="1932"/>
      <c r="AA257" s="2491">
        <v>256</v>
      </c>
    </row>
    <row r="258" spans="1:27" ht="11.15" customHeight="1">
      <c r="A258" s="1937"/>
      <c r="B258" s="1935"/>
      <c r="C258" s="1940"/>
      <c r="D258" s="1940"/>
      <c r="E258" s="1940"/>
      <c r="F258" s="1940"/>
      <c r="G258" s="1940"/>
      <c r="H258" s="1940"/>
      <c r="I258" s="1940"/>
      <c r="J258" s="1940"/>
      <c r="K258" s="1940"/>
      <c r="L258" s="1940"/>
      <c r="M258" s="1940"/>
      <c r="N258" s="1940"/>
      <c r="O258" s="1940"/>
      <c r="P258" s="1940"/>
      <c r="Q258" s="1932"/>
      <c r="AA258" s="2491">
        <v>257</v>
      </c>
    </row>
    <row r="259" spans="1:27" ht="20.25" customHeight="1">
      <c r="A259" s="1941" t="s">
        <v>3291</v>
      </c>
      <c r="B259" s="1933" t="s">
        <v>3818</v>
      </c>
      <c r="C259" s="1933"/>
      <c r="D259" s="1933"/>
      <c r="E259" s="1933"/>
      <c r="F259" s="1933"/>
      <c r="G259" s="1933"/>
      <c r="H259" s="1940"/>
      <c r="I259" s="1940"/>
      <c r="J259" s="1940"/>
      <c r="K259" s="1940"/>
      <c r="L259" s="1940"/>
      <c r="M259" s="1940"/>
      <c r="O259" s="1936" t="s">
        <v>1726</v>
      </c>
      <c r="P259" s="3588"/>
      <c r="Q259" s="3589"/>
      <c r="AA259" s="2491">
        <v>258</v>
      </c>
    </row>
    <row r="260" spans="1:27" ht="15.65" customHeight="1">
      <c r="B260" s="1934" t="s">
        <v>4152</v>
      </c>
      <c r="O260" s="1943"/>
      <c r="P260" s="3599"/>
      <c r="Q260" s="3600"/>
      <c r="AA260" s="2491">
        <v>259</v>
      </c>
    </row>
    <row r="261" spans="1:27" ht="15.65" customHeight="1">
      <c r="A261" s="1947"/>
      <c r="B261" s="3601" t="s">
        <v>700</v>
      </c>
      <c r="C261" s="3601"/>
      <c r="D261" s="3601"/>
      <c r="E261" s="3601"/>
      <c r="F261" s="3601"/>
      <c r="G261" s="3601"/>
      <c r="H261" s="3601"/>
      <c r="I261" s="3601"/>
      <c r="J261" s="3601"/>
      <c r="K261" s="3601"/>
      <c r="L261" s="3601"/>
      <c r="M261" s="3601"/>
      <c r="N261" s="3601"/>
      <c r="O261" s="3601"/>
      <c r="P261" s="3602"/>
      <c r="Q261" s="3603"/>
      <c r="AA261" s="2491">
        <v>260</v>
      </c>
    </row>
    <row r="262" spans="1:27" ht="15.65" customHeight="1">
      <c r="B262" s="3601" t="s">
        <v>4820</v>
      </c>
      <c r="C262" s="3601"/>
      <c r="D262" s="3601"/>
      <c r="E262" s="3601"/>
      <c r="F262" s="3601"/>
      <c r="G262" s="3601"/>
      <c r="H262" s="3601"/>
      <c r="I262" s="3601"/>
      <c r="J262" s="3601"/>
      <c r="K262" s="3601"/>
      <c r="L262" s="3601"/>
      <c r="M262" s="3601"/>
      <c r="N262" s="3601"/>
      <c r="O262" s="3601"/>
      <c r="P262" s="3604"/>
      <c r="Q262" s="3605"/>
      <c r="AA262" s="2492">
        <v>261</v>
      </c>
    </row>
    <row r="263" spans="1:27" ht="28" customHeight="1">
      <c r="A263" s="1947"/>
      <c r="B263" s="3606" t="s">
        <v>4819</v>
      </c>
      <c r="C263" s="3606"/>
      <c r="D263" s="3606"/>
      <c r="E263" s="3606"/>
      <c r="F263" s="3606"/>
      <c r="G263" s="3606"/>
      <c r="H263" s="3606"/>
      <c r="I263" s="3606"/>
      <c r="J263" s="3606"/>
      <c r="K263" s="3606"/>
      <c r="L263" s="3606"/>
      <c r="M263" s="3606"/>
      <c r="N263" s="3606"/>
      <c r="O263" s="3606"/>
      <c r="P263" s="3607"/>
      <c r="Q263" s="3608"/>
      <c r="AA263" s="2491">
        <v>262</v>
      </c>
    </row>
    <row r="264" spans="1:27" ht="17.149999999999999" customHeight="1">
      <c r="B264" s="1954" t="s">
        <v>3158</v>
      </c>
      <c r="D264" s="1954"/>
      <c r="E264" s="1954"/>
      <c r="F264" s="1954"/>
      <c r="G264" s="1954"/>
      <c r="H264" s="1942"/>
      <c r="I264" s="1935"/>
      <c r="J264" s="1935"/>
      <c r="K264" s="1935"/>
      <c r="AA264" s="2491">
        <v>263</v>
      </c>
    </row>
    <row r="265" spans="1:27" ht="20.25" customHeight="1">
      <c r="A265" s="3582"/>
      <c r="B265" s="3583"/>
      <c r="C265" s="3583"/>
      <c r="D265" s="3583"/>
      <c r="E265" s="3583"/>
      <c r="F265" s="3583"/>
      <c r="G265" s="3583"/>
      <c r="H265" s="3583"/>
      <c r="I265" s="3583"/>
      <c r="J265" s="3583"/>
      <c r="K265" s="3583"/>
      <c r="L265" s="3583"/>
      <c r="M265" s="3583"/>
      <c r="N265" s="3583"/>
      <c r="O265" s="3583"/>
      <c r="P265" s="3583"/>
      <c r="Q265" s="3584"/>
      <c r="AA265" s="2491">
        <v>264</v>
      </c>
    </row>
    <row r="266" spans="1:27" ht="17.149999999999999" customHeight="1">
      <c r="B266" s="1938" t="s">
        <v>1725</v>
      </c>
      <c r="C266" s="1939"/>
      <c r="D266" s="1940"/>
      <c r="E266" s="1940"/>
      <c r="F266" s="1940"/>
      <c r="G266" s="1940"/>
      <c r="H266" s="1940"/>
      <c r="I266" s="1940"/>
      <c r="J266" s="1940"/>
      <c r="K266" s="1940"/>
      <c r="L266" s="1940"/>
      <c r="M266" s="1940"/>
      <c r="N266" s="1940"/>
      <c r="O266" s="1940"/>
      <c r="P266" s="1940"/>
      <c r="Q266" s="1940"/>
      <c r="AA266" s="2491">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1">
        <v>266</v>
      </c>
    </row>
    <row r="268" spans="1:27" ht="11.15" customHeight="1">
      <c r="A268" s="1932"/>
      <c r="B268" s="1935"/>
      <c r="C268" s="1940"/>
      <c r="D268" s="1940"/>
      <c r="E268" s="1940"/>
      <c r="F268" s="1940"/>
      <c r="G268" s="1940"/>
      <c r="H268" s="1940"/>
      <c r="I268" s="1940"/>
      <c r="J268" s="1940"/>
      <c r="K268" s="1940"/>
      <c r="L268" s="1940"/>
      <c r="M268" s="1940"/>
      <c r="Q268" s="1932"/>
      <c r="AA268" s="2491">
        <v>267</v>
      </c>
    </row>
    <row r="269" spans="1:27" ht="11.15" customHeight="1">
      <c r="A269" s="1937"/>
      <c r="B269" s="1935"/>
      <c r="C269" s="1940"/>
      <c r="D269" s="1940"/>
      <c r="E269" s="1940"/>
      <c r="F269" s="1940"/>
      <c r="G269" s="1940"/>
      <c r="H269" s="1940"/>
      <c r="I269" s="1940"/>
      <c r="J269" s="1940"/>
      <c r="K269" s="1940"/>
      <c r="L269" s="1940"/>
      <c r="M269" s="1940"/>
      <c r="Q269" s="1932"/>
      <c r="AA269" s="2491">
        <v>268</v>
      </c>
    </row>
    <row r="270" spans="1:27" ht="20.25" customHeight="1">
      <c r="A270" s="1941" t="s">
        <v>3292</v>
      </c>
      <c r="B270" s="1933" t="s">
        <v>2502</v>
      </c>
      <c r="C270" s="1933"/>
      <c r="D270" s="1933"/>
      <c r="E270" s="1940"/>
      <c r="F270" s="1940"/>
      <c r="G270" s="1940"/>
      <c r="H270" s="1940"/>
      <c r="O270" s="1936" t="s">
        <v>1726</v>
      </c>
      <c r="P270" s="3596"/>
      <c r="Q270" s="3596"/>
      <c r="AA270" s="2491">
        <v>269</v>
      </c>
    </row>
    <row r="271" spans="1:27" ht="28.5" customHeight="1">
      <c r="A271" s="1937"/>
      <c r="B271" s="3590" t="s">
        <v>5022</v>
      </c>
      <c r="C271" s="3590"/>
      <c r="D271" s="3590"/>
      <c r="E271" s="3590"/>
      <c r="F271" s="3590"/>
      <c r="G271" s="3590"/>
      <c r="H271" s="3590"/>
      <c r="I271" s="3590"/>
      <c r="J271" s="3590"/>
      <c r="K271" s="3590"/>
      <c r="L271" s="3590"/>
      <c r="M271" s="3590"/>
      <c r="N271" s="3590"/>
      <c r="O271" s="1992"/>
      <c r="P271" s="3599"/>
      <c r="Q271" s="3600"/>
      <c r="AA271" s="2492">
        <v>270</v>
      </c>
    </row>
    <row r="272" spans="1:27" ht="44.5" customHeight="1">
      <c r="A272" s="1963"/>
      <c r="B272" s="3593" t="s">
        <v>4696</v>
      </c>
      <c r="C272" s="3593"/>
      <c r="D272" s="3593"/>
      <c r="E272" s="3593"/>
      <c r="F272" s="3593"/>
      <c r="G272" s="3593"/>
      <c r="H272" s="3593"/>
      <c r="I272" s="3593"/>
      <c r="J272" s="3593"/>
      <c r="K272" s="3593"/>
      <c r="L272" s="3593"/>
      <c r="M272" s="3593"/>
      <c r="N272" s="3593"/>
      <c r="O272" s="3594"/>
      <c r="P272" s="3592"/>
      <c r="Q272" s="3592"/>
      <c r="AA272" s="2491">
        <v>271</v>
      </c>
    </row>
    <row r="273" spans="1:27" ht="17.149999999999999" customHeight="1">
      <c r="B273" s="1954" t="s">
        <v>3158</v>
      </c>
      <c r="D273" s="1954"/>
      <c r="E273" s="1954"/>
      <c r="F273" s="1954"/>
      <c r="G273" s="1954"/>
      <c r="H273" s="1942"/>
      <c r="I273" s="1935"/>
      <c r="J273" s="1935"/>
      <c r="K273" s="1935"/>
      <c r="L273" s="1932"/>
      <c r="M273" s="1932"/>
      <c r="N273" s="1932"/>
      <c r="O273" s="1932"/>
      <c r="P273" s="1932"/>
      <c r="Q273" s="1932"/>
      <c r="AA273" s="2491">
        <v>272</v>
      </c>
    </row>
    <row r="274" spans="1:27" ht="20.25" customHeight="1">
      <c r="A274" s="3582"/>
      <c r="B274" s="3583"/>
      <c r="C274" s="3583"/>
      <c r="D274" s="3583"/>
      <c r="E274" s="3583"/>
      <c r="F274" s="3583"/>
      <c r="G274" s="3583"/>
      <c r="H274" s="3583"/>
      <c r="I274" s="3583"/>
      <c r="J274" s="3583"/>
      <c r="K274" s="3583"/>
      <c r="L274" s="3583"/>
      <c r="M274" s="3583"/>
      <c r="N274" s="3583"/>
      <c r="O274" s="3583"/>
      <c r="P274" s="3583"/>
      <c r="Q274" s="3584"/>
      <c r="AA274" s="2491">
        <v>273</v>
      </c>
    </row>
    <row r="275" spans="1:27" ht="17.149999999999999" customHeight="1">
      <c r="B275" s="1938" t="s">
        <v>1725</v>
      </c>
      <c r="C275" s="1939"/>
      <c r="D275" s="1940"/>
      <c r="E275" s="1940"/>
      <c r="F275" s="1940"/>
      <c r="G275" s="1940"/>
      <c r="H275" s="1940"/>
      <c r="I275" s="1940"/>
      <c r="J275" s="1940"/>
      <c r="K275" s="1940"/>
      <c r="L275" s="1940"/>
      <c r="M275" s="1940"/>
      <c r="N275" s="1940"/>
      <c r="O275" s="1940"/>
      <c r="P275" s="1940"/>
      <c r="Q275" s="1940"/>
      <c r="AA275" s="2491">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1">
        <v>275</v>
      </c>
    </row>
    <row r="277" spans="1:27" ht="11.5" customHeight="1">
      <c r="A277" s="1932"/>
      <c r="B277" s="1935"/>
      <c r="C277" s="1940"/>
      <c r="D277" s="1940"/>
      <c r="E277" s="1940"/>
      <c r="F277" s="1940"/>
      <c r="G277" s="1940"/>
      <c r="H277" s="1940"/>
      <c r="I277" s="1940"/>
      <c r="J277" s="1940"/>
      <c r="K277" s="1940"/>
      <c r="L277" s="1940"/>
      <c r="M277" s="1940"/>
      <c r="Q277" s="1932"/>
      <c r="AA277" s="2491">
        <v>276</v>
      </c>
    </row>
    <row r="278" spans="1:27" ht="11.5" customHeight="1">
      <c r="A278" s="1932"/>
      <c r="B278" s="1935"/>
      <c r="C278" s="1940"/>
      <c r="D278" s="1940"/>
      <c r="E278" s="1940"/>
      <c r="F278" s="1940"/>
      <c r="G278" s="1940"/>
      <c r="H278" s="1940"/>
      <c r="I278" s="1940"/>
      <c r="J278" s="1940"/>
      <c r="K278" s="1940"/>
      <c r="L278" s="1940"/>
      <c r="M278" s="1940"/>
      <c r="Q278" s="1932"/>
      <c r="AA278" s="2491">
        <v>277</v>
      </c>
    </row>
    <row r="279" spans="1:27" ht="14.25" customHeight="1">
      <c r="A279" s="1941" t="s">
        <v>3293</v>
      </c>
      <c r="B279" s="1941" t="s">
        <v>4821</v>
      </c>
      <c r="C279" s="1940"/>
      <c r="D279" s="1940"/>
      <c r="E279" s="1940"/>
      <c r="F279" s="1940"/>
      <c r="G279" s="1940"/>
      <c r="H279" s="1940"/>
      <c r="I279" s="1940"/>
      <c r="J279" s="1940"/>
      <c r="K279" s="1940"/>
      <c r="L279" s="1940"/>
      <c r="M279" s="1940"/>
      <c r="O279" s="1936" t="s">
        <v>1726</v>
      </c>
      <c r="P279" s="3596"/>
      <c r="Q279" s="3596"/>
      <c r="AA279" s="2491">
        <v>278</v>
      </c>
    </row>
    <row r="280" spans="1:27" ht="14.25" customHeight="1">
      <c r="A280" s="2090" t="s">
        <v>1836</v>
      </c>
      <c r="B280" s="1941" t="s">
        <v>4822</v>
      </c>
      <c r="C280" s="1941"/>
      <c r="D280" s="1942"/>
      <c r="E280" s="1940"/>
      <c r="F280" s="1940"/>
      <c r="G280" s="1940"/>
      <c r="H280" s="1940"/>
      <c r="I280" s="1940"/>
      <c r="J280" s="1940"/>
      <c r="K280" s="1940"/>
      <c r="L280" s="1940"/>
      <c r="M280" s="1940"/>
      <c r="Q280" s="1932"/>
      <c r="AA280" s="2492">
        <v>279</v>
      </c>
    </row>
    <row r="281" spans="1:27" ht="30" customHeight="1">
      <c r="A281" s="1942"/>
      <c r="B281" s="3593" t="s">
        <v>5012</v>
      </c>
      <c r="C281" s="3593"/>
      <c r="D281" s="3593"/>
      <c r="E281" s="3593"/>
      <c r="F281" s="3593"/>
      <c r="G281" s="3593"/>
      <c r="H281" s="3593"/>
      <c r="I281" s="3593"/>
      <c r="J281" s="3593"/>
      <c r="K281" s="3593"/>
      <c r="L281" s="3593"/>
      <c r="M281" s="3593"/>
      <c r="N281" s="3593"/>
      <c r="O281" s="3594"/>
      <c r="P281" s="3597"/>
      <c r="Q281" s="3598"/>
      <c r="AA281" s="2491">
        <v>280</v>
      </c>
    </row>
    <row r="282" spans="1:27" ht="14.25" customHeight="1">
      <c r="A282" s="2090" t="s">
        <v>1838</v>
      </c>
      <c r="B282" s="1941" t="s">
        <v>4823</v>
      </c>
      <c r="C282" s="1937"/>
      <c r="D282" s="1942"/>
      <c r="E282" s="1940"/>
      <c r="F282" s="1940"/>
      <c r="G282" s="1940"/>
      <c r="H282" s="1940"/>
      <c r="I282" s="1940"/>
      <c r="J282" s="1940"/>
      <c r="K282" s="1940"/>
      <c r="L282" s="1940"/>
      <c r="M282" s="1940"/>
      <c r="Q282" s="1932"/>
      <c r="AA282" s="2491">
        <v>281</v>
      </c>
    </row>
    <row r="283" spans="1:27" ht="29.25" customHeight="1">
      <c r="A283" s="1942"/>
      <c r="B283" s="3593" t="s">
        <v>5019</v>
      </c>
      <c r="C283" s="3593"/>
      <c r="D283" s="3593"/>
      <c r="E283" s="3593"/>
      <c r="F283" s="3593"/>
      <c r="G283" s="3593"/>
      <c r="H283" s="3593"/>
      <c r="I283" s="3593"/>
      <c r="J283" s="3593"/>
      <c r="K283" s="3593"/>
      <c r="L283" s="3593"/>
      <c r="M283" s="3593"/>
      <c r="N283" s="3593"/>
      <c r="O283" s="3594"/>
      <c r="P283" s="3597"/>
      <c r="Q283" s="3598"/>
      <c r="AA283" s="2491">
        <v>282</v>
      </c>
    </row>
    <row r="284" spans="1:27" ht="20.25" customHeight="1">
      <c r="A284" s="1941"/>
      <c r="B284" s="1954" t="s">
        <v>3158</v>
      </c>
      <c r="D284" s="1954"/>
      <c r="E284" s="1954"/>
      <c r="F284" s="1954"/>
      <c r="G284" s="1954"/>
      <c r="H284" s="1942"/>
      <c r="I284" s="1935"/>
      <c r="J284" s="1935"/>
      <c r="K284" s="1935"/>
      <c r="L284" s="1932"/>
      <c r="M284" s="1932"/>
      <c r="N284" s="1932"/>
      <c r="O284" s="1932"/>
      <c r="P284" s="1932"/>
      <c r="Q284" s="1932"/>
      <c r="AA284" s="2491">
        <v>283</v>
      </c>
    </row>
    <row r="285" spans="1:27" ht="20.25" customHeight="1">
      <c r="A285" s="3582"/>
      <c r="B285" s="3583"/>
      <c r="C285" s="3583"/>
      <c r="D285" s="3583"/>
      <c r="E285" s="3583"/>
      <c r="F285" s="3583"/>
      <c r="G285" s="3583"/>
      <c r="H285" s="3583"/>
      <c r="I285" s="3583"/>
      <c r="J285" s="3583"/>
      <c r="K285" s="3583"/>
      <c r="L285" s="3583"/>
      <c r="M285" s="3583"/>
      <c r="N285" s="3583"/>
      <c r="O285" s="3583"/>
      <c r="P285" s="3583"/>
      <c r="Q285" s="3584"/>
      <c r="AA285" s="2491">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1">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1">
        <v>286</v>
      </c>
    </row>
    <row r="288" spans="1:27" ht="14.25" customHeight="1">
      <c r="A288" s="1941"/>
      <c r="B288" s="1935"/>
      <c r="C288" s="1940"/>
      <c r="D288" s="1940"/>
      <c r="E288" s="1940"/>
      <c r="F288" s="1940"/>
      <c r="G288" s="1940"/>
      <c r="H288" s="1940"/>
      <c r="I288" s="1940"/>
      <c r="J288" s="1940"/>
      <c r="K288" s="1940"/>
      <c r="L288" s="1940"/>
      <c r="M288" s="1940"/>
      <c r="Q288" s="1932"/>
      <c r="AA288" s="2491">
        <v>287</v>
      </c>
    </row>
    <row r="289" spans="1:27" ht="14.25" customHeight="1">
      <c r="A289" s="1941"/>
      <c r="B289" s="1935"/>
      <c r="C289" s="1940"/>
      <c r="D289" s="1940"/>
      <c r="E289" s="1940"/>
      <c r="F289" s="1940"/>
      <c r="G289" s="1940"/>
      <c r="H289" s="1940"/>
      <c r="I289" s="1940"/>
      <c r="J289" s="1940"/>
      <c r="K289" s="1940"/>
      <c r="L289" s="1940"/>
      <c r="M289" s="1940"/>
      <c r="Q289" s="1932"/>
      <c r="AA289" s="2492">
        <v>288</v>
      </c>
    </row>
    <row r="290" spans="1:27" ht="14.25" customHeight="1">
      <c r="A290" s="1941" t="s">
        <v>3294</v>
      </c>
      <c r="B290" s="1941" t="s">
        <v>4824</v>
      </c>
      <c r="C290" s="1940"/>
      <c r="D290" s="1940"/>
      <c r="E290" s="1940"/>
      <c r="F290" s="1940"/>
      <c r="G290" s="1940"/>
      <c r="H290" s="1940"/>
      <c r="I290" s="1940"/>
      <c r="J290" s="1940"/>
      <c r="K290" s="1940"/>
      <c r="L290" s="1940"/>
      <c r="M290" s="1940"/>
      <c r="O290" s="1936" t="s">
        <v>1726</v>
      </c>
      <c r="P290" s="3596"/>
      <c r="Q290" s="3596"/>
      <c r="AA290" s="2491">
        <v>289</v>
      </c>
    </row>
    <row r="291" spans="1:27" ht="30.75" customHeight="1">
      <c r="A291" s="1941"/>
      <c r="B291" s="3590" t="s">
        <v>5013</v>
      </c>
      <c r="C291" s="3590"/>
      <c r="D291" s="3590"/>
      <c r="E291" s="3590"/>
      <c r="F291" s="3590"/>
      <c r="G291" s="3590"/>
      <c r="H291" s="3590"/>
      <c r="I291" s="3590"/>
      <c r="J291" s="3590"/>
      <c r="K291" s="3590"/>
      <c r="L291" s="3590"/>
      <c r="M291" s="3590"/>
      <c r="N291" s="3590"/>
      <c r="O291" s="3591"/>
      <c r="P291" s="3592"/>
      <c r="Q291" s="3592"/>
      <c r="AA291" s="2491">
        <v>290</v>
      </c>
    </row>
    <row r="292" spans="1:27" ht="20.25" customHeight="1">
      <c r="A292" s="1941"/>
      <c r="B292" s="1954" t="s">
        <v>3158</v>
      </c>
      <c r="D292" s="1954"/>
      <c r="E292" s="1954"/>
      <c r="F292" s="1954"/>
      <c r="G292" s="1954"/>
      <c r="H292" s="1942"/>
      <c r="I292" s="1935"/>
      <c r="J292" s="1935"/>
      <c r="K292" s="1935"/>
      <c r="L292" s="1932"/>
      <c r="M292" s="1932"/>
      <c r="N292" s="1932"/>
      <c r="O292" s="1932"/>
      <c r="P292" s="1932"/>
      <c r="Q292" s="1932"/>
      <c r="AA292" s="2491">
        <v>291</v>
      </c>
    </row>
    <row r="293" spans="1:27" ht="20.25" customHeight="1">
      <c r="A293" s="3582"/>
      <c r="B293" s="3583"/>
      <c r="C293" s="3583"/>
      <c r="D293" s="3583"/>
      <c r="E293" s="3583"/>
      <c r="F293" s="3583"/>
      <c r="G293" s="3583"/>
      <c r="H293" s="3583"/>
      <c r="I293" s="3583"/>
      <c r="J293" s="3583"/>
      <c r="K293" s="3583"/>
      <c r="L293" s="3583"/>
      <c r="M293" s="3583"/>
      <c r="N293" s="3583"/>
      <c r="O293" s="3583"/>
      <c r="P293" s="3583"/>
      <c r="Q293" s="3584"/>
      <c r="AA293" s="2491">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1">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1">
        <v>294</v>
      </c>
    </row>
    <row r="296" spans="1:27" ht="14.25" customHeight="1">
      <c r="A296" s="1941"/>
      <c r="B296" s="1935"/>
      <c r="C296" s="1940"/>
      <c r="D296" s="1940"/>
      <c r="E296" s="1940"/>
      <c r="F296" s="1940"/>
      <c r="G296" s="1940"/>
      <c r="H296" s="1940"/>
      <c r="I296" s="1940"/>
      <c r="J296" s="1940"/>
      <c r="K296" s="1940"/>
      <c r="L296" s="1940"/>
      <c r="M296" s="1940"/>
      <c r="Q296" s="1932"/>
      <c r="AA296" s="2491">
        <v>295</v>
      </c>
    </row>
    <row r="297" spans="1:27" ht="14.25" customHeight="1">
      <c r="A297" s="1941"/>
      <c r="B297" s="1935"/>
      <c r="C297" s="1940"/>
      <c r="D297" s="1940"/>
      <c r="E297" s="1940"/>
      <c r="F297" s="1940"/>
      <c r="G297" s="1940"/>
      <c r="H297" s="1940"/>
      <c r="I297" s="1940"/>
      <c r="J297" s="1940"/>
      <c r="K297" s="1940"/>
      <c r="L297" s="1940"/>
      <c r="M297" s="1940"/>
      <c r="Q297" s="1932"/>
      <c r="AA297" s="2491">
        <v>296</v>
      </c>
    </row>
    <row r="298" spans="1:27" ht="20.25" customHeight="1">
      <c r="A298" s="1941" t="s">
        <v>3295</v>
      </c>
      <c r="B298" s="1933" t="s">
        <v>4826</v>
      </c>
      <c r="C298" s="1937"/>
      <c r="D298" s="1933"/>
      <c r="E298" s="1940"/>
      <c r="F298" s="1940"/>
      <c r="G298" s="1940"/>
      <c r="H298" s="1940"/>
      <c r="J298" s="1940"/>
      <c r="K298" s="1940"/>
      <c r="L298" s="1940"/>
      <c r="M298" s="1940"/>
      <c r="O298" s="1936" t="s">
        <v>1726</v>
      </c>
      <c r="P298" s="3588"/>
      <c r="Q298" s="3589"/>
      <c r="S298" s="1937"/>
      <c r="T298" s="1937"/>
      <c r="AA298" s="2492">
        <v>297</v>
      </c>
    </row>
    <row r="299" spans="1:27">
      <c r="A299" s="1941"/>
      <c r="B299" s="3590" t="s">
        <v>5023</v>
      </c>
      <c r="C299" s="3590"/>
      <c r="D299" s="3590"/>
      <c r="E299" s="3590"/>
      <c r="F299" s="3590"/>
      <c r="G299" s="3590"/>
      <c r="H299" s="3590"/>
      <c r="I299" s="3590"/>
      <c r="J299" s="3590"/>
      <c r="K299" s="3590"/>
      <c r="L299" s="3590"/>
      <c r="M299" s="3590"/>
      <c r="N299" s="3590"/>
      <c r="O299" s="3591"/>
      <c r="P299" s="3592"/>
      <c r="Q299" s="3592"/>
      <c r="AA299" s="2491">
        <v>298</v>
      </c>
    </row>
    <row r="300" spans="1:27" ht="30" customHeight="1">
      <c r="A300" s="1941"/>
      <c r="B300" s="3593" t="s">
        <v>4827</v>
      </c>
      <c r="C300" s="3593"/>
      <c r="D300" s="3593"/>
      <c r="E300" s="3593"/>
      <c r="F300" s="3593"/>
      <c r="G300" s="3593"/>
      <c r="H300" s="3593"/>
      <c r="I300" s="3593"/>
      <c r="J300" s="3593"/>
      <c r="K300" s="3593"/>
      <c r="L300" s="3593"/>
      <c r="M300" s="3593"/>
      <c r="N300" s="3593"/>
      <c r="O300" s="3594"/>
      <c r="P300" s="3595"/>
      <c r="Q300" s="3595"/>
      <c r="AA300" s="2491">
        <v>299</v>
      </c>
    </row>
    <row r="301" spans="1:27" ht="20.25" customHeight="1">
      <c r="A301" s="1941"/>
      <c r="B301" s="1954" t="s">
        <v>3158</v>
      </c>
      <c r="D301" s="1954"/>
      <c r="E301" s="1954"/>
      <c r="F301" s="1954"/>
      <c r="G301" s="1954"/>
      <c r="H301" s="1942"/>
      <c r="I301" s="1935"/>
      <c r="J301" s="1935"/>
      <c r="K301" s="1935"/>
      <c r="L301" s="1932"/>
      <c r="M301" s="1932"/>
      <c r="N301" s="1932"/>
      <c r="O301" s="1932"/>
      <c r="P301" s="1932"/>
      <c r="Q301" s="1932"/>
      <c r="AA301" s="2491">
        <v>300</v>
      </c>
    </row>
    <row r="302" spans="1:27" ht="20.25" customHeight="1">
      <c r="A302" s="3582"/>
      <c r="B302" s="3583"/>
      <c r="C302" s="3583"/>
      <c r="D302" s="3583"/>
      <c r="E302" s="3583"/>
      <c r="F302" s="3583"/>
      <c r="G302" s="3583"/>
      <c r="H302" s="3583"/>
      <c r="I302" s="3583"/>
      <c r="J302" s="3583"/>
      <c r="K302" s="3583"/>
      <c r="L302" s="3583"/>
      <c r="M302" s="3583"/>
      <c r="N302" s="3583"/>
      <c r="O302" s="3583"/>
      <c r="P302" s="3583"/>
      <c r="Q302" s="3584"/>
      <c r="AA302" s="2491">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1">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1">
        <v>303</v>
      </c>
    </row>
    <row r="305" spans="1:27" ht="15.65" customHeight="1">
      <c r="A305" s="1932"/>
      <c r="B305" s="1935"/>
      <c r="C305" s="1940"/>
      <c r="D305" s="1940"/>
      <c r="E305" s="1940"/>
      <c r="F305" s="1940"/>
      <c r="G305" s="1940"/>
      <c r="H305" s="1940"/>
      <c r="I305" s="1940"/>
      <c r="J305" s="1940"/>
      <c r="K305" s="1940"/>
      <c r="L305" s="1940"/>
      <c r="M305" s="1940"/>
      <c r="N305" s="1940"/>
      <c r="O305" s="1940"/>
      <c r="P305" s="1940"/>
      <c r="Q305" s="1932"/>
      <c r="AA305" s="2491">
        <v>304</v>
      </c>
    </row>
    <row r="306" spans="1:27" ht="14.25" customHeight="1">
      <c r="A306" s="1941"/>
      <c r="B306" s="1935"/>
      <c r="C306" s="1940"/>
      <c r="D306" s="1940"/>
      <c r="E306" s="1940"/>
      <c r="F306" s="1940"/>
      <c r="G306" s="1940"/>
      <c r="H306" s="1940"/>
      <c r="I306" s="1940"/>
      <c r="J306" s="1940"/>
      <c r="K306" s="1940"/>
      <c r="L306" s="1940"/>
      <c r="M306" s="1940"/>
      <c r="Q306" s="1932"/>
      <c r="AA306" s="2491">
        <v>305</v>
      </c>
    </row>
    <row r="307" spans="1:27" ht="20.25" customHeight="1">
      <c r="A307" s="1941" t="s">
        <v>3682</v>
      </c>
      <c r="B307" s="1933" t="s">
        <v>2429</v>
      </c>
      <c r="C307" s="1937"/>
      <c r="D307" s="1933"/>
      <c r="E307" s="1940"/>
      <c r="F307" s="1940"/>
      <c r="G307" s="1940"/>
      <c r="H307" s="1940"/>
      <c r="J307" s="1940"/>
      <c r="K307" s="1940"/>
      <c r="L307" s="1940"/>
      <c r="M307" s="1940"/>
      <c r="O307" s="1936" t="s">
        <v>1726</v>
      </c>
      <c r="P307" s="3588"/>
      <c r="Q307" s="3589"/>
      <c r="AA307" s="2492">
        <v>306</v>
      </c>
    </row>
    <row r="308" spans="1:27" ht="20.25" customHeight="1">
      <c r="A308" s="1941"/>
      <c r="B308" s="1954" t="s">
        <v>3158</v>
      </c>
      <c r="D308" s="1954"/>
      <c r="E308" s="1954"/>
      <c r="F308" s="1954"/>
      <c r="G308" s="1954"/>
      <c r="H308" s="1942"/>
      <c r="I308" s="1935"/>
      <c r="J308" s="1935"/>
      <c r="K308" s="1935"/>
      <c r="L308" s="1932"/>
      <c r="M308" s="1932"/>
      <c r="N308" s="1932"/>
      <c r="O308" s="1932"/>
      <c r="P308" s="1932"/>
      <c r="Q308" s="1932"/>
      <c r="AA308" s="2491">
        <v>307</v>
      </c>
    </row>
    <row r="309" spans="1:27" ht="20.25" customHeight="1">
      <c r="A309" s="3582"/>
      <c r="B309" s="3583"/>
      <c r="C309" s="3583"/>
      <c r="D309" s="3583"/>
      <c r="E309" s="3583"/>
      <c r="F309" s="3583"/>
      <c r="G309" s="3583"/>
      <c r="H309" s="3583"/>
      <c r="I309" s="3583"/>
      <c r="J309" s="3583"/>
      <c r="K309" s="3583"/>
      <c r="L309" s="3583"/>
      <c r="M309" s="3583"/>
      <c r="N309" s="3583"/>
      <c r="O309" s="3583"/>
      <c r="P309" s="3583"/>
      <c r="Q309" s="3584"/>
      <c r="AA309" s="2491">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1">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1">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1">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1">
        <v>312</v>
      </c>
    </row>
    <row r="314" spans="1:27">
      <c r="R314" s="1988"/>
      <c r="S314" s="1988"/>
      <c r="AA314" s="2491">
        <v>313</v>
      </c>
    </row>
    <row r="315" spans="1:27">
      <c r="R315" s="1988"/>
      <c r="S315" s="1988"/>
      <c r="AA315" s="2491">
        <v>314</v>
      </c>
    </row>
    <row r="316" spans="1:27">
      <c r="R316" s="1988"/>
      <c r="S316" s="1988"/>
      <c r="AA316" s="2492">
        <v>315</v>
      </c>
    </row>
    <row r="317" spans="1:27">
      <c r="R317" s="1988"/>
      <c r="S317" s="1988"/>
      <c r="AA317" s="2491">
        <v>316</v>
      </c>
    </row>
    <row r="318" spans="1:27">
      <c r="R318" s="1988"/>
      <c r="S318" s="1988"/>
      <c r="AA318" s="2491">
        <v>317</v>
      </c>
    </row>
    <row r="319" spans="1:27">
      <c r="R319" s="1988"/>
      <c r="S319" s="1988"/>
      <c r="AA319" s="2491">
        <v>318</v>
      </c>
    </row>
    <row r="320" spans="1:27">
      <c r="R320" s="1988"/>
      <c r="S320" s="1988"/>
      <c r="AA320" s="2491">
        <v>319</v>
      </c>
    </row>
    <row r="321" spans="18:27">
      <c r="R321" s="1988"/>
      <c r="S321" s="1988"/>
      <c r="AA321" s="2491">
        <v>320</v>
      </c>
    </row>
    <row r="322" spans="18:27">
      <c r="R322" s="1988"/>
      <c r="S322" s="1988"/>
      <c r="AA322" s="2491">
        <v>321</v>
      </c>
    </row>
    <row r="323" spans="18:27">
      <c r="R323" s="1988"/>
      <c r="S323" s="1988"/>
      <c r="AA323" s="2491">
        <v>322</v>
      </c>
    </row>
    <row r="324" spans="18:27">
      <c r="R324" s="1988"/>
      <c r="S324" s="1988"/>
      <c r="AA324" s="2491">
        <v>323</v>
      </c>
    </row>
    <row r="325" spans="18:27">
      <c r="R325" s="1988"/>
      <c r="S325" s="1988"/>
      <c r="AA325" s="2492">
        <v>324</v>
      </c>
    </row>
    <row r="326" spans="18:27">
      <c r="R326" s="1988"/>
      <c r="S326" s="1988"/>
      <c r="AA326" s="2491">
        <v>325</v>
      </c>
    </row>
    <row r="327" spans="18:27">
      <c r="R327" s="1988"/>
      <c r="S327" s="1988"/>
      <c r="AA327" s="2491">
        <v>326</v>
      </c>
    </row>
    <row r="328" spans="18:27">
      <c r="R328" s="1988"/>
      <c r="S328" s="1988"/>
      <c r="AA328" s="2491">
        <v>327</v>
      </c>
    </row>
    <row r="329" spans="18:27">
      <c r="R329" s="1988"/>
      <c r="S329" s="1988"/>
      <c r="AA329" s="2491">
        <v>328</v>
      </c>
    </row>
    <row r="330" spans="18:27">
      <c r="R330" s="1988"/>
      <c r="S330" s="1988"/>
      <c r="AA330" s="2491">
        <v>329</v>
      </c>
    </row>
    <row r="331" spans="18:27">
      <c r="R331" s="1988"/>
      <c r="S331" s="1988"/>
      <c r="AA331" s="2491">
        <v>330</v>
      </c>
    </row>
    <row r="332" spans="18:27">
      <c r="R332" s="1988"/>
      <c r="S332" s="1988"/>
      <c r="AA332" s="2491">
        <v>331</v>
      </c>
    </row>
    <row r="333" spans="18:27">
      <c r="R333" s="1988"/>
      <c r="S333" s="1988"/>
      <c r="AA333" s="2491">
        <v>332</v>
      </c>
    </row>
    <row r="334" spans="18:27">
      <c r="R334" s="1988"/>
      <c r="S334" s="1988"/>
      <c r="AA334" s="2492">
        <v>333</v>
      </c>
    </row>
    <row r="335" spans="18:27">
      <c r="R335" s="1988"/>
      <c r="S335" s="1988"/>
      <c r="AA335" s="2491">
        <v>334</v>
      </c>
    </row>
    <row r="336" spans="18:27">
      <c r="R336" s="1988"/>
      <c r="S336" s="1988"/>
      <c r="AA336" s="2491">
        <v>335</v>
      </c>
    </row>
    <row r="337" spans="18:27">
      <c r="R337" s="1988"/>
      <c r="S337" s="1988"/>
      <c r="AA337" s="2491">
        <v>336</v>
      </c>
    </row>
    <row r="338" spans="18:27">
      <c r="R338" s="1988"/>
      <c r="S338" s="1988"/>
      <c r="AA338" s="2491">
        <v>337</v>
      </c>
    </row>
    <row r="339" spans="18:27">
      <c r="R339" s="1988"/>
      <c r="S339" s="1988"/>
      <c r="AA339" s="2491">
        <v>338</v>
      </c>
    </row>
    <row r="340" spans="18:27">
      <c r="R340" s="1988"/>
      <c r="S340" s="1988"/>
      <c r="AA340" s="2491">
        <v>339</v>
      </c>
    </row>
    <row r="341" spans="18:27">
      <c r="R341" s="1988"/>
      <c r="S341" s="1988"/>
      <c r="AA341" s="2491">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3"/>
      <c r="B383" s="2483"/>
      <c r="C383" s="2483"/>
      <c r="D383" s="2483"/>
      <c r="E383" s="2483"/>
      <c r="F383" s="2483"/>
      <c r="G383" s="2483"/>
      <c r="H383" s="2483"/>
      <c r="I383" s="2483"/>
      <c r="J383" s="2483"/>
      <c r="K383" s="2483"/>
      <c r="L383" s="2483"/>
      <c r="M383" s="2483"/>
      <c r="N383" s="2483"/>
      <c r="O383" s="2483"/>
      <c r="P383" s="2483"/>
      <c r="Q383" s="2483"/>
      <c r="R383" s="1988"/>
      <c r="S383" s="1988"/>
    </row>
    <row r="384" spans="1:19">
      <c r="A384" s="2483"/>
      <c r="B384" s="2483"/>
      <c r="C384" s="2483"/>
      <c r="D384" s="2483"/>
      <c r="E384" s="2483"/>
      <c r="F384" s="2483"/>
      <c r="G384" s="2483"/>
      <c r="H384" s="2483"/>
      <c r="I384" s="2483"/>
      <c r="J384" s="2483"/>
      <c r="K384" s="2483"/>
      <c r="L384" s="2483"/>
      <c r="M384" s="2483"/>
      <c r="N384" s="2483"/>
      <c r="O384" s="2483"/>
      <c r="P384" s="2483"/>
      <c r="Q384" s="2483"/>
      <c r="R384" s="1988"/>
      <c r="S384" s="1988"/>
    </row>
    <row r="385" spans="1:20">
      <c r="A385" s="2483"/>
      <c r="B385" s="2483"/>
      <c r="C385" s="2483"/>
      <c r="D385" s="2483"/>
      <c r="E385" s="2483"/>
      <c r="F385" s="2483"/>
      <c r="G385" s="2483"/>
      <c r="H385" s="2483"/>
      <c r="I385" s="2483"/>
      <c r="J385" s="2483" t="s">
        <v>949</v>
      </c>
      <c r="K385" s="2483"/>
      <c r="L385" s="2483"/>
      <c r="M385" s="2483"/>
      <c r="N385" s="2483"/>
      <c r="O385" s="2483" t="s">
        <v>1641</v>
      </c>
      <c r="P385" s="2483"/>
      <c r="Q385" s="2483"/>
      <c r="R385" s="1988"/>
      <c r="S385" s="1988"/>
    </row>
    <row r="386" spans="1:20" ht="20.25" customHeight="1">
      <c r="A386" s="2483"/>
      <c r="B386" s="2483"/>
      <c r="C386" s="2483" t="s">
        <v>1641</v>
      </c>
      <c r="D386" s="2483"/>
      <c r="E386" s="2483"/>
      <c r="F386" s="2483"/>
      <c r="G386" s="2483"/>
      <c r="H386" s="2483"/>
      <c r="I386" s="2483"/>
      <c r="J386" s="2484" t="s">
        <v>1542</v>
      </c>
      <c r="K386" s="2483"/>
      <c r="L386" s="2483"/>
      <c r="M386" s="2483"/>
      <c r="N386" s="2485"/>
      <c r="O386" s="2484" t="s">
        <v>3920</v>
      </c>
      <c r="P386" s="2486"/>
      <c r="Q386" s="2483"/>
      <c r="R386" s="1988"/>
      <c r="S386" s="1988"/>
      <c r="T386" s="1988"/>
    </row>
    <row r="387" spans="1:20" ht="20.25" customHeight="1">
      <c r="A387" s="2483"/>
      <c r="B387" s="2483"/>
      <c r="C387" s="2484" t="s">
        <v>1310</v>
      </c>
      <c r="D387" s="2483"/>
      <c r="E387" s="2483"/>
      <c r="F387" s="2483"/>
      <c r="G387" s="2483"/>
      <c r="H387" s="2483"/>
      <c r="I387" s="2483"/>
      <c r="J387" s="2484" t="s">
        <v>1948</v>
      </c>
      <c r="K387" s="2483"/>
      <c r="L387" s="2483"/>
      <c r="M387" s="2483"/>
      <c r="N387" s="2485"/>
      <c r="O387" s="2484" t="s">
        <v>3921</v>
      </c>
      <c r="P387" s="2486"/>
      <c r="Q387" s="2483"/>
      <c r="R387" s="1988"/>
      <c r="S387" s="1988"/>
      <c r="T387" s="1988"/>
    </row>
    <row r="388" spans="1:20" ht="20.25" customHeight="1">
      <c r="A388" s="2483"/>
      <c r="B388" s="2483"/>
      <c r="C388" s="2484" t="s">
        <v>1311</v>
      </c>
      <c r="D388" s="2483"/>
      <c r="E388" s="2483"/>
      <c r="F388" s="2483"/>
      <c r="G388" s="2483"/>
      <c r="H388" s="2483"/>
      <c r="I388" s="2483"/>
      <c r="J388" s="2484" t="s">
        <v>1535</v>
      </c>
      <c r="K388" s="2483"/>
      <c r="L388" s="2483"/>
      <c r="M388" s="2483"/>
      <c r="N388" s="2485"/>
      <c r="O388" s="2484" t="s">
        <v>3922</v>
      </c>
      <c r="P388" s="2486"/>
      <c r="Q388" s="2483"/>
      <c r="R388" s="1988"/>
      <c r="S388" s="1988"/>
      <c r="T388" s="1988"/>
    </row>
    <row r="389" spans="1:20" ht="20.25" customHeight="1">
      <c r="A389" s="2483"/>
      <c r="B389" s="2483"/>
      <c r="C389" s="2484" t="s">
        <v>1975</v>
      </c>
      <c r="D389" s="2483"/>
      <c r="E389" s="2483"/>
      <c r="F389" s="2483"/>
      <c r="G389" s="2483"/>
      <c r="H389" s="2483"/>
      <c r="I389" s="2483"/>
      <c r="J389" s="2484" t="s">
        <v>1119</v>
      </c>
      <c r="K389" s="2483"/>
      <c r="L389" s="2483"/>
      <c r="M389" s="2483"/>
      <c r="N389" s="2485"/>
      <c r="O389" s="2484" t="s">
        <v>3926</v>
      </c>
      <c r="P389" s="2486"/>
      <c r="Q389" s="2483"/>
      <c r="R389" s="1988"/>
      <c r="S389" s="1988"/>
      <c r="T389" s="1988"/>
    </row>
    <row r="390" spans="1:20" ht="20.25" customHeight="1">
      <c r="A390" s="2483"/>
      <c r="B390" s="2483"/>
      <c r="C390" s="2484" t="s">
        <v>1307</v>
      </c>
      <c r="D390" s="2483"/>
      <c r="E390" s="2483"/>
      <c r="F390" s="2483"/>
      <c r="G390" s="2483"/>
      <c r="H390" s="2483"/>
      <c r="I390" s="2483"/>
      <c r="J390" s="2484" t="s">
        <v>548</v>
      </c>
      <c r="K390" s="2483"/>
      <c r="L390" s="2483"/>
      <c r="M390" s="2483"/>
      <c r="N390" s="2485"/>
      <c r="O390" s="2484" t="s">
        <v>3923</v>
      </c>
      <c r="P390" s="2486"/>
      <c r="Q390" s="2483"/>
      <c r="R390" s="1988"/>
      <c r="S390" s="1988"/>
      <c r="T390" s="1988"/>
    </row>
    <row r="391" spans="1:20" ht="20.25" customHeight="1">
      <c r="A391" s="2483"/>
      <c r="B391" s="2483"/>
      <c r="C391" s="2484" t="s">
        <v>1308</v>
      </c>
      <c r="D391" s="2483"/>
      <c r="E391" s="2483"/>
      <c r="F391" s="2483"/>
      <c r="G391" s="2483"/>
      <c r="H391" s="2483"/>
      <c r="I391" s="2483"/>
      <c r="J391" s="2484" t="s">
        <v>1541</v>
      </c>
      <c r="K391" s="2483"/>
      <c r="L391" s="2483"/>
      <c r="M391" s="2483"/>
      <c r="N391" s="2485"/>
      <c r="O391" s="2484" t="s">
        <v>3924</v>
      </c>
      <c r="P391" s="2486"/>
      <c r="Q391" s="2483"/>
      <c r="R391" s="1988"/>
      <c r="S391" s="1988"/>
      <c r="T391" s="1988"/>
    </row>
    <row r="392" spans="1:20" ht="20.25" customHeight="1">
      <c r="A392" s="2483"/>
      <c r="B392" s="2483"/>
      <c r="C392" s="2484" t="s">
        <v>1970</v>
      </c>
      <c r="D392" s="2483"/>
      <c r="E392" s="2483"/>
      <c r="F392" s="2483"/>
      <c r="G392" s="2483"/>
      <c r="H392" s="2483"/>
      <c r="I392" s="2483"/>
      <c r="J392" s="2484" t="s">
        <v>1116</v>
      </c>
      <c r="K392" s="2483"/>
      <c r="L392" s="2483"/>
      <c r="M392" s="2483"/>
      <c r="N392" s="2485"/>
      <c r="O392" s="2484" t="s">
        <v>3925</v>
      </c>
      <c r="P392" s="2486"/>
      <c r="Q392" s="2483"/>
      <c r="R392" s="1988"/>
      <c r="S392" s="1988"/>
      <c r="T392" s="1988"/>
    </row>
    <row r="393" spans="1:20" ht="20.25" customHeight="1">
      <c r="A393" s="2483"/>
      <c r="B393" s="2483"/>
      <c r="C393" s="2484" t="s">
        <v>1971</v>
      </c>
      <c r="D393" s="2483"/>
      <c r="E393" s="2483"/>
      <c r="F393" s="2483"/>
      <c r="G393" s="2483"/>
      <c r="H393" s="2483"/>
      <c r="I393" s="2483"/>
      <c r="J393" s="2484" t="s">
        <v>1115</v>
      </c>
      <c r="K393" s="2483"/>
      <c r="L393" s="2483"/>
      <c r="M393" s="2483"/>
      <c r="N393" s="2485"/>
      <c r="O393" s="2483" t="s">
        <v>3196</v>
      </c>
      <c r="P393" s="2486"/>
      <c r="Q393" s="2483"/>
      <c r="R393" s="1988"/>
      <c r="S393" s="1988"/>
      <c r="T393" s="1988"/>
    </row>
    <row r="394" spans="1:20" ht="20.25" customHeight="1">
      <c r="A394" s="2483"/>
      <c r="B394" s="2483"/>
      <c r="C394" s="2484" t="s">
        <v>1972</v>
      </c>
      <c r="D394" s="2483"/>
      <c r="E394" s="2483"/>
      <c r="F394" s="2483"/>
      <c r="G394" s="2483"/>
      <c r="H394" s="2483"/>
      <c r="I394" s="2483"/>
      <c r="J394" s="2484" t="s">
        <v>1601</v>
      </c>
      <c r="K394" s="2483"/>
      <c r="L394" s="2483"/>
      <c r="M394" s="2483"/>
      <c r="N394" s="2485"/>
      <c r="O394" s="2483" t="s">
        <v>3197</v>
      </c>
      <c r="P394" s="2486"/>
      <c r="Q394" s="2483"/>
      <c r="R394" s="1988"/>
      <c r="S394" s="1988"/>
      <c r="T394" s="1988"/>
    </row>
    <row r="395" spans="1:20" ht="20.25" customHeight="1">
      <c r="A395" s="2483"/>
      <c r="B395" s="2483"/>
      <c r="C395" s="2484" t="s">
        <v>1973</v>
      </c>
      <c r="D395" s="2483"/>
      <c r="E395" s="2483"/>
      <c r="F395" s="2483"/>
      <c r="G395" s="2483"/>
      <c r="H395" s="2483"/>
      <c r="I395" s="2483"/>
      <c r="J395" s="2484" t="s">
        <v>1544</v>
      </c>
      <c r="K395" s="2483"/>
      <c r="L395" s="2483"/>
      <c r="M395" s="2483"/>
      <c r="N395" s="2485"/>
      <c r="O395" s="2484"/>
      <c r="P395" s="2486"/>
      <c r="Q395" s="2483"/>
      <c r="R395" s="1988"/>
      <c r="S395" s="1988"/>
      <c r="T395" s="1988"/>
    </row>
    <row r="396" spans="1:20" ht="20.25" customHeight="1">
      <c r="A396" s="2483"/>
      <c r="B396" s="2483"/>
      <c r="C396" s="2484" t="s">
        <v>1974</v>
      </c>
      <c r="D396" s="2483"/>
      <c r="E396" s="2483"/>
      <c r="F396" s="2483"/>
      <c r="G396" s="2483"/>
      <c r="H396" s="2483"/>
      <c r="I396" s="2483"/>
      <c r="J396" s="2484" t="s">
        <v>1536</v>
      </c>
      <c r="K396" s="2483"/>
      <c r="L396" s="2483"/>
      <c r="M396" s="2483"/>
      <c r="N396" s="2485"/>
      <c r="O396" s="2483" t="s">
        <v>1641</v>
      </c>
      <c r="P396" s="2486"/>
      <c r="Q396" s="2483"/>
      <c r="R396" s="1988"/>
      <c r="S396" s="1988"/>
      <c r="T396" s="1988"/>
    </row>
    <row r="397" spans="1:20" ht="20.25" customHeight="1">
      <c r="A397" s="2483"/>
      <c r="B397" s="2483"/>
      <c r="C397" s="2484" t="s">
        <v>1309</v>
      </c>
      <c r="D397" s="2483"/>
      <c r="E397" s="2483"/>
      <c r="F397" s="2483"/>
      <c r="G397" s="2483"/>
      <c r="H397" s="2483"/>
      <c r="I397" s="2483"/>
      <c r="J397" s="2484" t="s">
        <v>1947</v>
      </c>
      <c r="K397" s="2483"/>
      <c r="L397" s="2483"/>
      <c r="M397" s="2483"/>
      <c r="N397" s="2485"/>
      <c r="O397" s="2484" t="s">
        <v>5054</v>
      </c>
      <c r="P397" s="2486"/>
      <c r="Q397" s="2483"/>
      <c r="R397" s="1988"/>
      <c r="S397" s="1988"/>
      <c r="T397" s="1988"/>
    </row>
    <row r="398" spans="1:20" ht="20.25" customHeight="1">
      <c r="A398" s="2483"/>
      <c r="B398" s="2483"/>
      <c r="C398" s="2484" t="s">
        <v>2103</v>
      </c>
      <c r="D398" s="2483"/>
      <c r="E398" s="2483"/>
      <c r="F398" s="2483"/>
      <c r="G398" s="2483"/>
      <c r="H398" s="2483"/>
      <c r="I398" s="2483"/>
      <c r="J398" s="2483"/>
      <c r="K398" s="2483"/>
      <c r="L398" s="2483"/>
      <c r="M398" s="2483"/>
      <c r="N398" s="2485"/>
      <c r="O398" s="2484" t="s">
        <v>5055</v>
      </c>
      <c r="P398" s="2486"/>
      <c r="Q398" s="2483"/>
      <c r="R398" s="1988"/>
      <c r="S398" s="1988"/>
      <c r="T398" s="1988"/>
    </row>
    <row r="399" spans="1:20" ht="20.25" customHeight="1">
      <c r="A399" s="2483"/>
      <c r="B399" s="2483"/>
      <c r="C399" s="2483"/>
      <c r="D399" s="2483"/>
      <c r="E399" s="2483"/>
      <c r="F399" s="2483"/>
      <c r="G399" s="2483"/>
      <c r="H399" s="2483"/>
      <c r="I399" s="2483"/>
      <c r="J399" s="2483"/>
      <c r="K399" s="2483"/>
      <c r="L399" s="2483"/>
      <c r="M399" s="2483"/>
      <c r="N399" s="2485"/>
      <c r="O399" s="2484" t="s">
        <v>5056</v>
      </c>
      <c r="P399" s="2486"/>
      <c r="Q399" s="2483"/>
      <c r="R399" s="1988"/>
      <c r="S399" s="1988"/>
      <c r="T399" s="1988"/>
    </row>
    <row r="400" spans="1:20" ht="20.25" customHeight="1">
      <c r="A400" s="2483"/>
      <c r="B400" s="2483"/>
      <c r="C400" s="2483"/>
      <c r="D400" s="2483"/>
      <c r="E400" s="2483"/>
      <c r="F400" s="2483"/>
      <c r="G400" s="2483"/>
      <c r="H400" s="2483"/>
      <c r="I400" s="2483"/>
      <c r="J400" s="2483"/>
      <c r="K400" s="2483"/>
      <c r="L400" s="2483"/>
      <c r="M400" s="2483"/>
      <c r="N400" s="2483"/>
      <c r="O400" s="2484" t="s">
        <v>5057</v>
      </c>
      <c r="P400" s="2483"/>
      <c r="Q400" s="2483"/>
      <c r="R400" s="1988"/>
      <c r="S400" s="1988"/>
      <c r="T400" s="1988"/>
    </row>
    <row r="401" spans="1:20" ht="20.25" customHeight="1">
      <c r="A401" s="2483"/>
      <c r="B401" s="2483"/>
      <c r="C401" s="2487" t="s">
        <v>1659</v>
      </c>
      <c r="D401" s="2483"/>
      <c r="E401" s="2483"/>
      <c r="F401" s="2483"/>
      <c r="G401" s="2483"/>
      <c r="H401" s="2483"/>
      <c r="I401" s="2483"/>
      <c r="J401" s="2483"/>
      <c r="K401" s="2483"/>
      <c r="L401" s="2483"/>
      <c r="M401" s="2483"/>
      <c r="N401" s="2483"/>
      <c r="O401" s="2483"/>
      <c r="P401" s="2483"/>
      <c r="Q401" s="2483"/>
      <c r="R401" s="1988"/>
      <c r="S401" s="1988"/>
      <c r="T401" s="1988"/>
    </row>
    <row r="402" spans="1:20" ht="20.25" customHeight="1">
      <c r="A402" s="2483"/>
      <c r="B402" s="2483"/>
      <c r="C402" s="2483" t="s">
        <v>868</v>
      </c>
      <c r="D402" s="2483"/>
      <c r="E402" s="2483"/>
      <c r="F402" s="2483"/>
      <c r="G402" s="2483"/>
      <c r="H402" s="2483"/>
      <c r="I402" s="2483"/>
      <c r="J402" s="2483"/>
      <c r="K402" s="2483"/>
      <c r="L402" s="2483"/>
      <c r="M402" s="2483"/>
      <c r="N402" s="2483"/>
      <c r="O402" s="2483"/>
      <c r="P402" s="2483"/>
      <c r="Q402" s="2483"/>
      <c r="R402" s="1988"/>
      <c r="S402" s="1988"/>
      <c r="T402" s="1988"/>
    </row>
    <row r="403" spans="1:20" ht="20.25" customHeight="1">
      <c r="A403" s="2483"/>
      <c r="B403" s="2483"/>
      <c r="C403" s="2484" t="s">
        <v>1520</v>
      </c>
      <c r="D403" s="2483"/>
      <c r="E403" s="2483"/>
      <c r="F403" s="2483"/>
      <c r="G403" s="2483"/>
      <c r="H403" s="2483"/>
      <c r="I403" s="2483"/>
      <c r="J403" s="2483"/>
      <c r="K403" s="2483"/>
      <c r="L403" s="2483"/>
      <c r="M403" s="2483"/>
      <c r="N403" s="2483"/>
      <c r="O403" s="2483"/>
      <c r="P403" s="2483"/>
      <c r="Q403" s="2483"/>
      <c r="R403" s="1988"/>
      <c r="S403" s="1988"/>
      <c r="T403" s="1988"/>
    </row>
    <row r="404" spans="1:20" ht="20.25" customHeight="1">
      <c r="A404" s="2483"/>
      <c r="B404" s="2483"/>
      <c r="C404" s="2484" t="s">
        <v>671</v>
      </c>
      <c r="D404" s="2483"/>
      <c r="E404" s="2483"/>
      <c r="F404" s="2483"/>
      <c r="G404" s="2483"/>
      <c r="H404" s="2483"/>
      <c r="I404" s="2483"/>
      <c r="J404" s="2483"/>
      <c r="K404" s="2483"/>
      <c r="L404" s="2484"/>
      <c r="M404" s="2483"/>
      <c r="N404" s="2483"/>
      <c r="O404" s="2483"/>
      <c r="P404" s="2483"/>
      <c r="Q404" s="2483"/>
      <c r="R404" s="1988"/>
      <c r="S404" s="1988"/>
      <c r="T404" s="1988"/>
    </row>
    <row r="405" spans="1:20" ht="20.25" customHeight="1">
      <c r="A405" s="2483"/>
      <c r="B405" s="2483"/>
      <c r="C405" s="2484" t="s">
        <v>672</v>
      </c>
      <c r="D405" s="2483"/>
      <c r="E405" s="2483"/>
      <c r="F405" s="2483"/>
      <c r="G405" s="2483"/>
      <c r="H405" s="2483"/>
      <c r="I405" s="2483"/>
      <c r="J405" s="2483"/>
      <c r="K405" s="2483"/>
      <c r="L405" s="2484"/>
      <c r="M405" s="2483"/>
      <c r="N405" s="2483"/>
      <c r="O405" s="2483"/>
      <c r="P405" s="2483"/>
      <c r="Q405" s="2483"/>
      <c r="R405" s="1988"/>
      <c r="S405" s="1988"/>
      <c r="T405" s="1988"/>
    </row>
    <row r="406" spans="1:20" ht="20.25" customHeight="1">
      <c r="A406" s="2483"/>
      <c r="B406" s="2483"/>
      <c r="C406" s="2484" t="s">
        <v>1996</v>
      </c>
      <c r="D406" s="2483"/>
      <c r="E406" s="2483"/>
      <c r="F406" s="2483"/>
      <c r="G406" s="2483"/>
      <c r="H406" s="2483"/>
      <c r="I406" s="2483"/>
      <c r="J406" s="2483"/>
      <c r="K406" s="2483"/>
      <c r="L406" s="2484"/>
      <c r="M406" s="2483"/>
      <c r="N406" s="2483"/>
      <c r="O406" s="2483"/>
      <c r="P406" s="2483"/>
      <c r="Q406" s="2483"/>
      <c r="R406" s="1988"/>
      <c r="S406" s="1988"/>
      <c r="T406" s="1988"/>
    </row>
    <row r="407" spans="1:20" ht="20.25" customHeight="1">
      <c r="A407" s="2483"/>
      <c r="B407" s="2483"/>
      <c r="C407" s="2484" t="s">
        <v>120</v>
      </c>
      <c r="D407" s="2483"/>
      <c r="E407" s="2483"/>
      <c r="F407" s="2483"/>
      <c r="G407" s="2483"/>
      <c r="H407" s="2483"/>
      <c r="I407" s="2483"/>
      <c r="J407" s="2483"/>
      <c r="K407" s="2483"/>
      <c r="L407" s="2484"/>
      <c r="M407" s="2483"/>
      <c r="N407" s="2483"/>
      <c r="O407" s="2483"/>
      <c r="P407" s="2483"/>
      <c r="Q407" s="2483"/>
      <c r="R407" s="1988"/>
      <c r="S407" s="1988"/>
      <c r="T407" s="1988"/>
    </row>
    <row r="408" spans="1:20" ht="20.25" customHeight="1">
      <c r="A408" s="2483"/>
      <c r="B408" s="2483"/>
      <c r="C408" s="2483" t="s">
        <v>118</v>
      </c>
      <c r="D408" s="2483"/>
      <c r="E408" s="2483"/>
      <c r="F408" s="2483"/>
      <c r="G408" s="2483"/>
      <c r="H408" s="2483"/>
      <c r="I408" s="2483"/>
      <c r="J408" s="2483"/>
      <c r="K408" s="2483"/>
      <c r="L408" s="2484"/>
      <c r="M408" s="2483"/>
      <c r="N408" s="2483"/>
      <c r="O408" s="2483"/>
      <c r="P408" s="2483"/>
      <c r="Q408" s="2483"/>
      <c r="R408" s="1988"/>
      <c r="S408" s="1988"/>
      <c r="T408" s="1988"/>
    </row>
    <row r="409" spans="1:20" ht="20.25" customHeight="1">
      <c r="A409" s="2483"/>
      <c r="B409" s="2483"/>
      <c r="C409" s="2483" t="s">
        <v>1736</v>
      </c>
      <c r="D409" s="2483"/>
      <c r="E409" s="2483"/>
      <c r="F409" s="2483"/>
      <c r="G409" s="2483"/>
      <c r="H409" s="2483"/>
      <c r="I409" s="2483"/>
      <c r="J409" s="2483"/>
      <c r="K409" s="2483"/>
      <c r="L409" s="2483"/>
      <c r="M409" s="2483"/>
      <c r="N409" s="2483"/>
      <c r="O409" s="2483"/>
      <c r="P409" s="2483"/>
      <c r="Q409" s="2483"/>
      <c r="R409" s="1988"/>
      <c r="S409" s="1988"/>
      <c r="T409" s="1988"/>
    </row>
    <row r="410" spans="1:20" ht="20.25" customHeight="1">
      <c r="A410" s="2483"/>
      <c r="B410" s="2483"/>
      <c r="C410" s="2484" t="s">
        <v>887</v>
      </c>
      <c r="D410" s="2483"/>
      <c r="E410" s="2483"/>
      <c r="F410" s="2483"/>
      <c r="G410" s="2483"/>
      <c r="H410" s="2483"/>
      <c r="I410" s="2483"/>
      <c r="J410" s="2483"/>
      <c r="K410" s="2483"/>
      <c r="L410" s="2484"/>
      <c r="M410" s="2483"/>
      <c r="N410" s="2483"/>
      <c r="O410" s="2483"/>
      <c r="P410" s="2483"/>
      <c r="Q410" s="2483"/>
      <c r="R410" s="1988"/>
      <c r="S410" s="1988"/>
      <c r="T410" s="1988"/>
    </row>
    <row r="411" spans="1:20" ht="20.25" customHeight="1">
      <c r="A411" s="2483"/>
      <c r="B411" s="2483"/>
      <c r="C411" s="2483" t="s">
        <v>119</v>
      </c>
      <c r="D411" s="2483"/>
      <c r="E411" s="2483"/>
      <c r="F411" s="2483"/>
      <c r="G411" s="2483"/>
      <c r="H411" s="2483"/>
      <c r="I411" s="2483"/>
      <c r="J411" s="2483"/>
      <c r="K411" s="2483"/>
      <c r="L411" s="2484"/>
      <c r="M411" s="2483"/>
      <c r="N411" s="2483"/>
      <c r="O411" s="2483"/>
      <c r="P411" s="2483"/>
      <c r="Q411" s="2483"/>
      <c r="R411" s="1988"/>
      <c r="S411" s="1988"/>
      <c r="T411" s="1988"/>
    </row>
    <row r="412" spans="1:20" ht="20.25" customHeight="1">
      <c r="A412" s="2483"/>
      <c r="B412" s="2483"/>
      <c r="C412" s="2483" t="s">
        <v>120</v>
      </c>
      <c r="D412" s="2483"/>
      <c r="E412" s="2483"/>
      <c r="F412" s="2483"/>
      <c r="G412" s="2483"/>
      <c r="H412" s="2483"/>
      <c r="I412" s="2483"/>
      <c r="J412" s="2483"/>
      <c r="K412" s="2483"/>
      <c r="L412" s="2484"/>
      <c r="M412" s="2483"/>
      <c r="N412" s="2483"/>
      <c r="O412" s="2483"/>
      <c r="P412" s="2483"/>
      <c r="Q412" s="2483"/>
      <c r="R412" s="1988"/>
      <c r="S412" s="1988"/>
      <c r="T412" s="1988"/>
    </row>
    <row r="413" spans="1:20" ht="20.25" customHeight="1">
      <c r="A413" s="2483"/>
      <c r="B413" s="2483"/>
      <c r="C413" s="2483" t="s">
        <v>121</v>
      </c>
      <c r="D413" s="2483"/>
      <c r="E413" s="2483"/>
      <c r="F413" s="2483"/>
      <c r="G413" s="2483"/>
      <c r="H413" s="2483"/>
      <c r="I413" s="2483"/>
      <c r="J413" s="2483"/>
      <c r="K413" s="2483"/>
      <c r="L413" s="2484"/>
      <c r="M413" s="2483"/>
      <c r="N413" s="2483"/>
      <c r="O413" s="2483"/>
      <c r="P413" s="2483"/>
      <c r="Q413" s="2483"/>
      <c r="R413" s="1988"/>
      <c r="S413" s="1988"/>
      <c r="T413" s="1988"/>
    </row>
    <row r="414" spans="1:20" ht="20.25" customHeight="1">
      <c r="A414" s="2483"/>
      <c r="B414" s="2483"/>
      <c r="C414" s="2483" t="s">
        <v>2432</v>
      </c>
      <c r="D414" s="2483"/>
      <c r="E414" s="2483"/>
      <c r="F414" s="2483"/>
      <c r="G414" s="2483"/>
      <c r="H414" s="2483"/>
      <c r="I414" s="2483"/>
      <c r="J414" s="2483"/>
      <c r="K414" s="2483"/>
      <c r="L414" s="2483"/>
      <c r="M414" s="2483"/>
      <c r="N414" s="2483"/>
      <c r="O414" s="2483"/>
      <c r="P414" s="2483"/>
      <c r="Q414" s="2483"/>
      <c r="R414" s="1988"/>
      <c r="S414" s="1988"/>
      <c r="T414" s="1988"/>
    </row>
    <row r="415" spans="1:20" ht="20.25" customHeight="1">
      <c r="A415" s="2483"/>
      <c r="B415" s="2483"/>
      <c r="C415" s="2484" t="s">
        <v>1860</v>
      </c>
      <c r="D415" s="2483"/>
      <c r="E415" s="2483"/>
      <c r="F415" s="2483"/>
      <c r="G415" s="2483"/>
      <c r="H415" s="2483"/>
      <c r="I415" s="2483"/>
      <c r="J415" s="2483"/>
      <c r="K415" s="2483"/>
      <c r="L415" s="2484"/>
      <c r="M415" s="2483"/>
      <c r="N415" s="2483"/>
      <c r="O415" s="2483"/>
      <c r="P415" s="2483"/>
      <c r="Q415" s="2483"/>
      <c r="R415" s="1988"/>
      <c r="S415" s="1988"/>
      <c r="T415" s="1988"/>
    </row>
    <row r="416" spans="1:20" ht="20.25" customHeight="1">
      <c r="A416" s="2483"/>
      <c r="B416" s="2483"/>
      <c r="C416" s="2483" t="s">
        <v>2433</v>
      </c>
      <c r="D416" s="2483"/>
      <c r="E416" s="2483"/>
      <c r="F416" s="2483"/>
      <c r="G416" s="2483"/>
      <c r="H416" s="2483"/>
      <c r="I416" s="2483"/>
      <c r="J416" s="2483"/>
      <c r="K416" s="2483"/>
      <c r="L416" s="2484"/>
      <c r="M416" s="2483"/>
      <c r="N416" s="2483"/>
      <c r="O416" s="2483"/>
      <c r="P416" s="2483"/>
      <c r="Q416" s="2483"/>
      <c r="R416" s="1988"/>
      <c r="S416" s="1988"/>
      <c r="T416" s="1988"/>
    </row>
    <row r="417" spans="1:28" ht="20.25" customHeight="1">
      <c r="A417" s="2483"/>
      <c r="B417" s="2483"/>
      <c r="C417" s="2483" t="s">
        <v>1302</v>
      </c>
      <c r="D417" s="2483"/>
      <c r="E417" s="2483"/>
      <c r="F417" s="2483"/>
      <c r="G417" s="2483"/>
      <c r="H417" s="2483"/>
      <c r="I417" s="2483"/>
      <c r="J417" s="2483"/>
      <c r="K417" s="2483"/>
      <c r="L417" s="2484"/>
      <c r="M417" s="2483"/>
      <c r="N417" s="2483"/>
      <c r="O417" s="2483"/>
      <c r="P417" s="2483"/>
      <c r="Q417" s="2483"/>
      <c r="R417" s="1988"/>
      <c r="S417" s="1988"/>
      <c r="T417" s="1988"/>
    </row>
    <row r="418" spans="1:28" ht="20.25" customHeight="1">
      <c r="A418" s="2483"/>
      <c r="B418" s="2483"/>
      <c r="C418" s="2483" t="s">
        <v>1483</v>
      </c>
      <c r="D418" s="2483"/>
      <c r="E418" s="2483"/>
      <c r="F418" s="2483"/>
      <c r="G418" s="2483"/>
      <c r="H418" s="2483"/>
      <c r="I418" s="2483"/>
      <c r="J418" s="2483"/>
      <c r="K418" s="2487" t="s">
        <v>433</v>
      </c>
      <c r="L418" s="2484"/>
      <c r="M418" s="2483"/>
      <c r="N418" s="2483"/>
      <c r="O418" s="2483"/>
      <c r="P418" s="2483"/>
      <c r="Q418" s="2483"/>
      <c r="R418" s="1988"/>
      <c r="S418" s="1988"/>
      <c r="T418" s="1988"/>
    </row>
    <row r="419" spans="1:28" ht="20.25" customHeight="1">
      <c r="A419" s="2483"/>
      <c r="B419" s="2483"/>
      <c r="C419" s="2483" t="s">
        <v>2434</v>
      </c>
      <c r="D419" s="2483"/>
      <c r="E419" s="2483"/>
      <c r="F419" s="2483"/>
      <c r="G419" s="2483"/>
      <c r="H419" s="2483"/>
      <c r="I419" s="2483"/>
      <c r="J419" s="2483"/>
      <c r="K419" s="2483" t="s">
        <v>1017</v>
      </c>
      <c r="L419" s="2484"/>
      <c r="M419" s="2483"/>
      <c r="N419" s="2483"/>
      <c r="O419" s="2483"/>
      <c r="P419" s="2483"/>
      <c r="Q419" s="2483"/>
      <c r="R419" s="1988"/>
      <c r="S419" s="1988"/>
      <c r="T419" s="1988"/>
    </row>
    <row r="420" spans="1:28" ht="20.25" customHeight="1">
      <c r="A420" s="2483"/>
      <c r="B420" s="2483"/>
      <c r="C420" s="2483" t="s">
        <v>2435</v>
      </c>
      <c r="D420" s="2483"/>
      <c r="E420" s="2483"/>
      <c r="F420" s="2483"/>
      <c r="G420" s="2483"/>
      <c r="H420" s="2483"/>
      <c r="I420" s="2483"/>
      <c r="J420" s="2483"/>
      <c r="K420" s="2483" t="s">
        <v>5031</v>
      </c>
      <c r="L420" s="2483"/>
      <c r="M420" s="2483"/>
      <c r="N420" s="2483"/>
      <c r="O420" s="2483"/>
      <c r="P420" s="2483"/>
      <c r="Q420" s="2483"/>
      <c r="R420" s="1988"/>
      <c r="S420" s="1988"/>
      <c r="T420" s="1988"/>
    </row>
    <row r="421" spans="1:28" ht="20.25" customHeight="1">
      <c r="A421" s="2483"/>
      <c r="B421" s="2483"/>
      <c r="C421" s="2484" t="s">
        <v>1129</v>
      </c>
      <c r="D421" s="2483"/>
      <c r="E421" s="2483"/>
      <c r="F421" s="2483"/>
      <c r="G421" s="2483"/>
      <c r="H421" s="2483"/>
      <c r="I421" s="2483"/>
      <c r="J421" s="2483"/>
      <c r="K421" s="2483" t="s">
        <v>4103</v>
      </c>
      <c r="L421" s="2483"/>
      <c r="M421" s="2483"/>
      <c r="N421" s="2483"/>
      <c r="O421" s="2483"/>
      <c r="P421" s="2483"/>
      <c r="Q421" s="2483"/>
      <c r="R421" s="1988"/>
      <c r="S421" s="1988"/>
      <c r="T421" s="1988"/>
    </row>
    <row r="422" spans="1:28" ht="20.25" customHeight="1">
      <c r="A422" s="2483"/>
      <c r="B422" s="2483"/>
      <c r="C422" s="2483"/>
      <c r="D422" s="2483"/>
      <c r="E422" s="2483"/>
      <c r="F422" s="2483"/>
      <c r="G422" s="2483"/>
      <c r="H422" s="2483"/>
      <c r="I422" s="2483"/>
      <c r="J422" s="2483"/>
      <c r="K422" s="2483"/>
      <c r="L422" s="2483"/>
      <c r="M422" s="2483"/>
      <c r="N422" s="2483"/>
      <c r="O422" s="2483"/>
      <c r="P422" s="2483"/>
      <c r="Q422" s="2483"/>
      <c r="R422" s="1988"/>
      <c r="S422" s="1988"/>
      <c r="T422" s="1988"/>
    </row>
    <row r="423" spans="1:28" ht="20.25" customHeight="1">
      <c r="A423" s="2483"/>
      <c r="B423" s="2483"/>
      <c r="C423" s="2487" t="s">
        <v>244</v>
      </c>
      <c r="D423" s="2483"/>
      <c r="E423" s="2483"/>
      <c r="F423" s="2483"/>
      <c r="G423" s="2483"/>
      <c r="H423" s="2483"/>
      <c r="I423" s="2483"/>
      <c r="J423" s="2483"/>
      <c r="K423" s="2487" t="s">
        <v>2067</v>
      </c>
      <c r="L423" s="2483"/>
      <c r="M423" s="2483"/>
      <c r="N423" s="2483"/>
      <c r="O423" s="2483"/>
      <c r="P423" s="2483"/>
      <c r="Q423" s="2483"/>
      <c r="R423" s="1988"/>
      <c r="S423" s="1988"/>
      <c r="T423" s="1988"/>
    </row>
    <row r="424" spans="1:28" ht="20.25" customHeight="1">
      <c r="A424" s="2483"/>
      <c r="B424" s="2483"/>
      <c r="C424" s="2483" t="s">
        <v>1018</v>
      </c>
      <c r="D424" s="2483"/>
      <c r="E424" s="2483"/>
      <c r="F424" s="2483"/>
      <c r="G424" s="2483"/>
      <c r="H424" s="2483"/>
      <c r="I424" s="2483"/>
      <c r="J424" s="2483"/>
      <c r="K424" s="2483" t="s">
        <v>2141</v>
      </c>
      <c r="L424" s="2483"/>
      <c r="M424" s="2483"/>
      <c r="N424" s="2483"/>
      <c r="O424" s="2483"/>
      <c r="P424" s="2483"/>
      <c r="Q424" s="2483"/>
      <c r="R424" s="1988"/>
      <c r="S424" s="1988"/>
      <c r="T424" s="1988"/>
    </row>
    <row r="425" spans="1:28" ht="20.25" customHeight="1">
      <c r="A425" s="2483"/>
      <c r="B425" s="2483"/>
      <c r="C425" s="2483" t="s">
        <v>163</v>
      </c>
      <c r="D425" s="2483"/>
      <c r="E425" s="2483"/>
      <c r="F425" s="2483"/>
      <c r="G425" s="2483"/>
      <c r="H425" s="2483"/>
      <c r="I425" s="2483"/>
      <c r="J425" s="2483"/>
      <c r="K425" s="2483" t="s">
        <v>5032</v>
      </c>
      <c r="L425" s="2483"/>
      <c r="M425" s="2483"/>
      <c r="N425" s="2483"/>
      <c r="O425" s="2483"/>
      <c r="P425" s="2483"/>
      <c r="Q425" s="2483"/>
      <c r="R425" s="1988"/>
      <c r="S425" s="1988"/>
      <c r="T425" s="1988"/>
    </row>
    <row r="426" spans="1:28" ht="20.25" customHeight="1">
      <c r="A426" s="2483"/>
      <c r="B426" s="2483"/>
      <c r="C426" s="2483" t="s">
        <v>1427</v>
      </c>
      <c r="D426" s="2483"/>
      <c r="E426" s="2483"/>
      <c r="F426" s="2483"/>
      <c r="G426" s="2483"/>
      <c r="H426" s="2483"/>
      <c r="I426" s="2483"/>
      <c r="J426" s="2483"/>
      <c r="K426" s="2483" t="s">
        <v>5033</v>
      </c>
      <c r="L426" s="2483"/>
      <c r="M426" s="2483"/>
      <c r="N426" s="2483"/>
      <c r="O426" s="2483"/>
      <c r="P426" s="2483"/>
      <c r="Q426" s="2483"/>
      <c r="R426" s="1988"/>
      <c r="S426" s="1988"/>
      <c r="T426" s="1988"/>
    </row>
    <row r="427" spans="1:28" ht="20.25" customHeight="1">
      <c r="A427" s="2483"/>
      <c r="B427" s="2483"/>
      <c r="C427" s="2483" t="s">
        <v>1960</v>
      </c>
      <c r="D427" s="2483"/>
      <c r="E427" s="2483"/>
      <c r="F427" s="2483"/>
      <c r="G427" s="2483"/>
      <c r="H427" s="2483"/>
      <c r="I427" s="2483"/>
      <c r="J427" s="2483"/>
      <c r="K427" s="2483" t="s">
        <v>5034</v>
      </c>
      <c r="L427" s="2483"/>
      <c r="M427" s="2483"/>
      <c r="N427" s="2483"/>
      <c r="O427" s="2483"/>
      <c r="P427" s="2483"/>
      <c r="Q427" s="2483"/>
      <c r="R427" s="1988"/>
      <c r="S427" s="1988"/>
      <c r="T427" s="1988"/>
    </row>
    <row r="428" spans="1:28" ht="20.25" customHeight="1">
      <c r="A428" s="2483"/>
      <c r="B428" s="2483"/>
      <c r="C428" s="2483" t="s">
        <v>162</v>
      </c>
      <c r="D428" s="2483"/>
      <c r="E428" s="2483"/>
      <c r="F428" s="2483"/>
      <c r="G428" s="2483"/>
      <c r="H428" s="2483"/>
      <c r="I428" s="2483"/>
      <c r="J428" s="2483"/>
      <c r="K428" s="2483" t="s">
        <v>5035</v>
      </c>
      <c r="L428" s="2483"/>
      <c r="M428" s="2483"/>
      <c r="N428" s="2483"/>
      <c r="O428" s="2483"/>
      <c r="P428" s="2483"/>
      <c r="Q428" s="2483"/>
      <c r="R428" s="1988"/>
      <c r="S428" s="1988"/>
      <c r="T428" s="1988"/>
    </row>
    <row r="429" spans="1:28" ht="20.25" customHeight="1">
      <c r="A429" s="2483"/>
      <c r="B429" s="2483"/>
      <c r="C429" s="2483"/>
      <c r="D429" s="2483"/>
      <c r="E429" s="2483"/>
      <c r="F429" s="2483"/>
      <c r="G429" s="2483"/>
      <c r="H429" s="2483"/>
      <c r="I429" s="2483"/>
      <c r="J429" s="2483"/>
      <c r="K429" s="2487" t="s">
        <v>1804</v>
      </c>
      <c r="L429" s="2483"/>
      <c r="M429" s="2483"/>
      <c r="N429" s="2483"/>
      <c r="O429" s="2483"/>
      <c r="P429" s="2483"/>
      <c r="Q429" s="2483"/>
      <c r="R429" s="1988"/>
      <c r="S429" s="1988"/>
      <c r="T429" s="1988"/>
    </row>
    <row r="430" spans="1:28" s="1934" customFormat="1" ht="20.25" customHeight="1">
      <c r="D430" s="2483"/>
      <c r="E430" s="2483"/>
      <c r="F430" s="2483"/>
      <c r="G430" s="2483"/>
      <c r="H430" s="2483"/>
      <c r="I430" s="2483"/>
      <c r="J430" s="2483"/>
      <c r="K430" s="2483" t="s">
        <v>1016</v>
      </c>
      <c r="L430" s="2483"/>
      <c r="M430" s="2483"/>
      <c r="N430" s="2483"/>
      <c r="O430" s="2483"/>
      <c r="P430" s="2483"/>
      <c r="Q430" s="2483"/>
      <c r="R430" s="1988"/>
      <c r="S430" s="1988"/>
      <c r="T430" s="1988"/>
      <c r="U430" s="1988"/>
      <c r="V430" s="1988"/>
      <c r="W430" s="1988"/>
      <c r="X430" s="1988"/>
      <c r="Y430" s="1988"/>
      <c r="Z430" s="1988"/>
      <c r="AA430" s="2490"/>
      <c r="AB430" s="1988"/>
    </row>
    <row r="431" spans="1:28" s="1934" customFormat="1" ht="20.25" customHeight="1">
      <c r="D431" s="2483"/>
      <c r="E431" s="2483"/>
      <c r="F431" s="2483"/>
      <c r="G431" s="2483"/>
      <c r="H431" s="2483"/>
      <c r="I431" s="2483"/>
      <c r="J431" s="2483"/>
      <c r="K431" s="2483" t="s">
        <v>1625</v>
      </c>
      <c r="L431" s="2483"/>
      <c r="M431" s="2483"/>
      <c r="N431" s="2483"/>
      <c r="O431" s="2483"/>
      <c r="P431" s="2483"/>
      <c r="Q431" s="2483"/>
      <c r="R431" s="1988"/>
      <c r="S431" s="1988"/>
      <c r="T431" s="1988"/>
      <c r="U431" s="1988"/>
      <c r="V431" s="1988"/>
      <c r="W431" s="1988"/>
      <c r="X431" s="1988"/>
      <c r="Y431" s="1988"/>
      <c r="Z431" s="1988"/>
      <c r="AA431" s="2490"/>
      <c r="AB431" s="1988"/>
    </row>
    <row r="432" spans="1:28" s="1934" customFormat="1" ht="20.25" customHeight="1">
      <c r="D432" s="2483"/>
      <c r="E432" s="2483"/>
      <c r="F432" s="2483"/>
      <c r="G432" s="2483"/>
      <c r="H432" s="2483"/>
      <c r="I432" s="2483"/>
      <c r="J432" s="2483"/>
      <c r="K432" s="2483" t="s">
        <v>1066</v>
      </c>
      <c r="L432" s="2483"/>
      <c r="M432" s="2483"/>
      <c r="N432" s="2483"/>
      <c r="O432" s="2483"/>
      <c r="P432" s="2483"/>
      <c r="Q432" s="2483"/>
      <c r="R432" s="1988"/>
      <c r="S432" s="1988"/>
      <c r="T432" s="1988"/>
      <c r="U432" s="1988"/>
      <c r="V432" s="1988"/>
      <c r="W432" s="1988"/>
      <c r="X432" s="1988"/>
      <c r="Y432" s="1988"/>
      <c r="Z432" s="1988"/>
      <c r="AA432" s="2490"/>
      <c r="AB432" s="1988"/>
    </row>
    <row r="433" spans="2:28" s="1934" customFormat="1" ht="20.25" customHeight="1">
      <c r="D433" s="2483"/>
      <c r="E433" s="2483"/>
      <c r="F433" s="2483"/>
      <c r="G433" s="2483"/>
      <c r="H433" s="2483"/>
      <c r="I433" s="2483"/>
      <c r="J433" s="2483"/>
      <c r="K433" s="2483" t="s">
        <v>1626</v>
      </c>
      <c r="L433" s="2483"/>
      <c r="M433" s="2483"/>
      <c r="N433" s="2483"/>
      <c r="O433" s="2483"/>
      <c r="P433" s="2483"/>
      <c r="Q433" s="2483"/>
      <c r="R433" s="1988"/>
      <c r="S433" s="1988"/>
      <c r="T433" s="1988"/>
      <c r="U433" s="1988"/>
      <c r="V433" s="1988"/>
      <c r="W433" s="1988"/>
      <c r="X433" s="1988"/>
      <c r="Y433" s="1988"/>
      <c r="Z433" s="1988"/>
      <c r="AA433" s="2490"/>
      <c r="AB433" s="1988"/>
    </row>
    <row r="434" spans="2:28" s="1934" customFormat="1" ht="20.25" customHeight="1">
      <c r="D434" s="2483"/>
      <c r="E434" s="2483"/>
      <c r="F434" s="2483"/>
      <c r="G434" s="2483"/>
      <c r="H434" s="2483"/>
      <c r="I434" s="2483"/>
      <c r="J434" s="2483"/>
      <c r="K434" s="2483" t="s">
        <v>2179</v>
      </c>
      <c r="L434" s="2483"/>
      <c r="M434" s="2483"/>
      <c r="N434" s="2483"/>
      <c r="O434" s="2483"/>
      <c r="P434" s="2483"/>
      <c r="Q434" s="2483"/>
      <c r="R434" s="1988"/>
      <c r="S434" s="1988"/>
      <c r="T434" s="1988"/>
      <c r="U434" s="1988"/>
      <c r="V434" s="1988"/>
      <c r="W434" s="1988"/>
      <c r="X434" s="1988"/>
      <c r="Y434" s="1988"/>
      <c r="Z434" s="1988"/>
      <c r="AA434" s="2490"/>
      <c r="AB434" s="1988"/>
    </row>
    <row r="435" spans="2:28" s="1934" customFormat="1" ht="20.25" customHeight="1">
      <c r="B435" s="2483"/>
      <c r="C435" s="2483"/>
      <c r="D435" s="2483"/>
      <c r="E435" s="2483"/>
      <c r="F435" s="2483"/>
      <c r="G435" s="2483"/>
      <c r="H435" s="2483"/>
      <c r="I435" s="2483"/>
      <c r="J435" s="2483"/>
      <c r="K435" s="2483"/>
      <c r="L435" s="2483"/>
      <c r="M435" s="2483"/>
      <c r="N435" s="2483"/>
      <c r="O435" s="2483"/>
      <c r="P435" s="2483"/>
      <c r="Q435" s="2483"/>
      <c r="R435" s="1988"/>
      <c r="S435" s="1988"/>
      <c r="T435" s="1988"/>
      <c r="U435" s="1988"/>
      <c r="V435" s="1988"/>
      <c r="W435" s="1988"/>
      <c r="X435" s="1988"/>
      <c r="Y435" s="1988"/>
      <c r="Z435" s="1988"/>
      <c r="AA435" s="2490"/>
      <c r="AB435" s="1988"/>
    </row>
    <row r="436" spans="2:28" s="1934" customFormat="1" ht="20.25" customHeight="1">
      <c r="B436" s="2483"/>
      <c r="C436" s="2487" t="s">
        <v>950</v>
      </c>
      <c r="D436" s="2483"/>
      <c r="E436" s="2483"/>
      <c r="F436" s="2483"/>
      <c r="G436" s="2483"/>
      <c r="H436" s="2483"/>
      <c r="I436" s="2483"/>
      <c r="J436" s="2483"/>
      <c r="K436" s="2483"/>
      <c r="L436" s="2483"/>
      <c r="M436" s="2487" t="s">
        <v>3731</v>
      </c>
      <c r="N436" s="2483"/>
      <c r="O436" s="2483"/>
      <c r="P436" s="2483"/>
      <c r="Q436" s="2483"/>
      <c r="R436" s="1988"/>
      <c r="S436" s="1988"/>
      <c r="T436" s="1988"/>
      <c r="U436" s="1988"/>
      <c r="V436" s="1988"/>
      <c r="W436" s="1988"/>
      <c r="X436" s="1988"/>
      <c r="Y436" s="1988"/>
      <c r="Z436" s="1988"/>
      <c r="AA436" s="2490"/>
      <c r="AB436" s="1988"/>
    </row>
    <row r="437" spans="2:28" s="1934" customFormat="1" ht="20.25" customHeight="1">
      <c r="B437" s="2483"/>
      <c r="C437" s="2483" t="s">
        <v>949</v>
      </c>
      <c r="D437" s="2483"/>
      <c r="E437" s="2483"/>
      <c r="F437" s="2483"/>
      <c r="G437" s="2483"/>
      <c r="H437" s="2483"/>
      <c r="I437" s="2483"/>
      <c r="J437" s="2483"/>
      <c r="K437" s="2483"/>
      <c r="L437" s="2483"/>
      <c r="M437" s="2483" t="s">
        <v>949</v>
      </c>
      <c r="N437" s="2483"/>
      <c r="O437" s="2483"/>
      <c r="P437" s="2483"/>
      <c r="Q437" s="2483"/>
      <c r="R437" s="1988"/>
      <c r="S437" s="1988"/>
      <c r="T437" s="1988"/>
      <c r="U437" s="1988"/>
      <c r="V437" s="1988"/>
      <c r="W437" s="1988"/>
      <c r="X437" s="1988"/>
      <c r="Y437" s="1988"/>
      <c r="Z437" s="1988"/>
      <c r="AA437" s="2490"/>
      <c r="AB437" s="1988"/>
    </row>
    <row r="438" spans="2:28" s="1934" customFormat="1" ht="20.25" customHeight="1">
      <c r="B438" s="2483"/>
      <c r="C438" s="2483" t="s">
        <v>1933</v>
      </c>
      <c r="D438" s="2483"/>
      <c r="E438" s="2483"/>
      <c r="F438" s="2483"/>
      <c r="G438" s="2483"/>
      <c r="H438" s="2483"/>
      <c r="I438" s="2483"/>
      <c r="J438" s="2483"/>
      <c r="K438" s="2483"/>
      <c r="L438" s="2483"/>
      <c r="M438" s="2483" t="s">
        <v>3728</v>
      </c>
      <c r="N438" s="2483"/>
      <c r="O438" s="2483"/>
      <c r="P438" s="2483"/>
      <c r="Q438" s="2483"/>
      <c r="R438" s="1988"/>
      <c r="S438" s="1988"/>
      <c r="T438" s="1988"/>
      <c r="U438" s="1988"/>
      <c r="V438" s="1988"/>
      <c r="W438" s="1988"/>
      <c r="X438" s="1988"/>
      <c r="Y438" s="1988"/>
      <c r="Z438" s="1988"/>
      <c r="AA438" s="2490"/>
      <c r="AB438" s="1988"/>
    </row>
    <row r="439" spans="2:28" s="1934" customFormat="1" ht="20.25" customHeight="1">
      <c r="B439" s="2483"/>
      <c r="C439" s="2483" t="s">
        <v>2335</v>
      </c>
      <c r="D439" s="2483"/>
      <c r="E439" s="2483"/>
      <c r="F439" s="2483"/>
      <c r="G439" s="2483"/>
      <c r="H439" s="2483"/>
      <c r="I439" s="2483"/>
      <c r="J439" s="2483"/>
      <c r="K439" s="2483"/>
      <c r="L439" s="2483"/>
      <c r="M439" s="2483" t="s">
        <v>3759</v>
      </c>
      <c r="N439" s="2483"/>
      <c r="O439" s="2483"/>
      <c r="P439" s="2483"/>
      <c r="Q439" s="2483"/>
      <c r="R439" s="1988"/>
      <c r="S439" s="1988"/>
      <c r="T439" s="1988"/>
      <c r="U439" s="1988"/>
      <c r="V439" s="1988"/>
      <c r="W439" s="1988"/>
      <c r="X439" s="1988"/>
      <c r="Y439" s="1988"/>
      <c r="Z439" s="1988"/>
      <c r="AA439" s="2490"/>
      <c r="AB439" s="1988"/>
    </row>
    <row r="440" spans="2:28" s="1934" customFormat="1" ht="20.25" customHeight="1">
      <c r="B440" s="2483"/>
      <c r="C440" s="2483" t="s">
        <v>1934</v>
      </c>
      <c r="D440" s="2483"/>
      <c r="E440" s="2483"/>
      <c r="F440" s="2483"/>
      <c r="G440" s="2483"/>
      <c r="H440" s="2483"/>
      <c r="I440" s="2483"/>
      <c r="J440" s="2483"/>
      <c r="K440" s="2483"/>
      <c r="L440" s="2483"/>
      <c r="M440" s="2483" t="s">
        <v>1538</v>
      </c>
      <c r="N440" s="2483"/>
      <c r="O440" s="2483"/>
      <c r="P440" s="2483"/>
      <c r="Q440" s="2483"/>
      <c r="R440" s="1988"/>
      <c r="S440" s="1988"/>
      <c r="T440" s="1988"/>
      <c r="U440" s="1988"/>
      <c r="V440" s="1988"/>
      <c r="W440" s="1988"/>
      <c r="X440" s="1988"/>
      <c r="Y440" s="1988"/>
      <c r="Z440" s="1988"/>
      <c r="AA440" s="2490"/>
      <c r="AB440" s="1988"/>
    </row>
    <row r="441" spans="2:28" s="1934" customFormat="1" ht="20.25" customHeight="1">
      <c r="B441" s="2483"/>
      <c r="C441" s="2483" t="s">
        <v>1805</v>
      </c>
      <c r="D441" s="2483"/>
      <c r="E441" s="2483"/>
      <c r="F441" s="2483"/>
      <c r="G441" s="2483"/>
      <c r="H441" s="2483"/>
      <c r="I441" s="2483"/>
      <c r="J441" s="2483"/>
      <c r="K441" s="2483"/>
      <c r="L441" s="2483"/>
      <c r="M441" s="2483" t="s">
        <v>3729</v>
      </c>
      <c r="N441" s="2483"/>
      <c r="O441" s="2483"/>
      <c r="P441" s="2483"/>
      <c r="Q441" s="2483"/>
      <c r="R441" s="1988"/>
      <c r="S441" s="1988"/>
      <c r="T441" s="1988"/>
      <c r="U441" s="1988"/>
      <c r="V441" s="1988"/>
      <c r="W441" s="1988"/>
      <c r="X441" s="1988"/>
      <c r="Y441" s="1988"/>
      <c r="Z441" s="1988"/>
      <c r="AA441" s="2490"/>
      <c r="AB441" s="1988"/>
    </row>
    <row r="442" spans="2:28" s="1934" customFormat="1" ht="20.25" customHeight="1">
      <c r="B442" s="2483"/>
      <c r="C442" s="2483" t="s">
        <v>547</v>
      </c>
      <c r="D442" s="2483"/>
      <c r="E442" s="2483"/>
      <c r="F442" s="2483"/>
      <c r="G442" s="2483"/>
      <c r="H442" s="2483"/>
      <c r="I442" s="2483"/>
      <c r="J442" s="2483"/>
      <c r="K442" s="2483"/>
      <c r="L442" s="2483"/>
      <c r="M442" s="2483" t="s">
        <v>3779</v>
      </c>
      <c r="N442" s="2483"/>
      <c r="O442" s="2483"/>
      <c r="P442" s="2483"/>
      <c r="Q442" s="2483"/>
      <c r="R442" s="1988"/>
      <c r="S442" s="1988"/>
      <c r="T442" s="1988"/>
      <c r="U442" s="1988"/>
      <c r="V442" s="1988"/>
      <c r="W442" s="1988"/>
      <c r="X442" s="1988"/>
      <c r="Y442" s="1988"/>
      <c r="Z442" s="1988"/>
      <c r="AA442" s="2490"/>
      <c r="AB442" s="1988"/>
    </row>
    <row r="443" spans="2:28" s="1934" customFormat="1" ht="20.25" customHeight="1">
      <c r="B443" s="2483"/>
      <c r="C443" s="2483" t="s">
        <v>2030</v>
      </c>
      <c r="D443" s="2483"/>
      <c r="E443" s="2483"/>
      <c r="F443" s="2483"/>
      <c r="G443" s="2483"/>
      <c r="H443" s="2483"/>
      <c r="I443" s="2483"/>
      <c r="J443" s="2483"/>
      <c r="K443" s="2483"/>
      <c r="L443" s="2483"/>
      <c r="M443" s="2483" t="s">
        <v>3780</v>
      </c>
      <c r="N443" s="2483"/>
      <c r="O443" s="2483"/>
      <c r="P443" s="2483"/>
      <c r="Q443" s="2483"/>
      <c r="R443" s="1988"/>
      <c r="S443" s="1988"/>
      <c r="T443" s="1988"/>
      <c r="U443" s="1988"/>
      <c r="V443" s="1988"/>
      <c r="W443" s="1988"/>
      <c r="X443" s="1988"/>
      <c r="Y443" s="1988"/>
      <c r="Z443" s="1988"/>
      <c r="AA443" s="2490"/>
      <c r="AB443" s="1988"/>
    </row>
    <row r="444" spans="2:28" s="1934" customFormat="1" ht="20.25" customHeight="1">
      <c r="B444" s="2483"/>
      <c r="C444" s="2483" t="s">
        <v>30</v>
      </c>
      <c r="D444" s="2483"/>
      <c r="E444" s="2483"/>
      <c r="F444" s="2483"/>
      <c r="G444" s="2483"/>
      <c r="H444" s="2483"/>
      <c r="I444" s="2483"/>
      <c r="J444" s="2483"/>
      <c r="K444" s="2483"/>
      <c r="L444" s="2483"/>
      <c r="M444" s="2483" t="s">
        <v>3730</v>
      </c>
      <c r="N444" s="2483"/>
      <c r="O444" s="2483"/>
      <c r="P444" s="2483"/>
      <c r="Q444" s="2483"/>
      <c r="R444" s="1988"/>
      <c r="S444" s="1988"/>
      <c r="T444" s="1988"/>
      <c r="U444" s="1988"/>
      <c r="V444" s="1988"/>
      <c r="W444" s="1988"/>
      <c r="X444" s="1988"/>
      <c r="Y444" s="1988"/>
      <c r="Z444" s="1988"/>
      <c r="AA444" s="2490"/>
      <c r="AB444" s="1988"/>
    </row>
    <row r="445" spans="2:28" s="1934" customFormat="1" ht="20.25" customHeight="1">
      <c r="D445" s="2483"/>
      <c r="E445" s="2483"/>
      <c r="F445" s="2483"/>
      <c r="G445" s="2483"/>
      <c r="H445" s="2483"/>
      <c r="I445" s="2483"/>
      <c r="J445" s="2483"/>
      <c r="K445" s="2483"/>
      <c r="L445" s="2483"/>
      <c r="M445" s="2483" t="s">
        <v>1947</v>
      </c>
      <c r="N445" s="2483"/>
      <c r="O445" s="2483"/>
      <c r="P445" s="2483"/>
      <c r="Q445" s="2483"/>
      <c r="R445" s="1988"/>
      <c r="S445" s="1988"/>
      <c r="T445" s="1988"/>
      <c r="U445" s="1988"/>
      <c r="V445" s="1988"/>
      <c r="W445" s="1988"/>
      <c r="X445" s="1988"/>
      <c r="Y445" s="1988"/>
      <c r="Z445" s="1988"/>
      <c r="AA445" s="2490"/>
      <c r="AB445" s="1988"/>
    </row>
    <row r="446" spans="2:28" s="1934" customFormat="1" ht="20.25" customHeight="1">
      <c r="D446" s="2483"/>
      <c r="E446" s="2483"/>
      <c r="F446" s="2483"/>
      <c r="G446" s="2483"/>
      <c r="H446" s="2483"/>
      <c r="I446" s="2483"/>
      <c r="J446" s="2483"/>
      <c r="K446" s="2483"/>
      <c r="L446" s="2483"/>
      <c r="M446" s="2483" t="s">
        <v>5036</v>
      </c>
      <c r="N446" s="2483"/>
      <c r="O446" s="2483"/>
      <c r="P446" s="2483"/>
      <c r="Q446" s="2483"/>
      <c r="R446" s="1988"/>
      <c r="S446" s="1988"/>
      <c r="T446" s="1988"/>
      <c r="U446" s="1988"/>
      <c r="V446" s="1988"/>
      <c r="W446" s="1988"/>
      <c r="X446" s="1988"/>
      <c r="Y446" s="1988"/>
      <c r="Z446" s="1988"/>
      <c r="AA446" s="2490"/>
      <c r="AB446" s="1988"/>
    </row>
    <row r="447" spans="2:28" s="1934" customFormat="1" ht="20.25" customHeight="1">
      <c r="D447" s="2483"/>
      <c r="E447" s="2483"/>
      <c r="F447" s="2483"/>
      <c r="G447" s="2483"/>
      <c r="H447" s="2483"/>
      <c r="I447" s="2483"/>
      <c r="J447" s="2483"/>
      <c r="K447" s="2483"/>
      <c r="L447" s="2483"/>
      <c r="M447" s="2483"/>
      <c r="N447" s="2483"/>
      <c r="O447" s="2483"/>
      <c r="P447" s="2483"/>
      <c r="Q447" s="2483"/>
      <c r="R447" s="1988"/>
      <c r="S447" s="1988"/>
      <c r="T447" s="1988"/>
      <c r="U447" s="1988"/>
      <c r="V447" s="1988"/>
      <c r="W447" s="1988"/>
      <c r="X447" s="1988"/>
      <c r="Y447" s="1988"/>
      <c r="Z447" s="1988"/>
      <c r="AA447" s="2490"/>
      <c r="AB447" s="1988"/>
    </row>
    <row r="448" spans="2:28" s="1934" customFormat="1" ht="20.25" customHeight="1">
      <c r="D448" s="2483"/>
      <c r="E448" s="2483"/>
      <c r="F448" s="2483"/>
      <c r="G448" s="2483"/>
      <c r="H448" s="2483"/>
      <c r="I448" s="2483"/>
      <c r="J448" s="2483"/>
      <c r="K448" s="2483"/>
      <c r="L448" s="2483"/>
      <c r="M448" s="2488" t="s">
        <v>297</v>
      </c>
      <c r="N448" s="2483"/>
      <c r="O448" s="2483"/>
      <c r="P448" s="2483"/>
      <c r="Q448" s="2483"/>
      <c r="R448" s="1988"/>
      <c r="S448" s="1988"/>
      <c r="T448" s="1988"/>
      <c r="U448" s="1988"/>
      <c r="V448" s="1988"/>
      <c r="W448" s="1988"/>
      <c r="X448" s="1988"/>
      <c r="Y448" s="1988"/>
      <c r="Z448" s="1988"/>
      <c r="AA448" s="2490"/>
      <c r="AB448" s="1988"/>
    </row>
    <row r="449" spans="4:28" s="1934" customFormat="1" ht="20.25" customHeight="1">
      <c r="D449" s="2483"/>
      <c r="E449" s="2483"/>
      <c r="F449" s="2483"/>
      <c r="G449" s="2483"/>
      <c r="H449" s="2483"/>
      <c r="I449" s="2483"/>
      <c r="J449" s="2483"/>
      <c r="K449" s="2483"/>
      <c r="L449" s="2483"/>
      <c r="M449" s="2483" t="s">
        <v>3251</v>
      </c>
      <c r="N449" s="2483"/>
      <c r="O449" s="2483"/>
      <c r="P449" s="2483"/>
      <c r="Q449" s="2483"/>
      <c r="R449" s="1988"/>
      <c r="S449" s="1988"/>
      <c r="T449" s="1988"/>
      <c r="U449" s="1988"/>
      <c r="V449" s="1988"/>
      <c r="W449" s="1988"/>
      <c r="X449" s="1988"/>
      <c r="Y449" s="1988"/>
      <c r="Z449" s="1988"/>
      <c r="AA449" s="2490"/>
      <c r="AB449" s="1988"/>
    </row>
    <row r="450" spans="4:28" s="1934" customFormat="1" ht="20.25" customHeight="1">
      <c r="D450" s="2483"/>
      <c r="E450" s="2483"/>
      <c r="F450" s="2483"/>
      <c r="G450" s="2483"/>
      <c r="H450" s="2483"/>
      <c r="I450" s="2483"/>
      <c r="J450" s="2483"/>
      <c r="K450" s="2483"/>
      <c r="L450" s="2483"/>
      <c r="M450" s="2483" t="s">
        <v>3172</v>
      </c>
      <c r="N450" s="2483"/>
      <c r="O450" s="2483"/>
      <c r="P450" s="2483"/>
      <c r="Q450" s="2483"/>
      <c r="R450" s="1988"/>
      <c r="S450" s="1988"/>
      <c r="T450" s="1988"/>
      <c r="U450" s="1988"/>
      <c r="V450" s="1988"/>
      <c r="W450" s="1988"/>
      <c r="X450" s="1988"/>
      <c r="Y450" s="1988"/>
      <c r="Z450" s="1988"/>
      <c r="AA450" s="2490"/>
      <c r="AB450" s="1988"/>
    </row>
    <row r="451" spans="4:28" s="1934" customFormat="1" ht="20.25" customHeight="1">
      <c r="D451" s="2483"/>
      <c r="E451" s="2483"/>
      <c r="F451" s="2483"/>
      <c r="G451" s="2483"/>
      <c r="H451" s="2483"/>
      <c r="I451" s="2483"/>
      <c r="J451" s="2483"/>
      <c r="K451" s="2483"/>
      <c r="L451" s="2483"/>
      <c r="M451" s="2483" t="s">
        <v>5048</v>
      </c>
      <c r="N451" s="2483"/>
      <c r="O451" s="2483"/>
      <c r="P451" s="2483"/>
      <c r="Q451" s="2483"/>
      <c r="R451" s="1988"/>
      <c r="S451" s="1988"/>
      <c r="T451" s="1988"/>
      <c r="U451" s="1988"/>
      <c r="V451" s="1988"/>
      <c r="W451" s="1988"/>
      <c r="X451" s="1988"/>
      <c r="Y451" s="1988"/>
      <c r="Z451" s="1988"/>
      <c r="AA451" s="2490"/>
      <c r="AB451" s="1988"/>
    </row>
    <row r="452" spans="4:28" s="1934" customFormat="1" ht="20.25" customHeight="1">
      <c r="D452" s="2483"/>
      <c r="E452" s="2483"/>
      <c r="F452" s="2483"/>
      <c r="G452" s="2483"/>
      <c r="H452" s="2483"/>
      <c r="I452" s="2483"/>
      <c r="J452" s="2483"/>
      <c r="K452" s="2483"/>
      <c r="L452" s="2483"/>
      <c r="M452" s="2483" t="s">
        <v>3173</v>
      </c>
      <c r="N452" s="2483"/>
      <c r="O452" s="2483"/>
      <c r="P452" s="2483"/>
      <c r="Q452" s="2483"/>
      <c r="R452" s="1988"/>
      <c r="S452" s="1988"/>
      <c r="T452" s="1988"/>
      <c r="U452" s="1988"/>
      <c r="V452" s="1988"/>
      <c r="W452" s="1988"/>
      <c r="X452" s="1988"/>
      <c r="Y452" s="1988"/>
      <c r="Z452" s="1988"/>
      <c r="AA452" s="2490"/>
      <c r="AB452" s="1988"/>
    </row>
    <row r="453" spans="4:28" s="1934" customFormat="1" ht="20.25" customHeight="1">
      <c r="D453" s="2488" t="s">
        <v>1883</v>
      </c>
      <c r="E453" s="2483"/>
      <c r="F453" s="2483"/>
      <c r="G453" s="2483"/>
      <c r="H453" s="2483"/>
      <c r="I453" s="2483"/>
      <c r="J453" s="2483"/>
      <c r="K453" s="2483"/>
      <c r="L453" s="2483"/>
      <c r="M453" s="2483" t="s">
        <v>3174</v>
      </c>
      <c r="N453" s="2483"/>
      <c r="O453" s="2483"/>
      <c r="P453" s="2483"/>
      <c r="Q453" s="2483"/>
      <c r="R453" s="1988"/>
      <c r="S453" s="1988"/>
      <c r="T453" s="1988"/>
      <c r="U453" s="1988"/>
      <c r="V453" s="1988"/>
      <c r="W453" s="1988"/>
      <c r="X453" s="1988"/>
      <c r="Y453" s="1988"/>
      <c r="Z453" s="1988"/>
      <c r="AA453" s="2490"/>
      <c r="AB453" s="1988"/>
    </row>
    <row r="454" spans="4:28" s="1934" customFormat="1" ht="20.25" customHeight="1">
      <c r="D454" s="2483"/>
      <c r="E454" s="2483"/>
      <c r="F454" s="2483"/>
      <c r="G454" s="2483"/>
      <c r="H454" s="2483"/>
      <c r="I454" s="2483"/>
      <c r="J454" s="2483"/>
      <c r="K454" s="2483"/>
      <c r="L454" s="2483"/>
      <c r="M454" s="2483" t="s">
        <v>5049</v>
      </c>
      <c r="N454" s="2483"/>
      <c r="O454" s="2483"/>
      <c r="P454" s="2483"/>
      <c r="Q454" s="2483"/>
      <c r="R454" s="1988"/>
      <c r="S454" s="1988"/>
      <c r="T454" s="1988"/>
      <c r="U454" s="1988"/>
      <c r="V454" s="1988"/>
      <c r="W454" s="1988"/>
      <c r="X454" s="1988"/>
      <c r="Y454" s="1988"/>
      <c r="Z454" s="1988"/>
      <c r="AA454" s="2490"/>
      <c r="AB454" s="1988"/>
    </row>
    <row r="455" spans="4:28" s="1934" customFormat="1" ht="20.25" customHeight="1">
      <c r="D455" s="2483"/>
      <c r="E455" s="2483"/>
      <c r="F455" s="2483"/>
      <c r="G455" s="2483"/>
      <c r="H455" s="2483"/>
      <c r="I455" s="2483"/>
      <c r="J455" s="2483"/>
      <c r="K455" s="2483"/>
      <c r="L455" s="2483"/>
      <c r="M455" s="2483" t="s">
        <v>3247</v>
      </c>
      <c r="N455" s="2483"/>
      <c r="O455" s="2483"/>
      <c r="P455" s="2483"/>
      <c r="Q455" s="2483"/>
      <c r="R455" s="1988"/>
      <c r="S455" s="1988"/>
      <c r="T455" s="1988"/>
      <c r="U455" s="1988"/>
      <c r="V455" s="1988"/>
      <c r="W455" s="1988"/>
      <c r="X455" s="1988"/>
      <c r="Y455" s="1988"/>
      <c r="Z455" s="1988"/>
      <c r="AA455" s="2490"/>
      <c r="AB455" s="1988"/>
    </row>
    <row r="456" spans="4:28" s="1934" customFormat="1" ht="20.25" customHeight="1">
      <c r="D456" s="2483"/>
      <c r="E456" s="2483"/>
      <c r="F456" s="2483"/>
      <c r="G456" s="2483"/>
      <c r="H456" s="2483"/>
      <c r="I456" s="2483"/>
      <c r="J456" s="2483"/>
      <c r="K456" s="2483"/>
      <c r="L456" s="2483"/>
      <c r="M456" s="2483" t="s">
        <v>5050</v>
      </c>
      <c r="N456" s="2483"/>
      <c r="O456" s="2483"/>
      <c r="P456" s="2483"/>
      <c r="Q456" s="2483"/>
      <c r="R456" s="1988"/>
      <c r="S456" s="1988"/>
      <c r="T456" s="1988"/>
      <c r="U456" s="1988"/>
      <c r="V456" s="1988"/>
      <c r="W456" s="1988"/>
      <c r="X456" s="1988"/>
      <c r="Y456" s="1988"/>
      <c r="Z456" s="1988"/>
      <c r="AA456" s="2490"/>
      <c r="AB456" s="1988"/>
    </row>
    <row r="457" spans="4:28" s="1934" customFormat="1" ht="20.25" customHeight="1">
      <c r="D457" s="2483"/>
      <c r="E457" s="2483"/>
      <c r="F457" s="2483"/>
      <c r="G457" s="2483"/>
      <c r="H457" s="2483"/>
      <c r="I457" s="2483"/>
      <c r="J457" s="2483"/>
      <c r="K457" s="2483"/>
      <c r="L457" s="2483"/>
      <c r="M457" s="2483" t="s">
        <v>5051</v>
      </c>
      <c r="N457" s="2483"/>
      <c r="O457" s="2483"/>
      <c r="P457" s="2483"/>
      <c r="Q457" s="2483"/>
      <c r="R457" s="1988"/>
      <c r="S457" s="1988"/>
      <c r="T457" s="1988"/>
      <c r="U457" s="1988"/>
      <c r="V457" s="1988"/>
      <c r="W457" s="1988"/>
      <c r="X457" s="1988"/>
      <c r="Y457" s="1988"/>
      <c r="Z457" s="1988"/>
      <c r="AA457" s="2490"/>
      <c r="AB457" s="1988"/>
    </row>
    <row r="458" spans="4:28" s="1934" customFormat="1" ht="20.25" customHeight="1">
      <c r="D458" s="2483"/>
      <c r="E458" s="2483"/>
      <c r="F458" s="2483"/>
      <c r="G458" s="2483"/>
      <c r="H458" s="2483"/>
      <c r="I458" s="2483"/>
      <c r="J458" s="2483"/>
      <c r="K458" s="2483"/>
      <c r="L458" s="2483"/>
      <c r="M458" s="2483" t="s">
        <v>5052</v>
      </c>
      <c r="N458" s="2483"/>
      <c r="O458" s="2483"/>
      <c r="P458" s="2483"/>
      <c r="Q458" s="2483"/>
      <c r="R458" s="1988"/>
      <c r="S458" s="1988"/>
      <c r="T458" s="1988"/>
      <c r="U458" s="1988"/>
      <c r="V458" s="1988"/>
      <c r="W458" s="1988"/>
      <c r="X458" s="1988"/>
      <c r="Y458" s="1988"/>
      <c r="Z458" s="1988"/>
      <c r="AA458" s="2490"/>
      <c r="AB458" s="1988"/>
    </row>
    <row r="459" spans="4:28" s="1934" customFormat="1" ht="20.25" customHeight="1">
      <c r="D459" s="2483"/>
      <c r="E459" s="2483"/>
      <c r="F459" s="2483"/>
      <c r="G459" s="2483"/>
      <c r="H459" s="2483"/>
      <c r="I459" s="2483"/>
      <c r="J459" s="2483"/>
      <c r="K459" s="2483"/>
      <c r="L459" s="2483"/>
      <c r="M459" s="2483" t="s">
        <v>5053</v>
      </c>
      <c r="N459" s="2483"/>
      <c r="O459" s="2483"/>
      <c r="P459" s="2483"/>
      <c r="Q459" s="2483"/>
      <c r="R459" s="1988"/>
      <c r="S459" s="1988"/>
      <c r="T459" s="1988"/>
      <c r="U459" s="1988"/>
      <c r="V459" s="1988"/>
      <c r="W459" s="1988"/>
      <c r="X459" s="1988"/>
      <c r="Y459" s="1988"/>
      <c r="Z459" s="1988"/>
      <c r="AA459" s="2490"/>
      <c r="AB459" s="1988"/>
    </row>
    <row r="460" spans="4:28" s="1934" customFormat="1" ht="20.25" customHeight="1">
      <c r="D460" s="2483"/>
      <c r="E460" s="2483"/>
      <c r="F460" s="2483"/>
      <c r="G460" s="2483"/>
      <c r="H460" s="2483"/>
      <c r="I460" s="2483"/>
      <c r="J460" s="2483"/>
      <c r="K460" s="2483"/>
      <c r="L460" s="2483"/>
      <c r="M460" s="2483"/>
      <c r="N460" s="2483"/>
      <c r="O460" s="2483"/>
      <c r="P460" s="2483"/>
      <c r="Q460" s="2483"/>
      <c r="R460" s="1988"/>
      <c r="S460" s="1988"/>
      <c r="T460" s="1988"/>
      <c r="U460" s="1988"/>
      <c r="V460" s="1988"/>
      <c r="W460" s="1988"/>
      <c r="X460" s="1988"/>
      <c r="Y460" s="1988"/>
      <c r="Z460" s="1988"/>
      <c r="AA460" s="2490"/>
      <c r="AB460" s="1988"/>
    </row>
    <row r="461" spans="4:28" s="1934" customFormat="1" ht="20.25" customHeight="1">
      <c r="D461" s="2483"/>
      <c r="E461" s="2483"/>
      <c r="F461" s="2483"/>
      <c r="G461" s="2483"/>
      <c r="H461" s="2483"/>
      <c r="I461" s="2483"/>
      <c r="J461" s="2483"/>
      <c r="K461" s="2483"/>
      <c r="L461" s="2483"/>
      <c r="M461" s="2483"/>
      <c r="N461" s="2483"/>
      <c r="O461" s="2483"/>
      <c r="P461" s="2483"/>
      <c r="Q461" s="2483"/>
      <c r="R461" s="1988"/>
      <c r="S461" s="1988"/>
      <c r="T461" s="1988"/>
      <c r="U461" s="1988"/>
      <c r="V461" s="1988"/>
      <c r="W461" s="1988"/>
      <c r="X461" s="1988"/>
      <c r="Y461" s="1988"/>
      <c r="Z461" s="1988"/>
      <c r="AA461" s="2490"/>
      <c r="AB461" s="1988"/>
    </row>
    <row r="462" spans="4:28" s="1934" customFormat="1" ht="20.25" customHeight="1">
      <c r="D462" s="2483"/>
      <c r="E462" s="2483"/>
      <c r="F462" s="2483"/>
      <c r="G462" s="2483"/>
      <c r="H462" s="2483"/>
      <c r="I462" s="2483"/>
      <c r="J462" s="2483"/>
      <c r="K462" s="2483"/>
      <c r="L462" s="2483"/>
      <c r="M462" s="2483"/>
      <c r="N462" s="2483"/>
      <c r="O462" s="2483"/>
      <c r="P462" s="2483"/>
      <c r="Q462" s="2483"/>
      <c r="R462" s="1988"/>
      <c r="S462" s="1988"/>
      <c r="T462" s="1988"/>
      <c r="U462" s="1988"/>
      <c r="V462" s="1988"/>
      <c r="W462" s="1988"/>
      <c r="X462" s="1988"/>
      <c r="Y462" s="1988"/>
      <c r="Z462" s="1988"/>
      <c r="AA462" s="2490"/>
      <c r="AB462" s="1988"/>
    </row>
    <row r="463" spans="4:28" s="1934" customFormat="1" ht="20.25" customHeight="1">
      <c r="D463" s="2483"/>
      <c r="E463" s="2483"/>
      <c r="F463" s="2483"/>
      <c r="G463" s="2483"/>
      <c r="H463" s="2483"/>
      <c r="I463" s="2483"/>
      <c r="J463" s="2483"/>
      <c r="K463" s="2483"/>
      <c r="L463" s="2483"/>
      <c r="M463" s="2483"/>
      <c r="N463" s="2483"/>
      <c r="O463" s="2483"/>
      <c r="P463" s="2483"/>
      <c r="Q463" s="2483"/>
      <c r="R463" s="1988"/>
      <c r="S463" s="1988"/>
      <c r="T463" s="1988"/>
      <c r="U463" s="1988"/>
      <c r="V463" s="1988"/>
      <c r="W463" s="1988"/>
      <c r="X463" s="1988"/>
      <c r="Y463" s="1988"/>
      <c r="Z463" s="1988"/>
      <c r="AA463" s="2490"/>
      <c r="AB463" s="1988"/>
    </row>
    <row r="464" spans="4:28" s="1934" customFormat="1" ht="20.25" customHeight="1">
      <c r="D464" s="2483"/>
      <c r="E464" s="2483"/>
      <c r="F464" s="2483"/>
      <c r="G464" s="2483"/>
      <c r="H464" s="2483"/>
      <c r="I464" s="2483"/>
      <c r="J464" s="2483"/>
      <c r="K464" s="2483"/>
      <c r="L464" s="2483"/>
      <c r="M464" s="2483"/>
      <c r="N464" s="2483"/>
      <c r="O464" s="2483"/>
      <c r="P464" s="2483"/>
      <c r="Q464" s="2483"/>
      <c r="R464" s="1988"/>
      <c r="S464" s="1988"/>
      <c r="T464" s="1988"/>
      <c r="U464" s="1988"/>
      <c r="V464" s="1988"/>
      <c r="W464" s="1988"/>
      <c r="X464" s="1988"/>
      <c r="Y464" s="1988"/>
      <c r="Z464" s="1988"/>
      <c r="AA464" s="2490"/>
      <c r="AB464" s="1988"/>
    </row>
    <row r="465" spans="4:28" s="1934" customFormat="1" ht="20.25" customHeight="1">
      <c r="D465" s="2483"/>
      <c r="E465" s="2483"/>
      <c r="F465" s="2483"/>
      <c r="G465" s="2483"/>
      <c r="H465" s="2483"/>
      <c r="I465" s="2483"/>
      <c r="J465" s="2483"/>
      <c r="K465" s="2483"/>
      <c r="L465" s="2483"/>
      <c r="M465" s="2483"/>
      <c r="N465" s="2483"/>
      <c r="O465" s="2483"/>
      <c r="P465" s="2483"/>
      <c r="Q465" s="2483"/>
      <c r="R465" s="1988"/>
      <c r="S465" s="1988"/>
      <c r="T465" s="1988"/>
      <c r="U465" s="1988"/>
      <c r="V465" s="1988"/>
      <c r="W465" s="1988"/>
      <c r="X465" s="1988"/>
      <c r="Y465" s="1988"/>
      <c r="Z465" s="1988"/>
      <c r="AA465" s="2490"/>
      <c r="AB465" s="1988"/>
    </row>
    <row r="466" spans="4:28" s="1934" customFormat="1" ht="20.25" customHeight="1">
      <c r="D466" s="2483"/>
      <c r="E466" s="2483"/>
      <c r="F466" s="2483"/>
      <c r="G466" s="2483"/>
      <c r="H466" s="2483"/>
      <c r="I466" s="2483"/>
      <c r="J466" s="2483"/>
      <c r="K466" s="2483"/>
      <c r="L466" s="2483"/>
      <c r="M466" s="2483"/>
      <c r="N466" s="2483"/>
      <c r="O466" s="2483"/>
      <c r="P466" s="2483"/>
      <c r="Q466" s="2483"/>
      <c r="R466" s="1988"/>
      <c r="S466" s="1988"/>
      <c r="T466" s="1988"/>
      <c r="U466" s="1988"/>
      <c r="V466" s="1988"/>
      <c r="W466" s="1988"/>
      <c r="X466" s="1988"/>
      <c r="Y466" s="1988"/>
      <c r="Z466" s="1988"/>
      <c r="AA466" s="2490"/>
      <c r="AB466" s="1988"/>
    </row>
    <row r="467" spans="4:28" s="1934" customFormat="1" ht="20.25" customHeight="1">
      <c r="D467" s="2483"/>
      <c r="E467" s="2483"/>
      <c r="F467" s="2483"/>
      <c r="G467" s="2483"/>
      <c r="H467" s="2483"/>
      <c r="I467" s="2483"/>
      <c r="J467" s="2483"/>
      <c r="K467" s="2483"/>
      <c r="L467" s="2483"/>
      <c r="M467" s="2483"/>
      <c r="N467" s="2483"/>
      <c r="O467" s="2483"/>
      <c r="P467" s="2483"/>
      <c r="Q467" s="2483"/>
      <c r="R467" s="1988"/>
      <c r="S467" s="1988"/>
      <c r="T467" s="1988"/>
      <c r="U467" s="1988"/>
      <c r="V467" s="1988"/>
      <c r="W467" s="1988"/>
      <c r="X467" s="1988"/>
      <c r="Y467" s="1988"/>
      <c r="Z467" s="1988"/>
      <c r="AA467" s="2490"/>
      <c r="AB467" s="1988"/>
    </row>
    <row r="468" spans="4:28" s="1934" customFormat="1" ht="20.25" customHeight="1">
      <c r="D468" s="2483"/>
      <c r="E468" s="2483"/>
      <c r="F468" s="2483"/>
      <c r="G468" s="2483"/>
      <c r="H468" s="2483"/>
      <c r="I468" s="2483"/>
      <c r="J468" s="2483"/>
      <c r="K468" s="2483"/>
      <c r="L468" s="2483"/>
      <c r="M468" s="2483"/>
      <c r="N468" s="2483"/>
      <c r="O468" s="2483"/>
      <c r="P468" s="2483"/>
      <c r="Q468" s="2483"/>
      <c r="R468" s="1988"/>
      <c r="S468" s="1988"/>
      <c r="T468" s="1988"/>
      <c r="U468" s="1988"/>
      <c r="V468" s="1988"/>
      <c r="W468" s="1988"/>
      <c r="X468" s="1988"/>
      <c r="Y468" s="1988"/>
      <c r="Z468" s="1988"/>
      <c r="AA468" s="2490"/>
      <c r="AB468" s="1988"/>
    </row>
    <row r="469" spans="4:28" s="1934" customFormat="1" ht="20.25" customHeight="1">
      <c r="D469" s="2483"/>
      <c r="E469" s="2483"/>
      <c r="F469" s="2483"/>
      <c r="G469" s="2483"/>
      <c r="H469" s="2483"/>
      <c r="I469" s="2483"/>
      <c r="J469" s="2483"/>
      <c r="K469" s="2483"/>
      <c r="L469" s="2483"/>
      <c r="M469" s="2483"/>
      <c r="N469" s="2483"/>
      <c r="O469" s="2483"/>
      <c r="P469" s="2483"/>
      <c r="Q469" s="2483"/>
      <c r="R469" s="1988"/>
      <c r="S469" s="1988"/>
      <c r="T469" s="1988"/>
      <c r="U469" s="1988"/>
      <c r="V469" s="1988"/>
      <c r="W469" s="1988"/>
      <c r="X469" s="1988"/>
      <c r="Y469" s="1988"/>
      <c r="Z469" s="1988"/>
      <c r="AA469" s="2490"/>
      <c r="AB469" s="1988"/>
    </row>
    <row r="470" spans="4:28" s="1934" customFormat="1" ht="20.25" customHeight="1">
      <c r="D470" s="2483"/>
      <c r="E470" s="2483"/>
      <c r="F470" s="2483"/>
      <c r="G470" s="2483"/>
      <c r="H470" s="2483"/>
      <c r="I470" s="2483"/>
      <c r="J470" s="2483"/>
      <c r="K470" s="2483"/>
      <c r="L470" s="2483"/>
      <c r="M470" s="2483"/>
      <c r="N470" s="2483"/>
      <c r="O470" s="2483"/>
      <c r="P470" s="2483"/>
      <c r="Q470" s="2483"/>
      <c r="R470" s="1988"/>
      <c r="S470" s="1988"/>
      <c r="T470" s="1988"/>
      <c r="U470" s="1988"/>
      <c r="V470" s="1988"/>
      <c r="W470" s="1988"/>
      <c r="X470" s="1988"/>
      <c r="Y470" s="1988"/>
      <c r="Z470" s="1988"/>
      <c r="AA470" s="2490"/>
      <c r="AB470" s="1988"/>
    </row>
    <row r="471" spans="4:28" s="1934" customFormat="1" ht="20.25" customHeight="1">
      <c r="D471" s="2483"/>
      <c r="E471" s="2483"/>
      <c r="F471" s="2483"/>
      <c r="G471" s="2483"/>
      <c r="H471" s="2483"/>
      <c r="I471" s="2483"/>
      <c r="J471" s="2483"/>
      <c r="K471" s="2483"/>
      <c r="L471" s="2483"/>
      <c r="M471" s="2483"/>
      <c r="N471" s="2483"/>
      <c r="O471" s="2483"/>
      <c r="P471" s="2483"/>
      <c r="Q471" s="2483"/>
      <c r="R471" s="1988"/>
      <c r="S471" s="1988"/>
      <c r="T471" s="1988"/>
      <c r="U471" s="1988"/>
      <c r="V471" s="1988"/>
      <c r="W471" s="1988"/>
      <c r="X471" s="1988"/>
      <c r="Y471" s="1988"/>
      <c r="Z471" s="1988"/>
      <c r="AA471" s="2490"/>
      <c r="AB471" s="1988"/>
    </row>
    <row r="472" spans="4:28" s="1934" customFormat="1" ht="20.25" customHeight="1">
      <c r="D472" s="2483"/>
      <c r="E472" s="2483"/>
      <c r="F472" s="2483"/>
      <c r="G472" s="2483"/>
      <c r="H472" s="2483"/>
      <c r="I472" s="2483"/>
      <c r="J472" s="2483"/>
      <c r="K472" s="2483"/>
      <c r="L472" s="2483"/>
      <c r="M472" s="2483"/>
      <c r="N472" s="2483"/>
      <c r="O472" s="2483"/>
      <c r="P472" s="2483"/>
      <c r="Q472" s="2483"/>
      <c r="R472" s="1988"/>
      <c r="S472" s="1988"/>
      <c r="T472" s="1988"/>
      <c r="U472" s="1988"/>
      <c r="V472" s="1988"/>
      <c r="W472" s="1988"/>
      <c r="X472" s="1988"/>
      <c r="Y472" s="1988"/>
      <c r="Z472" s="1988"/>
      <c r="AA472" s="2490"/>
      <c r="AB472" s="1988"/>
    </row>
    <row r="473" spans="4:28" s="1934" customFormat="1" ht="20.25" customHeight="1">
      <c r="D473" s="2483"/>
      <c r="E473" s="2483"/>
      <c r="F473" s="2483"/>
      <c r="G473" s="2483"/>
      <c r="H473" s="2483"/>
      <c r="I473" s="2483"/>
      <c r="J473" s="2483"/>
      <c r="K473" s="2483"/>
      <c r="L473" s="2483"/>
      <c r="M473" s="2483"/>
      <c r="N473" s="2483"/>
      <c r="O473" s="2483"/>
      <c r="P473" s="2483"/>
      <c r="Q473" s="2483"/>
      <c r="R473" s="1988"/>
      <c r="S473" s="1988"/>
      <c r="T473" s="1988"/>
      <c r="U473" s="1988"/>
      <c r="V473" s="1988"/>
      <c r="W473" s="1988"/>
      <c r="X473" s="1988"/>
      <c r="Y473" s="1988"/>
      <c r="Z473" s="1988"/>
      <c r="AA473" s="2490"/>
      <c r="AB473" s="1988"/>
    </row>
    <row r="474" spans="4:28" s="1934" customFormat="1" ht="20.25" customHeight="1">
      <c r="D474" s="2483"/>
      <c r="E474" s="2483"/>
      <c r="F474" s="2483"/>
      <c r="G474" s="2483"/>
      <c r="H474" s="2483"/>
      <c r="I474" s="2483"/>
      <c r="J474" s="2483"/>
      <c r="K474" s="2483"/>
      <c r="L474" s="2483"/>
      <c r="M474" s="2483"/>
      <c r="N474" s="2483"/>
      <c r="O474" s="2483"/>
      <c r="P474" s="2483"/>
      <c r="Q474" s="2483"/>
      <c r="R474" s="1988"/>
      <c r="S474" s="1988"/>
      <c r="T474" s="1988"/>
      <c r="U474" s="1988"/>
      <c r="V474" s="1988"/>
      <c r="W474" s="1988"/>
      <c r="X474" s="1988"/>
      <c r="Y474" s="1988"/>
      <c r="Z474" s="1988"/>
      <c r="AA474" s="2490"/>
      <c r="AB474" s="1988"/>
    </row>
    <row r="475" spans="4:28" s="1934" customFormat="1" ht="20.25" customHeight="1">
      <c r="D475" s="2483"/>
      <c r="E475" s="2483"/>
      <c r="F475" s="2483"/>
      <c r="G475" s="2483"/>
      <c r="H475" s="2483"/>
      <c r="I475" s="2483"/>
      <c r="J475" s="2483"/>
      <c r="K475" s="2483"/>
      <c r="L475" s="2483"/>
      <c r="M475" s="2483"/>
      <c r="N475" s="2483"/>
      <c r="O475" s="2483"/>
      <c r="P475" s="2483"/>
      <c r="Q475" s="2483"/>
      <c r="R475" s="1988"/>
      <c r="S475" s="1988"/>
      <c r="T475" s="1988"/>
      <c r="U475" s="1988"/>
      <c r="V475" s="1988"/>
      <c r="W475" s="1988"/>
      <c r="X475" s="1988"/>
      <c r="Y475" s="1988"/>
      <c r="Z475" s="1988"/>
      <c r="AA475" s="2490"/>
      <c r="AB475" s="1988"/>
    </row>
    <row r="476" spans="4:28" s="1934" customFormat="1" ht="20.25" customHeight="1">
      <c r="D476" s="2483"/>
      <c r="E476" s="2483"/>
      <c r="F476" s="2483"/>
      <c r="G476" s="2483"/>
      <c r="H476" s="2483"/>
      <c r="I476" s="2483"/>
      <c r="J476" s="2483"/>
      <c r="K476" s="2483"/>
      <c r="L476" s="2483"/>
      <c r="M476" s="2483"/>
      <c r="N476" s="2483"/>
      <c r="O476" s="2483"/>
      <c r="P476" s="2483"/>
      <c r="Q476" s="2483"/>
      <c r="R476" s="1988"/>
      <c r="S476" s="1988"/>
      <c r="T476" s="1988"/>
      <c r="U476" s="1988"/>
      <c r="V476" s="1988"/>
      <c r="W476" s="1988"/>
      <c r="X476" s="1988"/>
      <c r="Y476" s="1988"/>
      <c r="Z476" s="1988"/>
      <c r="AA476" s="2490"/>
      <c r="AB476" s="1988"/>
    </row>
    <row r="477" spans="4:28" s="1934" customFormat="1" ht="20.25" customHeight="1">
      <c r="D477" s="2483"/>
      <c r="E477" s="2483"/>
      <c r="F477" s="2483"/>
      <c r="G477" s="2483"/>
      <c r="H477" s="2483"/>
      <c r="I477" s="2483"/>
      <c r="J477" s="2483"/>
      <c r="K477" s="2483"/>
      <c r="L477" s="2483"/>
      <c r="M477" s="2483"/>
      <c r="N477" s="2483"/>
      <c r="O477" s="2483"/>
      <c r="P477" s="2483"/>
      <c r="Q477" s="2483"/>
      <c r="R477" s="1988"/>
      <c r="S477" s="1988"/>
      <c r="T477" s="1988"/>
      <c r="U477" s="1988"/>
      <c r="V477" s="1988"/>
      <c r="W477" s="1988"/>
      <c r="X477" s="1988"/>
      <c r="Y477" s="1988"/>
      <c r="Z477" s="1988"/>
      <c r="AA477" s="2490"/>
      <c r="AB477" s="1988"/>
    </row>
    <row r="478" spans="4:28" s="1934" customFormat="1" ht="20.25" customHeight="1">
      <c r="D478" s="2483"/>
      <c r="E478" s="2483"/>
      <c r="F478" s="2483"/>
      <c r="G478" s="2483"/>
      <c r="H478" s="2483"/>
      <c r="I478" s="2483"/>
      <c r="J478" s="2483"/>
      <c r="K478" s="2483"/>
      <c r="L478" s="2483"/>
      <c r="M478" s="2483"/>
      <c r="N478" s="2483"/>
      <c r="O478" s="2483"/>
      <c r="P478" s="2483"/>
      <c r="Q478" s="2483"/>
      <c r="R478" s="1988"/>
      <c r="S478" s="1988"/>
      <c r="T478" s="1988"/>
      <c r="U478" s="1988"/>
      <c r="V478" s="1988"/>
      <c r="W478" s="1988"/>
      <c r="X478" s="1988"/>
      <c r="Y478" s="1988"/>
      <c r="Z478" s="1988"/>
      <c r="AA478" s="2490"/>
      <c r="AB478" s="1988"/>
    </row>
    <row r="479" spans="4:28" s="1934" customFormat="1" ht="20.25" customHeight="1">
      <c r="D479" s="2483"/>
      <c r="E479" s="2483"/>
      <c r="F479" s="2483"/>
      <c r="G479" s="2483"/>
      <c r="H479" s="2483"/>
      <c r="I479" s="2483"/>
      <c r="J479" s="2483"/>
      <c r="K479" s="2483"/>
      <c r="L479" s="2483"/>
      <c r="M479" s="2483"/>
      <c r="N479" s="2483"/>
      <c r="O479" s="2483"/>
      <c r="P479" s="2483"/>
      <c r="Q479" s="2483"/>
      <c r="R479" s="1988"/>
      <c r="S479" s="1988"/>
      <c r="T479" s="1988"/>
      <c r="U479" s="1988"/>
      <c r="V479" s="1988"/>
      <c r="W479" s="1988"/>
      <c r="X479" s="1988"/>
      <c r="Y479" s="1988"/>
      <c r="Z479" s="1988"/>
      <c r="AA479" s="2490"/>
      <c r="AB479" s="1988"/>
    </row>
    <row r="480" spans="4:28" s="1934" customFormat="1" ht="20.25" customHeight="1">
      <c r="D480" s="2483"/>
      <c r="E480" s="2483"/>
      <c r="F480" s="2483"/>
      <c r="G480" s="2483"/>
      <c r="H480" s="2483"/>
      <c r="I480" s="2483"/>
      <c r="J480" s="2483"/>
      <c r="K480" s="2483"/>
      <c r="L480" s="2483"/>
      <c r="M480" s="2483"/>
      <c r="N480" s="2483"/>
      <c r="O480" s="2483"/>
      <c r="P480" s="2483"/>
      <c r="Q480" s="2483"/>
      <c r="R480" s="1988"/>
      <c r="S480" s="1988"/>
      <c r="T480" s="1988"/>
      <c r="U480" s="1988"/>
      <c r="V480" s="1988"/>
      <c r="W480" s="1988"/>
      <c r="X480" s="1988"/>
      <c r="Y480" s="1988"/>
      <c r="Z480" s="1988"/>
      <c r="AA480" s="2490"/>
      <c r="AB480" s="1988"/>
    </row>
    <row r="481" spans="4:28" s="1934" customFormat="1" ht="20.25" customHeight="1">
      <c r="D481" s="2483"/>
      <c r="E481" s="2483"/>
      <c r="F481" s="2483"/>
      <c r="G481" s="2483"/>
      <c r="H481" s="2483"/>
      <c r="I481" s="2483"/>
      <c r="J481" s="2483"/>
      <c r="K481" s="2483"/>
      <c r="L481" s="2483"/>
      <c r="M481" s="2483"/>
      <c r="N481" s="2483"/>
      <c r="O481" s="2483"/>
      <c r="P481" s="2483"/>
      <c r="Q481" s="2483"/>
      <c r="R481" s="1988"/>
      <c r="S481" s="1988"/>
      <c r="T481" s="1988"/>
      <c r="U481" s="1988"/>
      <c r="V481" s="1988"/>
      <c r="W481" s="1988"/>
      <c r="X481" s="1988"/>
      <c r="Y481" s="1988"/>
      <c r="Z481" s="1988"/>
      <c r="AA481" s="2490"/>
      <c r="AB481" s="1988"/>
    </row>
    <row r="482" spans="4:28" s="1934" customFormat="1" ht="20.25" customHeight="1">
      <c r="D482" s="2483"/>
      <c r="E482" s="2483"/>
      <c r="F482" s="2483"/>
      <c r="G482" s="2483"/>
      <c r="H482" s="2483"/>
      <c r="I482" s="2483"/>
      <c r="J482" s="2483"/>
      <c r="K482" s="2483"/>
      <c r="L482" s="2483"/>
      <c r="M482" s="2483"/>
      <c r="N482" s="2483"/>
      <c r="O482" s="2483"/>
      <c r="P482" s="2483"/>
      <c r="Q482" s="2483"/>
      <c r="R482" s="1988"/>
      <c r="S482" s="1988"/>
      <c r="T482" s="1988"/>
      <c r="U482" s="1988"/>
      <c r="V482" s="1988"/>
      <c r="W482" s="1988"/>
      <c r="X482" s="1988"/>
      <c r="Y482" s="1988"/>
      <c r="Z482" s="1988"/>
      <c r="AA482" s="2490"/>
      <c r="AB482" s="1988"/>
    </row>
    <row r="483" spans="4:28" s="1934" customFormat="1" ht="20.25" customHeight="1">
      <c r="D483" s="2483"/>
      <c r="E483" s="2483"/>
      <c r="F483" s="2483"/>
      <c r="G483" s="2483"/>
      <c r="H483" s="2483"/>
      <c r="I483" s="2483"/>
      <c r="J483" s="2483"/>
      <c r="K483" s="2483"/>
      <c r="L483" s="2483"/>
      <c r="M483" s="2483"/>
      <c r="N483" s="2483"/>
      <c r="O483" s="2483"/>
      <c r="P483" s="2483"/>
      <c r="Q483" s="2483"/>
      <c r="R483" s="1988"/>
      <c r="S483" s="1988"/>
      <c r="T483" s="1988"/>
      <c r="U483" s="1988"/>
      <c r="V483" s="1988"/>
      <c r="W483" s="1988"/>
      <c r="X483" s="1988"/>
      <c r="Y483" s="1988"/>
      <c r="Z483" s="1988"/>
      <c r="AA483" s="2490"/>
      <c r="AB483" s="1988"/>
    </row>
    <row r="484" spans="4:28" s="1934" customFormat="1" ht="20.25" customHeight="1">
      <c r="D484" s="2483"/>
      <c r="E484" s="2483"/>
      <c r="F484" s="2483"/>
      <c r="G484" s="2483"/>
      <c r="H484" s="2483"/>
      <c r="I484" s="2483"/>
      <c r="J484" s="2483"/>
      <c r="K484" s="2483"/>
      <c r="L484" s="2483"/>
      <c r="M484" s="2483"/>
      <c r="N484" s="2483"/>
      <c r="O484" s="2483"/>
      <c r="P484" s="2483"/>
      <c r="Q484" s="2483"/>
      <c r="R484" s="1988"/>
      <c r="S484" s="1988"/>
      <c r="T484" s="1988"/>
      <c r="U484" s="1988"/>
      <c r="V484" s="1988"/>
      <c r="W484" s="1988"/>
      <c r="X484" s="1988"/>
      <c r="Y484" s="1988"/>
      <c r="Z484" s="1988"/>
      <c r="AA484" s="2490"/>
      <c r="AB484" s="1988"/>
    </row>
    <row r="485" spans="4:28" s="1934" customFormat="1" ht="20.25" customHeight="1">
      <c r="D485" s="2483"/>
      <c r="E485" s="2483"/>
      <c r="F485" s="2483"/>
      <c r="G485" s="2483"/>
      <c r="H485" s="2483"/>
      <c r="I485" s="2483"/>
      <c r="J485" s="2483"/>
      <c r="K485" s="2483"/>
      <c r="L485" s="2483"/>
      <c r="M485" s="2483"/>
      <c r="N485" s="2483"/>
      <c r="O485" s="2483"/>
      <c r="P485" s="2483"/>
      <c r="Q485" s="2483"/>
      <c r="R485" s="1988"/>
      <c r="S485" s="1988"/>
      <c r="T485" s="1988"/>
      <c r="U485" s="1988"/>
      <c r="V485" s="1988"/>
      <c r="W485" s="1988"/>
      <c r="X485" s="1988"/>
      <c r="Y485" s="1988"/>
      <c r="Z485" s="1988"/>
      <c r="AA485" s="2490"/>
      <c r="AB485" s="1988"/>
    </row>
    <row r="486" spans="4:28" s="1934" customFormat="1" ht="20.25" customHeight="1">
      <c r="D486" s="2483"/>
      <c r="E486" s="2483"/>
      <c r="F486" s="2483"/>
      <c r="G486" s="2483"/>
      <c r="H486" s="2483"/>
      <c r="I486" s="2483"/>
      <c r="J486" s="2483"/>
      <c r="K486" s="2483"/>
      <c r="L486" s="2483"/>
      <c r="M486" s="2483"/>
      <c r="N486" s="2483"/>
      <c r="O486" s="2483"/>
      <c r="P486" s="2483"/>
      <c r="Q486" s="2483"/>
      <c r="R486" s="1988"/>
      <c r="S486" s="1988"/>
      <c r="T486" s="1988"/>
      <c r="U486" s="1988"/>
      <c r="V486" s="1988"/>
      <c r="W486" s="1988"/>
      <c r="X486" s="1988"/>
      <c r="Y486" s="1988"/>
      <c r="Z486" s="1988"/>
      <c r="AA486" s="2490"/>
      <c r="AB486" s="1988"/>
    </row>
    <row r="487" spans="4:28" s="1934" customFormat="1" ht="20.25" customHeight="1">
      <c r="D487" s="2483"/>
      <c r="E487" s="2483"/>
      <c r="F487" s="2483"/>
      <c r="G487" s="2483"/>
      <c r="H487" s="2483"/>
      <c r="I487" s="2483"/>
      <c r="J487" s="2483"/>
      <c r="K487" s="2483"/>
      <c r="L487" s="2483"/>
      <c r="M487" s="2483"/>
      <c r="N487" s="2483"/>
      <c r="O487" s="2483"/>
      <c r="P487" s="2483"/>
      <c r="Q487" s="2483"/>
      <c r="R487" s="1988"/>
      <c r="S487" s="1988"/>
      <c r="T487" s="1988"/>
      <c r="U487" s="1988"/>
      <c r="V487" s="1988"/>
      <c r="W487" s="1988"/>
      <c r="X487" s="1988"/>
      <c r="Y487" s="1988"/>
      <c r="Z487" s="1988"/>
      <c r="AA487" s="2490"/>
      <c r="AB487" s="1988"/>
    </row>
    <row r="488" spans="4:28" s="1934" customFormat="1" ht="20.25" customHeight="1">
      <c r="D488" s="2483"/>
      <c r="E488" s="2483"/>
      <c r="F488" s="2483"/>
      <c r="G488" s="2483"/>
      <c r="H488" s="2483"/>
      <c r="I488" s="2483"/>
      <c r="J488" s="2483"/>
      <c r="K488" s="2483"/>
      <c r="L488" s="2483"/>
      <c r="M488" s="2483"/>
      <c r="N488" s="2483"/>
      <c r="O488" s="2483"/>
      <c r="P488" s="2483"/>
      <c r="Q488" s="2483"/>
      <c r="R488" s="1988"/>
      <c r="S488" s="1988"/>
      <c r="T488" s="1988"/>
      <c r="U488" s="1988"/>
      <c r="V488" s="1988"/>
      <c r="W488" s="1988"/>
      <c r="X488" s="1988"/>
      <c r="Y488" s="1988"/>
      <c r="Z488" s="1988"/>
      <c r="AA488" s="2490"/>
      <c r="AB488" s="1988"/>
    </row>
    <row r="489" spans="4:28" s="1934" customFormat="1" ht="20.25" customHeight="1">
      <c r="D489" s="2483"/>
      <c r="E489" s="2483"/>
      <c r="F489" s="2483"/>
      <c r="G489" s="2483"/>
      <c r="H489" s="2483"/>
      <c r="I489" s="2483"/>
      <c r="J489" s="2483"/>
      <c r="K489" s="2483"/>
      <c r="L489" s="2483"/>
      <c r="M489" s="2483"/>
      <c r="N489" s="2483"/>
      <c r="O489" s="2483"/>
      <c r="P489" s="2483"/>
      <c r="Q489" s="2483"/>
      <c r="R489" s="1988"/>
      <c r="S489" s="1988"/>
      <c r="T489" s="1988"/>
      <c r="U489" s="1988"/>
      <c r="V489" s="1988"/>
      <c r="W489" s="1988"/>
      <c r="X489" s="1988"/>
      <c r="Y489" s="1988"/>
      <c r="Z489" s="1988"/>
      <c r="AA489" s="2490"/>
      <c r="AB489" s="1988"/>
    </row>
    <row r="490" spans="4:28" s="1934" customFormat="1" ht="20.25" customHeight="1">
      <c r="D490" s="2483"/>
      <c r="E490" s="2483"/>
      <c r="F490" s="2483"/>
      <c r="G490" s="2483"/>
      <c r="H490" s="2483"/>
      <c r="I490" s="2483"/>
      <c r="J490" s="2483"/>
      <c r="K490" s="2483"/>
      <c r="L490" s="2483"/>
      <c r="M490" s="2483"/>
      <c r="N490" s="2483"/>
      <c r="O490" s="2483"/>
      <c r="P490" s="2483"/>
      <c r="Q490" s="2483"/>
      <c r="R490" s="1988"/>
      <c r="S490" s="1988"/>
      <c r="T490" s="1988"/>
      <c r="U490" s="1988"/>
      <c r="V490" s="1988"/>
      <c r="W490" s="1988"/>
      <c r="X490" s="1988"/>
      <c r="Y490" s="1988"/>
      <c r="Z490" s="1988"/>
      <c r="AA490" s="2490"/>
      <c r="AB490" s="1988"/>
    </row>
    <row r="491" spans="4:28" s="1934" customFormat="1" ht="20.25" customHeight="1">
      <c r="D491" s="2483"/>
      <c r="E491" s="2483"/>
      <c r="F491" s="2483"/>
      <c r="G491" s="2483"/>
      <c r="H491" s="2483"/>
      <c r="I491" s="2483"/>
      <c r="J491" s="2483"/>
      <c r="K491" s="2483"/>
      <c r="L491" s="2483"/>
      <c r="M491" s="2483"/>
      <c r="N491" s="2483"/>
      <c r="O491" s="2483"/>
      <c r="P491" s="2483"/>
      <c r="Q491" s="2483"/>
      <c r="R491" s="1988"/>
      <c r="S491" s="1988"/>
      <c r="T491" s="1988"/>
      <c r="U491" s="1988"/>
      <c r="V491" s="1988"/>
      <c r="W491" s="1988"/>
      <c r="X491" s="1988"/>
      <c r="Y491" s="1988"/>
      <c r="Z491" s="1988"/>
      <c r="AA491" s="2490"/>
      <c r="AB491" s="1988"/>
    </row>
    <row r="492" spans="4:28" s="1934" customFormat="1" ht="20.25" customHeight="1">
      <c r="D492" s="2483"/>
      <c r="E492" s="2483"/>
      <c r="F492" s="2483"/>
      <c r="G492" s="2483"/>
      <c r="H492" s="2483"/>
      <c r="I492" s="2483"/>
      <c r="J492" s="2483"/>
      <c r="K492" s="2483"/>
      <c r="L492" s="2483"/>
      <c r="M492" s="2483"/>
      <c r="N492" s="2483"/>
      <c r="O492" s="2483"/>
      <c r="P492" s="2483"/>
      <c r="Q492" s="2483"/>
      <c r="R492" s="1988"/>
      <c r="S492" s="1988"/>
      <c r="T492" s="1988"/>
      <c r="U492" s="1988"/>
      <c r="V492" s="1988"/>
      <c r="W492" s="1988"/>
      <c r="X492" s="1988"/>
      <c r="Y492" s="1988"/>
      <c r="Z492" s="1988"/>
      <c r="AA492" s="2490"/>
      <c r="AB492" s="1988"/>
    </row>
    <row r="493" spans="4:28" s="1934" customFormat="1" ht="20.25" customHeight="1">
      <c r="D493" s="2483"/>
      <c r="E493" s="2483"/>
      <c r="F493" s="2483"/>
      <c r="G493" s="2483"/>
      <c r="H493" s="2483"/>
      <c r="I493" s="2483"/>
      <c r="J493" s="2483"/>
      <c r="K493" s="2483"/>
      <c r="L493" s="2483"/>
      <c r="M493" s="2483"/>
      <c r="N493" s="2483"/>
      <c r="O493" s="2483"/>
      <c r="P493" s="2483"/>
      <c r="Q493" s="2483"/>
      <c r="R493" s="1988"/>
      <c r="S493" s="1988"/>
      <c r="T493" s="1988"/>
      <c r="U493" s="1988"/>
      <c r="V493" s="1988"/>
      <c r="W493" s="1988"/>
      <c r="X493" s="1988"/>
      <c r="Y493" s="1988"/>
      <c r="Z493" s="1988"/>
      <c r="AA493" s="2490"/>
      <c r="AB493" s="1988"/>
    </row>
    <row r="494" spans="4:28" s="1934" customFormat="1" ht="20.25" customHeight="1">
      <c r="D494" s="2483"/>
      <c r="E494" s="2483"/>
      <c r="F494" s="2483"/>
      <c r="G494" s="2483"/>
      <c r="H494" s="2483"/>
      <c r="I494" s="2483"/>
      <c r="J494" s="2483"/>
      <c r="K494" s="2483"/>
      <c r="L494" s="2483"/>
      <c r="M494" s="2483"/>
      <c r="N494" s="2483"/>
      <c r="O494" s="2483"/>
      <c r="P494" s="2483"/>
      <c r="Q494" s="2483"/>
      <c r="R494" s="1988"/>
      <c r="S494" s="1988"/>
      <c r="T494" s="1988"/>
      <c r="U494" s="1988"/>
      <c r="V494" s="1988"/>
      <c r="W494" s="1988"/>
      <c r="X494" s="1988"/>
      <c r="Y494" s="1988"/>
      <c r="Z494" s="1988"/>
      <c r="AA494" s="2490"/>
      <c r="AB494" s="1988"/>
    </row>
    <row r="495" spans="4:28" s="1934" customFormat="1" ht="20.25" customHeight="1">
      <c r="R495" s="1988"/>
      <c r="S495" s="1988"/>
      <c r="T495" s="1988"/>
      <c r="U495" s="1988"/>
      <c r="V495" s="1988"/>
      <c r="W495" s="1988"/>
      <c r="X495" s="1988"/>
      <c r="Y495" s="1988"/>
      <c r="Z495" s="1988"/>
      <c r="AA495" s="2490"/>
      <c r="AB495" s="1988"/>
    </row>
    <row r="496" spans="4:28" s="1934" customFormat="1" ht="20.25" customHeight="1">
      <c r="R496" s="1988"/>
      <c r="S496" s="1988"/>
      <c r="T496" s="1988"/>
      <c r="U496" s="1988"/>
      <c r="V496" s="1988"/>
      <c r="W496" s="1988"/>
      <c r="X496" s="1988"/>
      <c r="Y496" s="1988"/>
      <c r="Z496" s="1988"/>
      <c r="AA496" s="2490"/>
      <c r="AB496" s="1988"/>
    </row>
    <row r="497" spans="18:28" s="1934" customFormat="1" ht="20.25" customHeight="1">
      <c r="R497" s="1988"/>
      <c r="S497" s="1988"/>
      <c r="T497" s="1988"/>
      <c r="U497" s="1988"/>
      <c r="V497" s="1988"/>
      <c r="W497" s="1988"/>
      <c r="X497" s="1988"/>
      <c r="Y497" s="1988"/>
      <c r="Z497" s="1988"/>
      <c r="AA497" s="2490"/>
      <c r="AB497" s="1988"/>
    </row>
    <row r="498" spans="18:28" s="1934" customFormat="1" ht="20.25" customHeight="1">
      <c r="R498" s="1988"/>
      <c r="S498" s="1988"/>
      <c r="T498" s="1988"/>
      <c r="U498" s="1988"/>
      <c r="V498" s="1988"/>
      <c r="W498" s="1988"/>
      <c r="X498" s="1988"/>
      <c r="Y498" s="1988"/>
      <c r="Z498" s="1988"/>
      <c r="AA498" s="2490"/>
      <c r="AB498" s="1988"/>
    </row>
    <row r="499" spans="18:28" s="1934" customFormat="1" ht="20.25" customHeight="1">
      <c r="R499" s="1988"/>
      <c r="S499" s="1988"/>
      <c r="T499" s="1988"/>
      <c r="U499" s="1988"/>
      <c r="V499" s="1988"/>
      <c r="W499" s="1988"/>
      <c r="X499" s="1988"/>
      <c r="Y499" s="1988"/>
      <c r="Z499" s="1988"/>
      <c r="AA499" s="2490"/>
      <c r="AB499" s="1988"/>
    </row>
    <row r="500" spans="18:28" s="1934" customFormat="1" ht="20.25" customHeight="1">
      <c r="R500" s="1988"/>
      <c r="S500" s="1988"/>
      <c r="T500" s="1988"/>
      <c r="U500" s="1988"/>
      <c r="V500" s="1988"/>
      <c r="W500" s="1988"/>
      <c r="X500" s="1988"/>
      <c r="Y500" s="1988"/>
      <c r="Z500" s="1988"/>
      <c r="AA500" s="2490"/>
      <c r="AB500" s="1988"/>
    </row>
    <row r="501" spans="18:28" s="1934" customFormat="1" ht="20.25" customHeight="1">
      <c r="R501" s="1988"/>
      <c r="S501" s="1988"/>
      <c r="T501" s="1988"/>
      <c r="U501" s="1988"/>
      <c r="V501" s="1988"/>
      <c r="W501" s="1988"/>
      <c r="X501" s="1988"/>
      <c r="Y501" s="1988"/>
      <c r="Z501" s="1988"/>
      <c r="AA501" s="2490"/>
      <c r="AB501" s="1988"/>
    </row>
    <row r="502" spans="18:28" s="1934" customFormat="1" ht="20.25" customHeight="1">
      <c r="R502" s="1988"/>
      <c r="S502" s="1988"/>
      <c r="T502" s="1988"/>
      <c r="U502" s="1988"/>
      <c r="V502" s="1988"/>
      <c r="W502" s="1988"/>
      <c r="X502" s="1988"/>
      <c r="Y502" s="1988"/>
      <c r="Z502" s="1988"/>
      <c r="AA502" s="2490"/>
      <c r="AB502" s="1988"/>
    </row>
    <row r="503" spans="18:28" s="1934" customFormat="1" ht="20.25" customHeight="1">
      <c r="R503" s="1988"/>
      <c r="S503" s="1988"/>
      <c r="T503" s="1988"/>
      <c r="U503" s="1988"/>
      <c r="V503" s="1988"/>
      <c r="W503" s="1988"/>
      <c r="X503" s="1988"/>
      <c r="Y503" s="1988"/>
      <c r="Z503" s="1988"/>
      <c r="AA503" s="2490"/>
      <c r="AB503" s="1988"/>
    </row>
    <row r="504" spans="18:28" s="1934" customFormat="1" ht="20.25" customHeight="1">
      <c r="R504" s="1988"/>
      <c r="S504" s="1988"/>
      <c r="T504" s="1988"/>
      <c r="U504" s="1988"/>
      <c r="V504" s="1988"/>
      <c r="W504" s="1988"/>
      <c r="X504" s="1988"/>
      <c r="Y504" s="1988"/>
      <c r="Z504" s="1988"/>
      <c r="AA504" s="2490"/>
      <c r="AB504" s="1988"/>
    </row>
    <row r="505" spans="18:28" s="1934" customFormat="1" ht="20.25" customHeight="1">
      <c r="R505" s="1988"/>
      <c r="S505" s="1988"/>
      <c r="T505" s="1988"/>
      <c r="U505" s="1988"/>
      <c r="V505" s="1988"/>
      <c r="W505" s="1988"/>
      <c r="X505" s="1988"/>
      <c r="Y505" s="1988"/>
      <c r="Z505" s="1988"/>
      <c r="AA505" s="2490"/>
      <c r="AB505" s="1988"/>
    </row>
    <row r="506" spans="18:28" s="1934" customFormat="1" ht="20.25" customHeight="1">
      <c r="R506" s="1988"/>
      <c r="S506" s="1988"/>
      <c r="T506" s="1988"/>
      <c r="U506" s="1988"/>
      <c r="V506" s="1988"/>
      <c r="W506" s="1988"/>
      <c r="X506" s="1988"/>
      <c r="Y506" s="1988"/>
      <c r="Z506" s="1988"/>
      <c r="AA506" s="2490"/>
      <c r="AB506" s="1988"/>
    </row>
    <row r="507" spans="18:28" s="1934" customFormat="1" ht="20.25" customHeight="1">
      <c r="R507" s="1988"/>
      <c r="S507" s="1988"/>
      <c r="T507" s="1988"/>
      <c r="U507" s="1988"/>
      <c r="V507" s="1988"/>
      <c r="W507" s="1988"/>
      <c r="X507" s="1988"/>
      <c r="Y507" s="1988"/>
      <c r="Z507" s="1988"/>
      <c r="AA507" s="2490"/>
      <c r="AB507" s="1988"/>
    </row>
    <row r="508" spans="18:28" s="1934" customFormat="1" ht="20.25" customHeight="1">
      <c r="R508" s="1988"/>
      <c r="S508" s="1988"/>
      <c r="T508" s="1988"/>
      <c r="U508" s="1988"/>
      <c r="V508" s="1988"/>
      <c r="W508" s="1988"/>
      <c r="X508" s="1988"/>
      <c r="Y508" s="1988"/>
      <c r="Z508" s="1988"/>
      <c r="AA508" s="2490"/>
      <c r="AB508" s="1988"/>
    </row>
    <row r="509" spans="18:28" s="1934" customFormat="1" ht="20.25" customHeight="1">
      <c r="R509" s="1988"/>
      <c r="S509" s="1988"/>
      <c r="T509" s="1988"/>
      <c r="U509" s="1988"/>
      <c r="V509" s="1988"/>
      <c r="W509" s="1988"/>
      <c r="X509" s="1988"/>
      <c r="Y509" s="1988"/>
      <c r="Z509" s="1988"/>
      <c r="AA509" s="2490"/>
      <c r="AB509" s="1988"/>
    </row>
    <row r="510" spans="18:28" s="1934" customFormat="1" ht="20.25" customHeight="1">
      <c r="R510" s="1988"/>
      <c r="S510" s="1988"/>
      <c r="T510" s="1988"/>
      <c r="U510" s="1988"/>
      <c r="V510" s="1988"/>
      <c r="W510" s="1988"/>
      <c r="X510" s="1988"/>
      <c r="Y510" s="1988"/>
      <c r="Z510" s="1988"/>
      <c r="AA510" s="2490"/>
      <c r="AB510" s="1988"/>
    </row>
    <row r="511" spans="18:28" s="1934" customFormat="1" ht="20.25" customHeight="1">
      <c r="R511" s="1988"/>
      <c r="S511" s="1988"/>
      <c r="T511" s="1988"/>
      <c r="U511" s="1988"/>
      <c r="V511" s="1988"/>
      <c r="W511" s="1988"/>
      <c r="X511" s="1988"/>
      <c r="Y511" s="1988"/>
      <c r="Z511" s="1988"/>
      <c r="AA511" s="2490"/>
      <c r="AB511" s="1988"/>
    </row>
    <row r="512" spans="18:28" s="1934" customFormat="1" ht="20.25" customHeight="1">
      <c r="R512" s="1988"/>
      <c r="S512" s="1988"/>
      <c r="T512" s="1988"/>
      <c r="U512" s="1988"/>
      <c r="V512" s="1988"/>
      <c r="W512" s="1988"/>
      <c r="X512" s="1988"/>
      <c r="Y512" s="1988"/>
      <c r="Z512" s="1988"/>
      <c r="AA512" s="2490"/>
      <c r="AB512" s="1988"/>
    </row>
    <row r="513" spans="18:28" s="1934" customFormat="1" ht="20.25" customHeight="1">
      <c r="R513" s="1988"/>
      <c r="S513" s="1988"/>
      <c r="T513" s="1988"/>
      <c r="U513" s="1988"/>
      <c r="V513" s="1988"/>
      <c r="W513" s="1988"/>
      <c r="X513" s="1988"/>
      <c r="Y513" s="1988"/>
      <c r="Z513" s="1988"/>
      <c r="AA513" s="2490"/>
      <c r="AB513" s="1988"/>
    </row>
    <row r="514" spans="18:28" s="1934" customFormat="1" ht="20.25" customHeight="1">
      <c r="R514" s="1988"/>
      <c r="S514" s="1988"/>
      <c r="T514" s="1988"/>
      <c r="U514" s="1988"/>
      <c r="V514" s="1988"/>
      <c r="W514" s="1988"/>
      <c r="X514" s="1988"/>
      <c r="Y514" s="1988"/>
      <c r="Z514" s="1988"/>
      <c r="AA514" s="2490"/>
      <c r="AB514" s="1988"/>
    </row>
    <row r="515" spans="18:28" s="1934" customFormat="1" ht="20.25" customHeight="1">
      <c r="R515" s="1988"/>
      <c r="S515" s="1988"/>
      <c r="T515" s="1988"/>
      <c r="U515" s="1988"/>
      <c r="V515" s="1988"/>
      <c r="W515" s="1988"/>
      <c r="X515" s="1988"/>
      <c r="Y515" s="1988"/>
      <c r="Z515" s="1988"/>
      <c r="AA515" s="2490"/>
      <c r="AB515" s="1988"/>
    </row>
    <row r="516" spans="18:28" s="1934" customFormat="1" ht="20.25" customHeight="1">
      <c r="R516" s="1988"/>
      <c r="S516" s="1988"/>
      <c r="T516" s="1988"/>
      <c r="U516" s="1988"/>
      <c r="V516" s="1988"/>
      <c r="W516" s="1988"/>
      <c r="X516" s="1988"/>
      <c r="Y516" s="1988"/>
      <c r="Z516" s="1988"/>
      <c r="AA516" s="2490"/>
      <c r="AB516" s="1988"/>
    </row>
    <row r="517" spans="18:28" s="1934" customFormat="1" ht="20.25" customHeight="1">
      <c r="R517" s="1988"/>
      <c r="S517" s="1988"/>
      <c r="T517" s="1988"/>
      <c r="U517" s="1988"/>
      <c r="V517" s="1988"/>
      <c r="W517" s="1988"/>
      <c r="X517" s="1988"/>
      <c r="Y517" s="1988"/>
      <c r="Z517" s="1988"/>
      <c r="AA517" s="2490"/>
      <c r="AB517" s="1988"/>
    </row>
    <row r="518" spans="18:28" s="1934" customFormat="1" ht="20.25" customHeight="1">
      <c r="R518" s="1988"/>
      <c r="S518" s="1988"/>
      <c r="T518" s="1988"/>
      <c r="U518" s="1988"/>
      <c r="V518" s="1988"/>
      <c r="W518" s="1988"/>
      <c r="X518" s="1988"/>
      <c r="Y518" s="1988"/>
      <c r="Z518" s="1988"/>
      <c r="AA518" s="2490"/>
      <c r="AB518" s="1988"/>
    </row>
    <row r="519" spans="18:28" s="1934" customFormat="1" ht="20.25" customHeight="1">
      <c r="R519" s="1988"/>
      <c r="S519" s="1988"/>
      <c r="T519" s="1988"/>
      <c r="U519" s="1988"/>
      <c r="V519" s="1988"/>
      <c r="W519" s="1988"/>
      <c r="X519" s="1988"/>
      <c r="Y519" s="1988"/>
      <c r="Z519" s="1988"/>
      <c r="AA519" s="2490"/>
      <c r="AB519" s="1988"/>
    </row>
    <row r="520" spans="18:28" s="1934" customFormat="1" ht="20.25" customHeight="1">
      <c r="R520" s="1988"/>
      <c r="S520" s="1988"/>
      <c r="T520" s="1988"/>
      <c r="U520" s="1988"/>
      <c r="V520" s="1988"/>
      <c r="W520" s="1988"/>
      <c r="X520" s="1988"/>
      <c r="Y520" s="1988"/>
      <c r="Z520" s="1988"/>
      <c r="AA520" s="2490"/>
      <c r="AB520" s="1988"/>
    </row>
    <row r="521" spans="18:28" s="1934" customFormat="1" ht="20.25" customHeight="1">
      <c r="R521" s="1988"/>
      <c r="S521" s="1988"/>
      <c r="T521" s="1988"/>
      <c r="U521" s="1988"/>
      <c r="V521" s="1988"/>
      <c r="W521" s="1988"/>
      <c r="X521" s="1988"/>
      <c r="Y521" s="1988"/>
      <c r="Z521" s="1988"/>
      <c r="AA521" s="2490"/>
      <c r="AB521" s="1988"/>
    </row>
    <row r="522" spans="18:28" s="1934" customFormat="1" ht="20.25" customHeight="1">
      <c r="R522" s="1988"/>
      <c r="S522" s="1988"/>
      <c r="T522" s="1988"/>
      <c r="U522" s="1988"/>
      <c r="V522" s="1988"/>
      <c r="W522" s="1988"/>
      <c r="X522" s="1988"/>
      <c r="Y522" s="1988"/>
      <c r="Z522" s="1988"/>
      <c r="AA522" s="2490"/>
      <c r="AB522" s="1988"/>
    </row>
    <row r="523" spans="18:28" s="1934" customFormat="1" ht="20.25" customHeight="1">
      <c r="R523" s="1988"/>
      <c r="S523" s="1988"/>
      <c r="T523" s="1988"/>
      <c r="U523" s="1988"/>
      <c r="V523" s="1988"/>
      <c r="W523" s="1988"/>
      <c r="X523" s="1988"/>
      <c r="Y523" s="1988"/>
      <c r="Z523" s="1988"/>
      <c r="AA523" s="2490"/>
      <c r="AB523" s="1988"/>
    </row>
    <row r="524" spans="18:28" s="1934" customFormat="1" ht="20.25" customHeight="1">
      <c r="R524" s="1988"/>
      <c r="S524" s="1988"/>
      <c r="T524" s="1988"/>
      <c r="U524" s="1988"/>
      <c r="V524" s="1988"/>
      <c r="W524" s="1988"/>
      <c r="X524" s="1988"/>
      <c r="Y524" s="1988"/>
      <c r="Z524" s="1988"/>
      <c r="AA524" s="2490"/>
      <c r="AB524" s="1988"/>
    </row>
    <row r="525" spans="18:28" s="1934" customFormat="1" ht="20.25" customHeight="1">
      <c r="R525" s="1988"/>
      <c r="S525" s="1988"/>
      <c r="T525" s="1988"/>
      <c r="U525" s="1988"/>
      <c r="V525" s="1988"/>
      <c r="W525" s="1988"/>
      <c r="X525" s="1988"/>
      <c r="Y525" s="1988"/>
      <c r="Z525" s="1988"/>
      <c r="AA525" s="2490"/>
      <c r="AB525" s="1988"/>
    </row>
    <row r="526" spans="18:28" s="1934" customFormat="1" ht="20.25" customHeight="1">
      <c r="R526" s="1988"/>
      <c r="S526" s="1988"/>
      <c r="T526" s="1988"/>
      <c r="U526" s="1988"/>
      <c r="V526" s="1988"/>
      <c r="W526" s="1988"/>
      <c r="X526" s="1988"/>
      <c r="Y526" s="1988"/>
      <c r="Z526" s="1988"/>
      <c r="AA526" s="2490"/>
      <c r="AB526" s="1988"/>
    </row>
    <row r="527" spans="18:28" s="1934" customFormat="1" ht="20.25" customHeight="1">
      <c r="R527" s="1988"/>
      <c r="S527" s="1988"/>
      <c r="T527" s="1988"/>
      <c r="U527" s="1988"/>
      <c r="V527" s="1988"/>
      <c r="W527" s="1988"/>
      <c r="X527" s="1988"/>
      <c r="Y527" s="1988"/>
      <c r="Z527" s="1988"/>
      <c r="AA527" s="2490"/>
      <c r="AB527" s="1988"/>
    </row>
    <row r="528" spans="18:28" s="1934" customFormat="1" ht="20.25" customHeight="1">
      <c r="R528" s="1988"/>
      <c r="S528" s="1988"/>
      <c r="T528" s="1988"/>
      <c r="U528" s="1988"/>
      <c r="V528" s="1988"/>
      <c r="W528" s="1988"/>
      <c r="X528" s="1988"/>
      <c r="Y528" s="1988"/>
      <c r="Z528" s="1988"/>
      <c r="AA528" s="2490"/>
      <c r="AB528" s="1988"/>
    </row>
    <row r="529" spans="18:28" s="1934" customFormat="1" ht="20.25" customHeight="1">
      <c r="R529" s="1988"/>
      <c r="S529" s="1988"/>
      <c r="T529" s="1988"/>
      <c r="U529" s="1988"/>
      <c r="V529" s="1988"/>
      <c r="W529" s="1988"/>
      <c r="X529" s="1988"/>
      <c r="Y529" s="1988"/>
      <c r="Z529" s="1988"/>
      <c r="AA529" s="2490"/>
      <c r="AB529" s="1988"/>
    </row>
    <row r="530" spans="18:28" s="1934" customFormat="1" ht="20.25" customHeight="1">
      <c r="R530" s="1988"/>
      <c r="S530" s="1988"/>
      <c r="T530" s="1988"/>
      <c r="U530" s="1988"/>
      <c r="V530" s="1988"/>
      <c r="W530" s="1988"/>
      <c r="X530" s="1988"/>
      <c r="Y530" s="1988"/>
      <c r="Z530" s="1988"/>
      <c r="AA530" s="2490"/>
      <c r="AB530" s="1988"/>
    </row>
    <row r="531" spans="18:28" s="1934" customFormat="1" ht="20.25" customHeight="1">
      <c r="R531" s="1988"/>
      <c r="S531" s="1988"/>
      <c r="T531" s="1988"/>
      <c r="U531" s="1988"/>
      <c r="V531" s="1988"/>
      <c r="W531" s="1988"/>
      <c r="X531" s="1988"/>
      <c r="Y531" s="1988"/>
      <c r="Z531" s="1988"/>
      <c r="AA531" s="2490"/>
      <c r="AB531" s="1988"/>
    </row>
    <row r="532" spans="18:28" s="1934" customFormat="1" ht="20.25" customHeight="1">
      <c r="R532" s="1988"/>
      <c r="S532" s="1988"/>
      <c r="T532" s="1988"/>
      <c r="U532" s="1988"/>
      <c r="V532" s="1988"/>
      <c r="W532" s="1988"/>
      <c r="X532" s="1988"/>
      <c r="Y532" s="1988"/>
      <c r="Z532" s="1988"/>
      <c r="AA532" s="2490"/>
      <c r="AB532" s="1988"/>
    </row>
    <row r="533" spans="18:28" s="1934" customFormat="1" ht="20.25" customHeight="1">
      <c r="R533" s="1988"/>
      <c r="S533" s="1988"/>
      <c r="T533" s="1988"/>
      <c r="U533" s="1988"/>
      <c r="V533" s="1988"/>
      <c r="W533" s="1988"/>
      <c r="X533" s="1988"/>
      <c r="Y533" s="1988"/>
      <c r="Z533" s="1988"/>
      <c r="AA533" s="2490"/>
      <c r="AB533" s="1988"/>
    </row>
    <row r="534" spans="18:28" s="1934" customFormat="1" ht="20.25" customHeight="1">
      <c r="R534" s="1988"/>
      <c r="S534" s="1988"/>
      <c r="T534" s="1988"/>
      <c r="U534" s="1988"/>
      <c r="V534" s="1988"/>
      <c r="W534" s="1988"/>
      <c r="X534" s="1988"/>
      <c r="Y534" s="1988"/>
      <c r="Z534" s="1988"/>
      <c r="AA534" s="2490"/>
      <c r="AB534" s="1988"/>
    </row>
    <row r="535" spans="18:28" s="1934" customFormat="1" ht="20.25" customHeight="1">
      <c r="R535" s="1988"/>
      <c r="S535" s="1988"/>
      <c r="T535" s="1988"/>
      <c r="U535" s="1988"/>
      <c r="V535" s="1988"/>
      <c r="W535" s="1988"/>
      <c r="X535" s="1988"/>
      <c r="Y535" s="1988"/>
      <c r="Z535" s="1988"/>
      <c r="AA535" s="2490"/>
      <c r="AB535" s="1988"/>
    </row>
    <row r="536" spans="18:28" s="1934" customFormat="1" ht="20.25" customHeight="1">
      <c r="R536" s="1988"/>
      <c r="S536" s="1988"/>
      <c r="T536" s="1988"/>
      <c r="U536" s="1988"/>
      <c r="V536" s="1988"/>
      <c r="W536" s="1988"/>
      <c r="X536" s="1988"/>
      <c r="Y536" s="1988"/>
      <c r="Z536" s="1988"/>
      <c r="AA536" s="2490"/>
      <c r="AB536" s="1988"/>
    </row>
    <row r="537" spans="18:28" s="1934" customFormat="1" ht="20.25" customHeight="1">
      <c r="R537" s="1988"/>
      <c r="S537" s="1988"/>
      <c r="T537" s="1988"/>
      <c r="U537" s="1988"/>
      <c r="V537" s="1988"/>
      <c r="W537" s="1988"/>
      <c r="X537" s="1988"/>
      <c r="Y537" s="1988"/>
      <c r="Z537" s="1988"/>
      <c r="AA537" s="2490"/>
      <c r="AB537" s="1988"/>
    </row>
    <row r="538" spans="18:28" s="1934" customFormat="1" ht="20.25" customHeight="1">
      <c r="R538" s="1988"/>
      <c r="S538" s="1988"/>
      <c r="T538" s="1988"/>
      <c r="U538" s="1988"/>
      <c r="V538" s="1988"/>
      <c r="W538" s="1988"/>
      <c r="X538" s="1988"/>
      <c r="Y538" s="1988"/>
      <c r="Z538" s="1988"/>
      <c r="AA538" s="2490"/>
      <c r="AB538" s="1988"/>
    </row>
    <row r="539" spans="18:28" s="1934" customFormat="1" ht="20.25" customHeight="1">
      <c r="R539" s="1988"/>
      <c r="S539" s="1988"/>
      <c r="T539" s="1988"/>
      <c r="U539" s="1988"/>
      <c r="V539" s="1988"/>
      <c r="W539" s="1988"/>
      <c r="X539" s="1988"/>
      <c r="Y539" s="1988"/>
      <c r="Z539" s="1988"/>
      <c r="AA539" s="2490"/>
      <c r="AB539" s="1988"/>
    </row>
    <row r="540" spans="18:28" s="1934" customFormat="1" ht="20.25" customHeight="1">
      <c r="R540" s="1988"/>
      <c r="S540" s="1988"/>
      <c r="T540" s="1988"/>
      <c r="U540" s="1988"/>
      <c r="V540" s="1988"/>
      <c r="W540" s="1988"/>
      <c r="X540" s="1988"/>
      <c r="Y540" s="1988"/>
      <c r="Z540" s="1988"/>
      <c r="AA540" s="2490"/>
      <c r="AB540" s="1988"/>
    </row>
    <row r="541" spans="18:28" s="1934" customFormat="1" ht="20.25" customHeight="1">
      <c r="R541" s="1988"/>
      <c r="S541" s="1988"/>
      <c r="T541" s="1988"/>
      <c r="U541" s="1988"/>
      <c r="V541" s="1988"/>
      <c r="W541" s="1988"/>
      <c r="X541" s="1988"/>
      <c r="Y541" s="1988"/>
      <c r="Z541" s="1988"/>
      <c r="AA541" s="2490"/>
      <c r="AB541" s="1988"/>
    </row>
    <row r="542" spans="18:28" s="1934" customFormat="1" ht="20.25" customHeight="1">
      <c r="R542" s="1988"/>
      <c r="S542" s="1988"/>
      <c r="T542" s="1988"/>
      <c r="U542" s="1988"/>
      <c r="V542" s="1988"/>
      <c r="W542" s="1988"/>
      <c r="X542" s="1988"/>
      <c r="Y542" s="1988"/>
      <c r="Z542" s="1988"/>
      <c r="AA542" s="2490"/>
      <c r="AB542" s="1988"/>
    </row>
    <row r="543" spans="18:28" s="1934" customFormat="1" ht="20.25" customHeight="1">
      <c r="R543" s="1988"/>
      <c r="S543" s="1988"/>
      <c r="T543" s="1988"/>
      <c r="U543" s="1988"/>
      <c r="V543" s="1988"/>
      <c r="W543" s="1988"/>
      <c r="X543" s="1988"/>
      <c r="Y543" s="1988"/>
      <c r="Z543" s="1988"/>
      <c r="AA543" s="2490"/>
      <c r="AB543" s="1988"/>
    </row>
    <row r="544" spans="18:28" s="1934" customFormat="1" ht="20.25" customHeight="1">
      <c r="R544" s="1988"/>
      <c r="S544" s="1988"/>
      <c r="T544" s="1988"/>
      <c r="U544" s="1988"/>
      <c r="V544" s="1988"/>
      <c r="W544" s="1988"/>
      <c r="X544" s="1988"/>
      <c r="Y544" s="1988"/>
      <c r="Z544" s="1988"/>
      <c r="AA544" s="2490"/>
      <c r="AB544" s="1988"/>
    </row>
    <row r="545" spans="10:28" s="1934" customFormat="1" ht="20.25" customHeight="1">
      <c r="R545" s="1988"/>
      <c r="S545" s="1988"/>
      <c r="T545" s="1988"/>
      <c r="U545" s="1988"/>
      <c r="V545" s="1988"/>
      <c r="W545" s="1988"/>
      <c r="X545" s="1988"/>
      <c r="Y545" s="1988"/>
      <c r="Z545" s="1988"/>
      <c r="AA545" s="2490"/>
      <c r="AB545" s="1988"/>
    </row>
    <row r="546" spans="10:28" s="1934" customFormat="1" ht="20.25" customHeight="1">
      <c r="R546" s="1988"/>
      <c r="S546" s="1988"/>
      <c r="T546" s="1988"/>
      <c r="U546" s="1988"/>
      <c r="V546" s="1988"/>
      <c r="W546" s="1988"/>
      <c r="X546" s="1988"/>
      <c r="Y546" s="1988"/>
      <c r="Z546" s="1988"/>
      <c r="AA546" s="2490"/>
      <c r="AB546" s="1988"/>
    </row>
    <row r="547" spans="10:28" s="1934" customFormat="1" ht="20.25" customHeight="1">
      <c r="R547" s="1988"/>
      <c r="S547" s="1988"/>
      <c r="T547" s="1988"/>
      <c r="U547" s="1988"/>
      <c r="V547" s="1988"/>
      <c r="W547" s="1988"/>
      <c r="X547" s="1988"/>
      <c r="Y547" s="1988"/>
      <c r="Z547" s="1988"/>
      <c r="AA547" s="2490"/>
      <c r="AB547" s="1988"/>
    </row>
    <row r="548" spans="10:28" s="1934" customFormat="1" ht="20.25" customHeight="1">
      <c r="R548" s="1988"/>
      <c r="S548" s="1988"/>
      <c r="T548" s="1988"/>
      <c r="U548" s="1988"/>
      <c r="V548" s="1988"/>
      <c r="W548" s="1988"/>
      <c r="X548" s="1988"/>
      <c r="Y548" s="1988"/>
      <c r="Z548" s="1988"/>
      <c r="AA548" s="2490"/>
      <c r="AB548" s="1988"/>
    </row>
    <row r="549" spans="10:28" s="1934" customFormat="1" ht="20.25" customHeight="1">
      <c r="R549" s="1988"/>
      <c r="S549" s="1988"/>
      <c r="T549" s="1988"/>
      <c r="U549" s="1988"/>
      <c r="V549" s="1988"/>
      <c r="W549" s="1988"/>
      <c r="X549" s="1988"/>
      <c r="Y549" s="1988"/>
      <c r="Z549" s="1988"/>
      <c r="AA549" s="2490"/>
      <c r="AB549" s="1988"/>
    </row>
    <row r="550" spans="10:28" s="1934" customFormat="1" ht="20.25" customHeight="1">
      <c r="R550" s="1988"/>
      <c r="S550" s="1988"/>
      <c r="T550" s="1988"/>
      <c r="U550" s="1988"/>
      <c r="V550" s="1988"/>
      <c r="W550" s="1988"/>
      <c r="X550" s="1988"/>
      <c r="Y550" s="1988"/>
      <c r="Z550" s="1988"/>
      <c r="AA550" s="2490"/>
      <c r="AB550" s="1988"/>
    </row>
    <row r="551" spans="10:28" s="1934" customFormat="1" ht="20.25" customHeight="1">
      <c r="R551" s="1988"/>
      <c r="S551" s="1988"/>
      <c r="T551" s="1988"/>
      <c r="U551" s="1988"/>
      <c r="V551" s="1988"/>
      <c r="W551" s="1988"/>
      <c r="X551" s="1988"/>
      <c r="Y551" s="1988"/>
      <c r="Z551" s="1988"/>
      <c r="AA551" s="2490"/>
      <c r="AB551" s="1988"/>
    </row>
    <row r="552" spans="10:28" s="1934" customFormat="1" ht="20.25" customHeight="1">
      <c r="R552" s="1988"/>
      <c r="S552" s="1988"/>
      <c r="T552" s="1988"/>
      <c r="U552" s="1988"/>
      <c r="V552" s="1988"/>
      <c r="W552" s="1988"/>
      <c r="X552" s="1988"/>
      <c r="Y552" s="1988"/>
      <c r="Z552" s="1988"/>
      <c r="AA552" s="2490"/>
      <c r="AB552" s="1988"/>
    </row>
    <row r="553" spans="10:28" s="1934" customFormat="1" ht="20.25" customHeight="1">
      <c r="R553" s="1988"/>
      <c r="S553" s="1988"/>
      <c r="T553" s="1988"/>
      <c r="U553" s="1988"/>
      <c r="V553" s="1988"/>
      <c r="W553" s="1988"/>
      <c r="X553" s="1988"/>
      <c r="Y553" s="1988"/>
      <c r="Z553" s="1988"/>
      <c r="AA553" s="2490"/>
      <c r="AB553" s="1988"/>
    </row>
    <row r="554" spans="10:28" s="1934" customFormat="1" ht="20.25" customHeight="1">
      <c r="R554" s="1988"/>
      <c r="S554" s="1988"/>
      <c r="T554" s="1988"/>
      <c r="U554" s="1988"/>
      <c r="V554" s="1988"/>
      <c r="W554" s="1988"/>
      <c r="X554" s="1988"/>
      <c r="Y554" s="1988"/>
      <c r="Z554" s="1988"/>
      <c r="AA554" s="2490"/>
      <c r="AB554" s="1988"/>
    </row>
    <row r="555" spans="10:28" s="1934" customFormat="1" ht="20.25" customHeight="1">
      <c r="R555" s="1988"/>
      <c r="S555" s="1988"/>
      <c r="T555" s="1988"/>
      <c r="U555" s="1988"/>
      <c r="V555" s="1988"/>
      <c r="W555" s="1988"/>
      <c r="X555" s="1988"/>
      <c r="Y555" s="1988"/>
      <c r="Z555" s="1988"/>
      <c r="AA555" s="2490"/>
      <c r="AB555" s="1988"/>
    </row>
    <row r="556" spans="10:28" s="1934" customFormat="1" ht="20.25" customHeight="1">
      <c r="R556" s="1988"/>
      <c r="S556" s="1988"/>
      <c r="T556" s="1988"/>
      <c r="U556" s="1988"/>
      <c r="V556" s="1988"/>
      <c r="W556" s="1988"/>
      <c r="X556" s="1988"/>
      <c r="Y556" s="1988"/>
      <c r="Z556" s="1988"/>
      <c r="AA556" s="2490"/>
      <c r="AB556" s="1988"/>
    </row>
    <row r="557" spans="10:28" s="1934" customFormat="1" ht="20.25" customHeight="1">
      <c r="R557" s="1988"/>
      <c r="S557" s="1988"/>
      <c r="T557" s="1988"/>
      <c r="U557" s="1988"/>
      <c r="V557" s="1988"/>
      <c r="W557" s="1988"/>
      <c r="X557" s="1988"/>
      <c r="Y557" s="1988"/>
      <c r="Z557" s="1988"/>
      <c r="AA557" s="2490"/>
      <c r="AB557" s="1988"/>
    </row>
    <row r="558" spans="10:28" s="1934" customFormat="1" ht="20.25" customHeight="1">
      <c r="R558" s="1988"/>
      <c r="S558" s="1988"/>
      <c r="T558" s="1988"/>
      <c r="U558" s="1988"/>
      <c r="V558" s="1988"/>
      <c r="W558" s="1988"/>
      <c r="X558" s="1988"/>
      <c r="Y558" s="1988"/>
      <c r="Z558" s="1988"/>
      <c r="AA558" s="2490"/>
      <c r="AB558" s="1988"/>
    </row>
    <row r="559" spans="10:28" s="1934" customFormat="1" ht="20.25" customHeight="1">
      <c r="R559" s="1988"/>
      <c r="S559" s="1988"/>
      <c r="T559" s="1988"/>
      <c r="U559" s="1988"/>
      <c r="V559" s="1988"/>
      <c r="W559" s="1988"/>
      <c r="X559" s="1988"/>
      <c r="Y559" s="1988"/>
      <c r="Z559" s="1988"/>
      <c r="AA559" s="2490"/>
      <c r="AB559" s="1988"/>
    </row>
    <row r="560" spans="10:28" s="1934" customFormat="1" ht="20.25" customHeight="1">
      <c r="J560" s="1942"/>
      <c r="R560" s="1988"/>
      <c r="S560" s="1988"/>
      <c r="T560" s="1988"/>
      <c r="U560" s="1988"/>
      <c r="V560" s="1988"/>
      <c r="W560" s="1988"/>
      <c r="X560" s="1988"/>
      <c r="Y560" s="1988"/>
      <c r="Z560" s="1988"/>
      <c r="AA560" s="2490"/>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0"/>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0"/>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Hbk/EwH7g3SC9CJdEo/FjaO7FdhDmUGM3p9lXKdOztuFpb/40R3DlhyCZeo+fMZR6boHw0SNUj6KjWI0eooS1w==" saltValue="M3dIJjJZGfeXs4QY0LH0yA==" spinCount="100000" sheet="1" objects="1" scenarios="1" formatRows="0"/>
  <mergeCells count="220">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P183:Q183"/>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F12" sqref="F12:G13"/>
    </sheetView>
  </sheetViews>
  <sheetFormatPr defaultColWidth="9.26953125" defaultRowHeight="14"/>
  <cols>
    <col min="1" max="1" width="6" style="2107" customWidth="1"/>
    <col min="2" max="2" width="3.453125" style="2107" customWidth="1"/>
    <col min="3" max="3" width="12.453125" style="2107" customWidth="1"/>
    <col min="4" max="4" width="12.1796875" style="2107" customWidth="1"/>
    <col min="5" max="5" width="7.453125" style="2107" customWidth="1"/>
    <col min="6" max="6" width="13.54296875" style="2107" customWidth="1"/>
    <col min="7" max="9" width="14.1796875" style="2107" customWidth="1"/>
    <col min="10" max="10" width="10.54296875" style="2107" customWidth="1"/>
    <col min="11" max="11" width="13.453125" style="2107" customWidth="1"/>
    <col min="12" max="12" width="14.7265625" style="2107" customWidth="1"/>
    <col min="13" max="13" width="6.7265625" style="2107" customWidth="1"/>
    <col min="14" max="14" width="2.7265625" style="2128" customWidth="1"/>
    <col min="15" max="15" width="7.7265625" style="2120" customWidth="1"/>
    <col min="16" max="16" width="8" style="2120" customWidth="1"/>
    <col min="17" max="17" width="6" style="2107" customWidth="1"/>
    <col min="18" max="20" width="9.26953125" style="2107"/>
    <col min="21" max="21" width="10" style="2107" customWidth="1"/>
    <col min="22" max="22" width="10.81640625" style="2107" customWidth="1"/>
    <col min="23" max="23" width="10" style="2107" customWidth="1"/>
    <col min="24" max="24" width="12.453125" style="2107" customWidth="1"/>
    <col min="25" max="25" width="10.453125" style="2107" customWidth="1"/>
    <col min="26" max="27" width="9.26953125" style="2107"/>
    <col min="28" max="32" width="10.453125" style="2107" customWidth="1"/>
    <col min="33" max="38" width="9.26953125" style="2107"/>
    <col min="39" max="39" width="9.26953125" style="2128"/>
    <col min="40" max="42" width="9.26953125" style="2107"/>
    <col min="43" max="47" width="10.453125" style="2107" customWidth="1"/>
    <col min="48" max="16384" width="9.26953125" style="2107"/>
  </cols>
  <sheetData>
    <row r="1" spans="1:39" ht="14.15" customHeight="1">
      <c r="A1" s="3983" t="str">
        <f>CONCATENATE("PART EIGHT - SCORING CRITERIA","  -  ",'Part I-Project Identification'!$O$7," ",'Part I-Project Identification'!$F$26,", ",'Part I-Project Identification'!F27,", ",'Part I-Project Identification'!J27," County")</f>
        <v>PART EIGHT - SCORING CRITERIA  -  2024-5 , &lt;&lt; Select from list &gt;&gt;, Select City first County</v>
      </c>
      <c r="B1" s="3984"/>
      <c r="C1" s="3984"/>
      <c r="D1" s="3984"/>
      <c r="E1" s="3984"/>
      <c r="F1" s="3984"/>
      <c r="G1" s="3984"/>
      <c r="H1" s="3984"/>
      <c r="I1" s="3984"/>
      <c r="J1" s="3984"/>
      <c r="K1" s="3984"/>
      <c r="L1" s="3984"/>
      <c r="M1" s="3984"/>
      <c r="N1" s="3984"/>
      <c r="O1" s="3984"/>
      <c r="P1" s="3985"/>
      <c r="Q1" s="2105"/>
      <c r="R1" s="2105"/>
      <c r="S1" s="2105"/>
      <c r="T1" s="2105"/>
      <c r="U1" s="2105"/>
      <c r="V1" s="2105"/>
      <c r="W1" s="2105"/>
      <c r="X1" s="2106"/>
      <c r="AM1" s="2493">
        <v>1</v>
      </c>
    </row>
    <row r="2" spans="1:39" ht="4.4000000000000004" customHeight="1">
      <c r="A2" s="2108"/>
      <c r="B2" s="2108"/>
      <c r="C2" s="2109"/>
      <c r="D2" s="2108"/>
      <c r="E2" s="2108"/>
      <c r="F2" s="2108"/>
      <c r="G2" s="2108"/>
      <c r="H2" s="2108"/>
      <c r="I2" s="2108"/>
      <c r="J2" s="2108"/>
      <c r="K2" s="2108"/>
      <c r="L2" s="2108"/>
      <c r="M2" s="2110"/>
      <c r="N2" s="2110"/>
      <c r="O2" s="2111"/>
      <c r="P2" s="2111"/>
      <c r="Q2" s="2105"/>
      <c r="R2" s="2105"/>
      <c r="S2" s="2105"/>
      <c r="T2" s="2105"/>
      <c r="U2" s="2105"/>
      <c r="V2" s="2105"/>
      <c r="W2" s="2105"/>
      <c r="X2" s="2106"/>
      <c r="AM2" s="2493">
        <v>2</v>
      </c>
    </row>
    <row r="3" spans="1:39" s="2108" customFormat="1" ht="20.5" customHeight="1">
      <c r="A3" s="3986" t="s">
        <v>5021</v>
      </c>
      <c r="B3" s="3986"/>
      <c r="C3" s="3986"/>
      <c r="D3" s="3986"/>
      <c r="E3" s="3986"/>
      <c r="F3" s="3986"/>
      <c r="G3" s="3986"/>
      <c r="H3" s="3986"/>
      <c r="I3" s="3986"/>
      <c r="J3" s="3986"/>
      <c r="K3" s="3986"/>
      <c r="L3" s="3986"/>
      <c r="M3" s="2112" t="s">
        <v>4736</v>
      </c>
      <c r="N3" s="2110"/>
      <c r="O3" s="2113" t="s">
        <v>2045</v>
      </c>
      <c r="P3" s="2112" t="s">
        <v>245</v>
      </c>
      <c r="Q3" s="2105"/>
      <c r="R3" s="2105"/>
      <c r="S3" s="2105"/>
      <c r="T3" s="2105"/>
      <c r="U3" s="2105"/>
      <c r="V3" s="2114"/>
      <c r="W3" s="2114"/>
      <c r="X3" s="2115"/>
      <c r="AM3" s="2494">
        <v>3</v>
      </c>
    </row>
    <row r="4" spans="1:39" s="2108" customFormat="1" ht="16.5" customHeight="1">
      <c r="A4" s="3986"/>
      <c r="B4" s="3986"/>
      <c r="C4" s="3986"/>
      <c r="D4" s="3986"/>
      <c r="E4" s="3986"/>
      <c r="F4" s="3986"/>
      <c r="G4" s="3986"/>
      <c r="H4" s="3986"/>
      <c r="I4" s="3986"/>
      <c r="J4" s="3986"/>
      <c r="K4" s="3986"/>
      <c r="L4" s="3986"/>
      <c r="M4" s="2116" t="s">
        <v>2046</v>
      </c>
      <c r="N4" s="2117"/>
      <c r="O4" s="2116" t="s">
        <v>2046</v>
      </c>
      <c r="P4" s="2116" t="s">
        <v>2046</v>
      </c>
      <c r="Q4" s="2105"/>
      <c r="R4" s="2105"/>
      <c r="S4" s="2105"/>
      <c r="T4" s="2105"/>
      <c r="U4" s="2105"/>
      <c r="V4" s="2114"/>
      <c r="AM4" s="2494">
        <v>4</v>
      </c>
    </row>
    <row r="5" spans="1:39" s="2108" customFormat="1" ht="3" customHeight="1" thickBot="1">
      <c r="M5" s="2118"/>
      <c r="N5" s="2119"/>
      <c r="O5" s="2111"/>
      <c r="P5" s="2120"/>
      <c r="Q5" s="2105"/>
      <c r="R5" s="2105"/>
      <c r="S5" s="2105"/>
      <c r="T5" s="2105"/>
      <c r="U5" s="2105"/>
      <c r="V5" s="2114"/>
      <c r="AM5" s="2494">
        <v>5</v>
      </c>
    </row>
    <row r="6" spans="1:39" s="2108" customFormat="1" ht="13.5" customHeight="1" thickTop="1" thickBot="1">
      <c r="B6" s="3987" t="str">
        <f>'Part I-Project Identification'!$A$6</f>
        <v>4% Credit Core
Sept 26, 2024</v>
      </c>
      <c r="C6" s="3987"/>
      <c r="D6" s="3987"/>
      <c r="E6" s="3987"/>
      <c r="F6" s="3987"/>
      <c r="L6" s="2111" t="s">
        <v>1151</v>
      </c>
      <c r="M6" s="2121"/>
      <c r="N6" s="2122"/>
      <c r="O6" s="2123">
        <f>O407</f>
        <v>0</v>
      </c>
      <c r="P6" s="2123">
        <f>P407</f>
        <v>0</v>
      </c>
      <c r="Q6" s="2124" t="s">
        <v>4698</v>
      </c>
      <c r="R6" s="2125"/>
      <c r="S6" s="2125"/>
      <c r="T6" s="2125"/>
      <c r="U6" s="2125"/>
      <c r="V6" s="2126"/>
      <c r="W6" s="2126"/>
      <c r="X6" s="2126"/>
      <c r="Y6" s="2126"/>
      <c r="AM6" s="2494">
        <v>6</v>
      </c>
    </row>
    <row r="7" spans="1:39" ht="3.65" customHeight="1" thickTop="1">
      <c r="A7" s="2108"/>
      <c r="B7" s="2127"/>
      <c r="C7" s="2108"/>
      <c r="D7" s="2108"/>
      <c r="E7" s="2108"/>
      <c r="F7" s="2108"/>
      <c r="G7" s="2108"/>
      <c r="H7" s="2108"/>
      <c r="I7" s="2108"/>
      <c r="J7" s="2108"/>
      <c r="K7" s="2108"/>
      <c r="L7" s="2108"/>
      <c r="M7" s="2110"/>
      <c r="O7" s="2121"/>
      <c r="P7" s="2111"/>
      <c r="Q7" s="2125"/>
      <c r="R7" s="2125"/>
      <c r="S7" s="2125"/>
      <c r="T7" s="2125"/>
      <c r="U7" s="2125"/>
      <c r="V7" s="2126"/>
      <c r="W7" s="2126"/>
      <c r="X7" s="2126"/>
      <c r="Y7" s="2126"/>
      <c r="AM7" s="2493">
        <v>7</v>
      </c>
    </row>
    <row r="8" spans="1:39" s="2108" customFormat="1" ht="14.5">
      <c r="A8" s="2131" t="s">
        <v>688</v>
      </c>
      <c r="B8" s="2132" t="s">
        <v>4042</v>
      </c>
      <c r="C8" s="2119"/>
      <c r="G8" s="2130"/>
      <c r="I8" s="2130"/>
      <c r="J8" s="2130"/>
      <c r="K8" s="2130"/>
      <c r="L8" s="2130"/>
      <c r="M8" s="2130"/>
      <c r="N8" s="2130"/>
      <c r="O8" s="2130"/>
      <c r="P8" s="2130"/>
      <c r="Q8" s="2125"/>
      <c r="AM8" s="2494">
        <v>8</v>
      </c>
    </row>
    <row r="9" spans="1:39" ht="8.15" customHeight="1">
      <c r="Q9" s="2133"/>
      <c r="AM9" s="2493">
        <v>9</v>
      </c>
    </row>
    <row r="10" spans="1:39" ht="13.5" customHeight="1">
      <c r="A10" s="3783" t="s">
        <v>4755</v>
      </c>
      <c r="B10" s="3783"/>
      <c r="C10" s="3783"/>
      <c r="D10" s="3783"/>
      <c r="E10" s="3988" t="str">
        <f>IF(OR((C12-A12&gt;0),(D12-A12&gt;0)),"Points Exceed Max!","")</f>
        <v/>
      </c>
      <c r="F10" s="3989" t="s">
        <v>4719</v>
      </c>
      <c r="G10" s="3990"/>
      <c r="H10" s="3990"/>
      <c r="I10" s="3991"/>
      <c r="J10" s="3995" t="s">
        <v>4045</v>
      </c>
      <c r="K10" s="3996"/>
      <c r="L10" s="3996"/>
      <c r="M10" s="3997"/>
      <c r="O10" s="4001" t="s">
        <v>4720</v>
      </c>
      <c r="P10" s="4001"/>
      <c r="Q10" s="2133"/>
      <c r="AM10" s="2493">
        <v>10</v>
      </c>
    </row>
    <row r="11" spans="1:39" ht="13.5" customHeight="1">
      <c r="A11" s="4003" t="s">
        <v>4736</v>
      </c>
      <c r="B11" s="4004"/>
      <c r="C11" s="2134" t="s">
        <v>2881</v>
      </c>
      <c r="D11" s="2135" t="s">
        <v>245</v>
      </c>
      <c r="E11" s="3988"/>
      <c r="F11" s="3992"/>
      <c r="G11" s="3993"/>
      <c r="H11" s="3993"/>
      <c r="I11" s="3994"/>
      <c r="J11" s="3998"/>
      <c r="K11" s="3999"/>
      <c r="L11" s="3999"/>
      <c r="M11" s="4000"/>
      <c r="O11" s="4002"/>
      <c r="P11" s="4002"/>
      <c r="AM11" s="2493">
        <v>11</v>
      </c>
    </row>
    <row r="12" spans="1:39" ht="10.5" customHeight="1">
      <c r="A12" s="4005">
        <v>33</v>
      </c>
      <c r="B12" s="4006"/>
      <c r="C12" s="3969">
        <f>IF($O$12="4%",O160+O169+O190+O206+O238+O265,0)</f>
        <v>0</v>
      </c>
      <c r="D12" s="3971">
        <f>IF($O$12="4%",P160+P169+P190+P206+P238+P265,0)</f>
        <v>0</v>
      </c>
      <c r="E12" s="3988"/>
      <c r="F12" s="3973" t="s">
        <v>4610</v>
      </c>
      <c r="G12" s="3974"/>
      <c r="H12" s="3977" t="s">
        <v>4610</v>
      </c>
      <c r="I12" s="3978"/>
      <c r="J12" s="3981" t="s">
        <v>4611</v>
      </c>
      <c r="K12" s="3981"/>
      <c r="L12" s="3977" t="s">
        <v>4611</v>
      </c>
      <c r="M12" s="3978"/>
      <c r="O12" s="4009"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P12" s="4010"/>
      <c r="AM12" s="2493">
        <v>12</v>
      </c>
    </row>
    <row r="13" spans="1:39" ht="10.5" customHeight="1">
      <c r="A13" s="4007"/>
      <c r="B13" s="4008"/>
      <c r="C13" s="3970"/>
      <c r="D13" s="3972"/>
      <c r="E13" s="3988"/>
      <c r="F13" s="3975"/>
      <c r="G13" s="3976"/>
      <c r="H13" s="3979"/>
      <c r="I13" s="3980"/>
      <c r="J13" s="3982"/>
      <c r="K13" s="3982"/>
      <c r="L13" s="3979"/>
      <c r="M13" s="3980"/>
      <c r="O13" s="4009"/>
      <c r="P13" s="4010"/>
      <c r="AM13" s="2493">
        <v>13</v>
      </c>
    </row>
    <row r="14" spans="1:39" ht="9" customHeight="1">
      <c r="A14" s="2108"/>
      <c r="B14" s="2127"/>
      <c r="C14" s="2108"/>
      <c r="D14" s="1997"/>
      <c r="E14" s="1998"/>
      <c r="F14" s="1998"/>
      <c r="G14" s="2137"/>
      <c r="H14" s="2137"/>
      <c r="I14" s="2137"/>
      <c r="J14" s="2137"/>
      <c r="K14" s="2137"/>
      <c r="L14" s="2137"/>
      <c r="M14" s="2110"/>
      <c r="O14" s="2121"/>
      <c r="P14" s="2111"/>
      <c r="R14" s="2108"/>
      <c r="S14" s="2108"/>
      <c r="T14" s="2108"/>
      <c r="U14" s="2108"/>
      <c r="V14" s="2108"/>
      <c r="W14" s="2108"/>
      <c r="X14" s="2138"/>
      <c r="Y14" s="2138"/>
      <c r="Z14" s="2138"/>
      <c r="AA14" s="2138"/>
      <c r="AB14" s="2138"/>
      <c r="AC14" s="2138"/>
      <c r="AD14" s="2138"/>
      <c r="AE14" s="2138"/>
      <c r="AF14" s="2138"/>
      <c r="AG14" s="2138"/>
      <c r="AH14" s="2138"/>
      <c r="AI14" s="2138"/>
      <c r="AM14" s="2493">
        <v>14</v>
      </c>
    </row>
    <row r="15" spans="1:39" ht="16" customHeight="1">
      <c r="A15" s="2108"/>
      <c r="B15" s="2127"/>
      <c r="C15" s="3957" t="s">
        <v>4955</v>
      </c>
      <c r="D15" s="3958"/>
      <c r="E15" s="3958"/>
      <c r="F15" s="3958"/>
      <c r="G15" s="3958"/>
      <c r="H15" s="3958"/>
      <c r="I15" s="3958"/>
      <c r="J15" s="3958"/>
      <c r="K15" s="3958"/>
      <c r="L15" s="3959"/>
      <c r="M15" s="2110"/>
      <c r="O15" s="2121"/>
      <c r="P15" s="2111"/>
      <c r="Q15" s="2125"/>
      <c r="R15" s="2125"/>
      <c r="S15" s="2125"/>
      <c r="T15" s="2125"/>
      <c r="U15" s="2125"/>
      <c r="V15" s="2125"/>
      <c r="W15" s="2125"/>
      <c r="X15" s="2125"/>
      <c r="Y15" s="2125"/>
      <c r="Z15" s="2125"/>
      <c r="AA15" s="2125"/>
      <c r="AB15" s="2125"/>
      <c r="AC15" s="2125"/>
      <c r="AD15" s="2125"/>
      <c r="AE15" s="2125"/>
      <c r="AF15" s="2138"/>
      <c r="AG15" s="2138"/>
      <c r="AH15" s="2138"/>
      <c r="AI15" s="2138"/>
      <c r="AM15" s="2494">
        <v>15</v>
      </c>
    </row>
    <row r="16" spans="1:39" ht="16" customHeight="1">
      <c r="A16" s="2108"/>
      <c r="B16" s="2127"/>
      <c r="C16" s="3960" t="s">
        <v>3180</v>
      </c>
      <c r="D16" s="3961"/>
      <c r="E16" s="3961"/>
      <c r="F16" s="3961"/>
      <c r="G16" s="3962"/>
      <c r="H16" s="3963" t="s">
        <v>4956</v>
      </c>
      <c r="I16" s="3964"/>
      <c r="J16" s="3964"/>
      <c r="K16" s="3964"/>
      <c r="L16" s="3965"/>
      <c r="M16" s="2110"/>
      <c r="O16" s="2121"/>
      <c r="P16" s="2111"/>
      <c r="Q16" s="2125"/>
      <c r="R16" s="2125"/>
      <c r="S16" s="2125"/>
      <c r="T16" s="2125"/>
      <c r="U16" s="2125"/>
      <c r="V16" s="2125"/>
      <c r="W16" s="2125"/>
      <c r="X16" s="2125"/>
      <c r="Y16" s="2125"/>
      <c r="Z16" s="2125"/>
      <c r="AA16" s="2125"/>
      <c r="AB16" s="2125"/>
      <c r="AC16" s="2125"/>
      <c r="AD16" s="2125"/>
      <c r="AE16" s="2125"/>
      <c r="AF16" s="2138"/>
      <c r="AG16" s="2138"/>
      <c r="AH16" s="2138"/>
      <c r="AI16" s="2138"/>
      <c r="AM16" s="2494">
        <v>16</v>
      </c>
    </row>
    <row r="17" spans="1:39" ht="16" customHeight="1">
      <c r="Q17" s="2125"/>
      <c r="R17" s="2125"/>
      <c r="S17" s="2125"/>
      <c r="T17" s="2125"/>
      <c r="U17" s="2125"/>
      <c r="V17" s="2125"/>
      <c r="W17" s="2125"/>
      <c r="X17" s="2125"/>
      <c r="Y17" s="2125"/>
      <c r="Z17" s="2125"/>
      <c r="AA17" s="2125"/>
      <c r="AB17" s="2125"/>
      <c r="AC17" s="2125"/>
      <c r="AD17" s="2125"/>
      <c r="AE17" s="2125"/>
      <c r="AM17" s="2494">
        <v>17</v>
      </c>
    </row>
    <row r="18" spans="1:39" ht="54" customHeight="1">
      <c r="C18" s="3966" t="s">
        <v>5045</v>
      </c>
      <c r="D18" s="3967"/>
      <c r="E18" s="3967"/>
      <c r="F18" s="3967"/>
      <c r="G18" s="3967"/>
      <c r="H18" s="3967"/>
      <c r="I18" s="3967"/>
      <c r="J18" s="3967"/>
      <c r="K18" s="3967"/>
      <c r="L18" s="3967"/>
      <c r="M18" s="3968"/>
      <c r="Q18" s="2125"/>
      <c r="R18" s="2125"/>
      <c r="S18" s="2125"/>
      <c r="T18" s="2125"/>
      <c r="U18" s="2125"/>
      <c r="V18" s="2125"/>
      <c r="W18" s="2125"/>
      <c r="X18" s="2125"/>
      <c r="Y18" s="2125"/>
      <c r="Z18" s="2125"/>
      <c r="AA18" s="2125"/>
      <c r="AB18" s="2125"/>
      <c r="AC18" s="2125"/>
      <c r="AD18" s="2125"/>
      <c r="AE18" s="2125"/>
      <c r="AM18" s="2493">
        <v>18</v>
      </c>
    </row>
    <row r="19" spans="1:39" ht="16" customHeight="1" thickBot="1">
      <c r="Q19" s="2125"/>
      <c r="R19" s="2125"/>
      <c r="S19" s="2125"/>
      <c r="T19" s="2125"/>
      <c r="U19" s="2125"/>
      <c r="V19" s="2125"/>
      <c r="W19" s="2125"/>
      <c r="X19" s="2125"/>
      <c r="Y19" s="2125"/>
      <c r="Z19" s="2125"/>
      <c r="AA19" s="2125"/>
      <c r="AB19" s="2125"/>
      <c r="AC19" s="2125"/>
      <c r="AD19" s="2125"/>
      <c r="AE19" s="2125"/>
      <c r="AM19" s="2493">
        <v>19</v>
      </c>
    </row>
    <row r="20" spans="1:39" ht="16" customHeight="1" thickBot="1">
      <c r="A20" s="2131" t="s">
        <v>690</v>
      </c>
      <c r="B20" s="2132" t="s">
        <v>2509</v>
      </c>
      <c r="H20" s="2140"/>
      <c r="J20" s="2110"/>
      <c r="K20" s="2108"/>
      <c r="L20" s="2141" t="s">
        <v>4899</v>
      </c>
      <c r="M20" s="2111">
        <v>6</v>
      </c>
      <c r="N20" s="2110"/>
      <c r="O20" s="2142">
        <f>IF(AND(O21&gt;0,O25&gt;0),"AorB?",MIN($M20,SUM(O21,O25,O27)))</f>
        <v>0</v>
      </c>
      <c r="P20" s="2142">
        <f>IF(AND(P21&gt;0,P25&gt;0),"AorB?",MIN($M20,SUM(P21,P25,P27)))</f>
        <v>0</v>
      </c>
      <c r="Q20" s="2143" t="s">
        <v>415</v>
      </c>
      <c r="T20" s="2139"/>
      <c r="U20" s="2139"/>
      <c r="AM20" s="2494">
        <v>20</v>
      </c>
    </row>
    <row r="21" spans="1:39" s="2108" customFormat="1" ht="16" customHeight="1">
      <c r="A21" s="2111" t="s">
        <v>1836</v>
      </c>
      <c r="B21" s="2119" t="s">
        <v>2060</v>
      </c>
      <c r="D21" s="2144"/>
      <c r="E21" s="2144"/>
      <c r="G21" s="2107"/>
      <c r="L21" s="2145"/>
      <c r="M21" s="2110">
        <v>5</v>
      </c>
      <c r="N21" s="2146"/>
      <c r="O21" s="2147">
        <f>IF(OR(AND(O22="Yes",O23="Yes",O24="Yes"),AND(O22="Yes",O24="Yes"),AND(O23="Yes",O24="Yes"),AND(O22="Yes",O23="Yes")),"choose",IF(O22="Yes",$M$22,IF(O23="Yes",$M$23, IF(O24="Yes",$M$24,0))))</f>
        <v>0</v>
      </c>
      <c r="P21" s="2147">
        <f>IF(OR(AND(P22="Yes",P23="Yes",P24="Yes"),AND(P22="Yes",P24="Yes"),AND(P23="Yes",P24="Yes"),AND(P22="Yes",P23="Yes")),"choose",IF(P22="Yes",$M$22,IF(P23="Yes",$M$23, IF(P24="Yes",$M$24,0))))</f>
        <v>0</v>
      </c>
      <c r="Q21" s="2148"/>
      <c r="R21" s="2149"/>
      <c r="T21" s="2139"/>
      <c r="U21" s="2139"/>
      <c r="AM21" s="2493">
        <v>21</v>
      </c>
    </row>
    <row r="22" spans="1:39" s="2108" customFormat="1" ht="16" customHeight="1">
      <c r="A22" s="2111"/>
      <c r="B22" s="2150" t="s">
        <v>1839</v>
      </c>
      <c r="C22" s="2140" t="s">
        <v>4957</v>
      </c>
      <c r="D22" s="2144"/>
      <c r="E22" s="2144"/>
      <c r="G22" s="2107"/>
      <c r="L22" s="2145"/>
      <c r="M22" s="2110">
        <v>5</v>
      </c>
      <c r="N22" s="2151"/>
      <c r="O22" s="2004"/>
      <c r="P22" s="2152"/>
      <c r="Q22" s="2148"/>
      <c r="R22" s="2149"/>
      <c r="T22" s="2139"/>
      <c r="U22" s="2139"/>
      <c r="AM22" s="2493">
        <v>22</v>
      </c>
    </row>
    <row r="23" spans="1:39" s="2108" customFormat="1" ht="16" customHeight="1">
      <c r="A23" s="2111"/>
      <c r="B23" s="2153" t="s">
        <v>1841</v>
      </c>
      <c r="C23" s="2140" t="s">
        <v>4958</v>
      </c>
      <c r="D23" s="2144"/>
      <c r="E23" s="2144"/>
      <c r="G23" s="2107"/>
      <c r="L23" s="2145"/>
      <c r="M23" s="2110">
        <v>3</v>
      </c>
      <c r="N23" s="2151"/>
      <c r="O23" s="2006"/>
      <c r="P23" s="2154"/>
      <c r="Q23" s="2148"/>
      <c r="R23" s="2149"/>
      <c r="T23" s="2139"/>
      <c r="U23" s="2139"/>
      <c r="AM23" s="2494">
        <v>23</v>
      </c>
    </row>
    <row r="24" spans="1:39" s="2108" customFormat="1" ht="16" customHeight="1">
      <c r="A24" s="2111"/>
      <c r="B24" s="2153" t="s">
        <v>2326</v>
      </c>
      <c r="C24" s="2140" t="s">
        <v>4959</v>
      </c>
      <c r="D24" s="2144"/>
      <c r="E24" s="2144"/>
      <c r="G24" s="2107"/>
      <c r="K24" s="2146"/>
      <c r="M24" s="2110">
        <v>1</v>
      </c>
      <c r="N24" s="2151"/>
      <c r="O24" s="2003"/>
      <c r="P24" s="2155"/>
      <c r="R24" s="2107"/>
      <c r="T24" s="2139"/>
      <c r="U24" s="2139"/>
      <c r="AM24" s="2494">
        <v>24</v>
      </c>
    </row>
    <row r="25" spans="1:39" ht="16" customHeight="1">
      <c r="A25" s="2111" t="s">
        <v>1838</v>
      </c>
      <c r="B25" s="2119" t="s">
        <v>3832</v>
      </c>
      <c r="D25" s="2108"/>
      <c r="K25" s="2108"/>
      <c r="L25" s="2145" t="str">
        <f>IF(OR($O25=$M25,$O25=0,$O25=""),"","* * Check Score! * *")</f>
        <v/>
      </c>
      <c r="M25" s="2110">
        <v>1</v>
      </c>
      <c r="N25" s="2146"/>
      <c r="O25" s="2156">
        <f>IF(O26="Yes",$M$25,0)</f>
        <v>0</v>
      </c>
      <c r="P25" s="2156">
        <f>IF(P26="Yes",$M$25,0)</f>
        <v>0</v>
      </c>
      <c r="Q25" s="2148" t="str">
        <f>IF(OR($O25=$M25,$O25=0,$O25=""),"","*CHECK!*")</f>
        <v/>
      </c>
      <c r="R25" s="2149"/>
      <c r="T25" s="2139"/>
      <c r="U25" s="2139"/>
      <c r="AM25" s="2494">
        <v>25</v>
      </c>
    </row>
    <row r="26" spans="1:39">
      <c r="A26" s="2157"/>
      <c r="B26" s="3910" t="s">
        <v>4960</v>
      </c>
      <c r="C26" s="3910"/>
      <c r="D26" s="3910"/>
      <c r="E26" s="3910"/>
      <c r="F26" s="3910"/>
      <c r="G26" s="3910"/>
      <c r="H26" s="3910"/>
      <c r="I26" s="3910"/>
      <c r="J26" s="3910"/>
      <c r="K26" s="3910"/>
      <c r="L26" s="3910"/>
      <c r="M26" s="2110"/>
      <c r="N26" s="2146"/>
      <c r="O26" s="2021"/>
      <c r="P26" s="2159"/>
      <c r="R26" s="2145"/>
      <c r="T26" s="2139"/>
      <c r="U26" s="2139"/>
      <c r="AM26" s="2494">
        <v>26</v>
      </c>
    </row>
    <row r="27" spans="1:39" ht="16" customHeight="1">
      <c r="A27" s="2111" t="s">
        <v>697</v>
      </c>
      <c r="B27" s="2119" t="s">
        <v>4859</v>
      </c>
      <c r="D27" s="2108"/>
      <c r="H27" s="2108"/>
      <c r="K27" s="2108"/>
      <c r="L27" s="2145"/>
      <c r="M27" s="2110">
        <v>1</v>
      </c>
      <c r="N27" s="2146"/>
      <c r="O27" s="2156">
        <f>IF(O21=0,0,IF(OR(O29="Yes",O30="Yes",O32="Yes"),$M$27,0))</f>
        <v>0</v>
      </c>
      <c r="P27" s="2156">
        <f>IF(P21=0,0,IF(OR(P29="Yes",P30="Yes",P32="Yes"),$M$27,0))</f>
        <v>0</v>
      </c>
      <c r="Q27" s="2148" t="str">
        <f>IF(OR($O27=$M27,$O27=0,$O27=""),"","*CHECK!*")</f>
        <v/>
      </c>
      <c r="R27" s="2149"/>
      <c r="T27" s="2139"/>
      <c r="U27" s="2139"/>
      <c r="AM27" s="2493">
        <v>27</v>
      </c>
    </row>
    <row r="28" spans="1:39">
      <c r="B28" s="3893" t="s">
        <v>4961</v>
      </c>
      <c r="C28" s="3893"/>
      <c r="D28" s="3893"/>
      <c r="E28" s="3893"/>
      <c r="F28" s="3893"/>
      <c r="G28" s="3893"/>
      <c r="H28" s="3893"/>
      <c r="I28" s="3893"/>
      <c r="J28" s="3893"/>
      <c r="K28" s="3893"/>
      <c r="L28" s="3893"/>
      <c r="M28" s="2110"/>
      <c r="N28" s="2110"/>
      <c r="O28" s="2110"/>
      <c r="P28" s="2110"/>
      <c r="R28" s="2145"/>
      <c r="T28" s="2139"/>
      <c r="U28" s="2139"/>
      <c r="AM28" s="2494">
        <v>28</v>
      </c>
    </row>
    <row r="29" spans="1:39" s="2163" customFormat="1">
      <c r="B29" s="2153" t="s">
        <v>1839</v>
      </c>
      <c r="C29" s="2162" t="s">
        <v>4962</v>
      </c>
      <c r="D29" s="2160"/>
      <c r="E29" s="2160"/>
      <c r="F29" s="2160"/>
      <c r="G29" s="2160"/>
      <c r="H29" s="2160"/>
      <c r="I29" s="2160"/>
      <c r="J29" s="2160"/>
      <c r="K29" s="2160"/>
      <c r="L29" s="2160"/>
      <c r="M29" s="2164"/>
      <c r="N29" s="2165"/>
      <c r="O29" s="2097"/>
      <c r="P29" s="2166"/>
      <c r="R29" s="2167"/>
      <c r="T29" s="2168"/>
      <c r="U29" s="2168"/>
      <c r="AM29" s="2493">
        <v>29</v>
      </c>
    </row>
    <row r="30" spans="1:39" s="2163" customFormat="1">
      <c r="B30" s="2153" t="s">
        <v>1841</v>
      </c>
      <c r="C30" s="2162" t="s">
        <v>4963</v>
      </c>
      <c r="D30" s="2160"/>
      <c r="E30" s="2160"/>
      <c r="F30" s="2160"/>
      <c r="G30" s="2160"/>
      <c r="H30" s="2160"/>
      <c r="I30" s="2160"/>
      <c r="J30" s="2160"/>
      <c r="K30" s="2160"/>
      <c r="L30" s="2160"/>
      <c r="M30" s="2164"/>
      <c r="N30" s="2165"/>
      <c r="O30" s="2016"/>
      <c r="P30" s="2161"/>
      <c r="R30" s="2167"/>
      <c r="T30" s="2168"/>
      <c r="U30" s="2168"/>
      <c r="AM30" s="2493">
        <v>30</v>
      </c>
    </row>
    <row r="31" spans="1:39" s="2163" customFormat="1">
      <c r="B31" s="2162" t="s">
        <v>4964</v>
      </c>
      <c r="D31" s="2160"/>
      <c r="E31" s="2160"/>
      <c r="F31" s="2160"/>
      <c r="G31" s="2160"/>
      <c r="H31" s="2160"/>
      <c r="J31" s="3945"/>
      <c r="K31" s="3946"/>
      <c r="L31" s="3946"/>
      <c r="M31" s="3947"/>
      <c r="N31" s="2165"/>
      <c r="O31" s="2165"/>
      <c r="P31" s="2165"/>
      <c r="R31" s="2167"/>
      <c r="T31" s="2168"/>
      <c r="U31" s="2168"/>
      <c r="AM31" s="2493">
        <v>31</v>
      </c>
    </row>
    <row r="32" spans="1:39" s="2163" customFormat="1">
      <c r="B32" s="2153" t="s">
        <v>2326</v>
      </c>
      <c r="C32" s="3893" t="s">
        <v>4965</v>
      </c>
      <c r="D32" s="3893"/>
      <c r="E32" s="3893"/>
      <c r="F32" s="3893"/>
      <c r="G32" s="3893"/>
      <c r="H32" s="3893"/>
      <c r="I32" s="3893"/>
      <c r="J32" s="3893"/>
      <c r="K32" s="3893"/>
      <c r="L32" s="3893"/>
      <c r="M32" s="2164"/>
      <c r="N32" s="2165"/>
      <c r="O32" s="2018"/>
      <c r="P32" s="2259"/>
      <c r="R32" s="2167"/>
      <c r="T32" s="2168"/>
      <c r="U32" s="2168"/>
      <c r="AM32" s="2493">
        <v>32</v>
      </c>
    </row>
    <row r="33" spans="1:39" ht="16" customHeight="1">
      <c r="A33" s="2108"/>
      <c r="B33" s="2169" t="s">
        <v>1725</v>
      </c>
      <c r="C33" s="2170"/>
      <c r="D33" s="2169"/>
      <c r="E33" s="2171"/>
      <c r="F33" s="2160"/>
      <c r="G33" s="2160"/>
      <c r="H33" s="2160"/>
      <c r="I33" s="2160"/>
      <c r="J33" s="2160"/>
      <c r="K33" s="2160"/>
      <c r="L33" s="2160"/>
      <c r="M33" s="2160"/>
      <c r="N33" s="2172"/>
      <c r="O33" s="2173"/>
      <c r="P33" s="2111"/>
      <c r="AM33" s="2494">
        <v>33</v>
      </c>
    </row>
    <row r="34" spans="1:39" ht="16" customHeight="1">
      <c r="A34" s="3756"/>
      <c r="B34" s="3757"/>
      <c r="C34" s="3757"/>
      <c r="D34" s="3757"/>
      <c r="E34" s="3757"/>
      <c r="F34" s="3757"/>
      <c r="G34" s="3757"/>
      <c r="H34" s="3757"/>
      <c r="I34" s="3757"/>
      <c r="J34" s="3757"/>
      <c r="K34" s="3757"/>
      <c r="L34" s="3757"/>
      <c r="M34" s="3757"/>
      <c r="N34" s="3757"/>
      <c r="O34" s="3757"/>
      <c r="P34" s="3758"/>
      <c r="Q34" s="2174"/>
      <c r="AM34" s="2494">
        <v>34</v>
      </c>
    </row>
    <row r="35" spans="1:39" ht="9.75" customHeight="1">
      <c r="A35" s="2108"/>
      <c r="B35" s="2127"/>
      <c r="C35" s="2108"/>
      <c r="D35" s="1997"/>
      <c r="E35" s="1998"/>
      <c r="F35" s="1998"/>
      <c r="G35" s="2137"/>
      <c r="H35" s="2137"/>
      <c r="I35" s="2137"/>
      <c r="J35" s="2137"/>
      <c r="K35" s="2137"/>
      <c r="L35" s="2137"/>
      <c r="M35" s="2110"/>
      <c r="O35" s="2121"/>
      <c r="P35" s="2111"/>
      <c r="R35" s="2108"/>
      <c r="S35" s="2108"/>
      <c r="T35" s="2108"/>
      <c r="U35" s="2108"/>
      <c r="V35" s="2108"/>
      <c r="W35" s="2108"/>
      <c r="X35" s="2138"/>
      <c r="Y35" s="2138"/>
      <c r="Z35" s="2138"/>
      <c r="AA35" s="2138"/>
      <c r="AB35" s="2138"/>
      <c r="AC35" s="2138"/>
      <c r="AD35" s="2138"/>
      <c r="AE35" s="2138"/>
      <c r="AF35" s="2138"/>
      <c r="AG35" s="2138"/>
      <c r="AH35" s="2138"/>
      <c r="AI35" s="2138"/>
      <c r="AM35" s="2494">
        <v>35</v>
      </c>
    </row>
    <row r="36" spans="1:39" ht="9.75" customHeight="1" thickBot="1">
      <c r="T36" s="2139"/>
      <c r="U36" s="2139"/>
      <c r="AM36" s="2494">
        <v>36</v>
      </c>
    </row>
    <row r="37" spans="1:39" s="2108" customFormat="1" ht="16" customHeight="1" thickBot="1">
      <c r="A37" s="2131" t="s">
        <v>1661</v>
      </c>
      <c r="B37" s="2132" t="s">
        <v>4477</v>
      </c>
      <c r="D37" s="2132"/>
      <c r="E37" s="2132"/>
      <c r="G37" s="2175"/>
      <c r="L37" s="2176" t="str">
        <f>IF(AND(O44&gt;0,O46&gt;0), "Choose only one option!","")</f>
        <v/>
      </c>
      <c r="M37" s="2111">
        <v>2</v>
      </c>
      <c r="N37" s="2110"/>
      <c r="O37" s="2142">
        <f>IF(O44=$M$44,$M$44,IF(O46=$M$46,$M$46,0))</f>
        <v>0</v>
      </c>
      <c r="P37" s="2142">
        <f>IF(P44=$M$44,$M$44,IF(P46=$M$46,$M$46,0))</f>
        <v>0</v>
      </c>
      <c r="Q37" s="2143" t="s">
        <v>415</v>
      </c>
      <c r="R37" s="2105"/>
      <c r="S37" s="2105"/>
      <c r="T37" s="2105"/>
      <c r="U37" s="2105"/>
      <c r="V37" s="2105"/>
      <c r="AM37" s="2493">
        <v>37</v>
      </c>
    </row>
    <row r="38" spans="1:39" s="2108" customFormat="1" ht="16" customHeight="1">
      <c r="A38" s="2131"/>
      <c r="B38" s="2108" t="s">
        <v>4729</v>
      </c>
      <c r="D38" s="2132"/>
      <c r="E38" s="2132"/>
      <c r="J38" s="2177"/>
      <c r="M38" s="2178"/>
      <c r="O38" s="3948" t="s">
        <v>4730</v>
      </c>
      <c r="P38" s="3948" t="s">
        <v>3067</v>
      </c>
      <c r="Q38" s="2143"/>
      <c r="R38" s="2105"/>
      <c r="S38" s="2105"/>
      <c r="T38" s="2105"/>
      <c r="U38" s="2105"/>
      <c r="V38" s="2105"/>
      <c r="W38" s="2107"/>
      <c r="X38" s="2107"/>
      <c r="AM38" s="2494">
        <v>38</v>
      </c>
    </row>
    <row r="39" spans="1:39" s="2108" customFormat="1" ht="16" customHeight="1">
      <c r="A39" s="2131"/>
      <c r="C39" s="2108" t="s">
        <v>4591</v>
      </c>
      <c r="G39" s="3949"/>
      <c r="H39" s="3950"/>
      <c r="I39" s="3951"/>
      <c r="J39" s="3952"/>
      <c r="K39" s="2355"/>
      <c r="M39" s="2178"/>
      <c r="O39" s="3880"/>
      <c r="P39" s="3880"/>
      <c r="Q39" s="2143"/>
      <c r="V39" s="2105"/>
      <c r="W39" s="2107"/>
      <c r="X39" s="2107"/>
      <c r="AM39" s="2493">
        <v>39</v>
      </c>
    </row>
    <row r="40" spans="1:39" s="2108" customFormat="1" ht="16" customHeight="1">
      <c r="A40" s="2131"/>
      <c r="C40" s="2108" t="s">
        <v>4966</v>
      </c>
      <c r="G40" s="3953" t="s">
        <v>1641</v>
      </c>
      <c r="H40" s="3954"/>
      <c r="I40" s="2179"/>
      <c r="J40" s="2180"/>
      <c r="M40" s="2178"/>
      <c r="O40" s="3880"/>
      <c r="P40" s="3880"/>
      <c r="Q40" s="2143"/>
      <c r="V40" s="2105"/>
      <c r="W40" s="2107"/>
      <c r="X40" s="2107"/>
      <c r="AM40" s="2493">
        <v>40</v>
      </c>
    </row>
    <row r="41" spans="1:39" s="2108" customFormat="1" ht="16" customHeight="1">
      <c r="A41" s="2131"/>
      <c r="C41" s="2108" t="s">
        <v>4590</v>
      </c>
      <c r="G41" s="3955"/>
      <c r="H41" s="3956"/>
      <c r="I41" s="2355"/>
      <c r="M41" s="2178"/>
      <c r="O41" s="3881"/>
      <c r="P41" s="3881"/>
      <c r="Q41" s="2143"/>
      <c r="V41" s="2105"/>
      <c r="W41" s="2107"/>
      <c r="X41" s="2107"/>
      <c r="AM41" s="2493">
        <v>41</v>
      </c>
    </row>
    <row r="42" spans="1:39" ht="28.5" customHeight="1" thickBot="1">
      <c r="A42" s="2182"/>
      <c r="B42" s="2146"/>
      <c r="C42" s="3910" t="s">
        <v>4860</v>
      </c>
      <c r="D42" s="3910"/>
      <c r="E42" s="3910"/>
      <c r="F42" s="3910"/>
      <c r="G42" s="3910"/>
      <c r="H42" s="3910"/>
      <c r="I42" s="3910"/>
      <c r="J42" s="3910"/>
      <c r="K42" s="3910"/>
      <c r="L42" s="3910"/>
      <c r="M42" s="2108"/>
      <c r="N42" s="2146"/>
      <c r="O42" s="2394"/>
      <c r="P42" s="2395"/>
      <c r="Q42" s="2143"/>
      <c r="R42" s="2181"/>
      <c r="S42" s="2181"/>
      <c r="T42" s="2181"/>
      <c r="U42" s="2181"/>
      <c r="AM42" s="2493">
        <v>42</v>
      </c>
    </row>
    <row r="43" spans="1:39" ht="2.25" hidden="1" customHeight="1">
      <c r="A43" s="2108"/>
      <c r="D43" s="2108"/>
      <c r="E43" s="2108"/>
      <c r="F43" s="2111"/>
      <c r="G43" s="2111"/>
      <c r="H43" s="2111"/>
      <c r="I43" s="2111"/>
      <c r="J43" s="2140"/>
      <c r="K43" s="2140"/>
      <c r="L43" s="2140"/>
      <c r="M43" s="2110"/>
      <c r="N43" s="2111"/>
      <c r="P43" s="2121"/>
      <c r="AM43" s="2494">
        <v>43</v>
      </c>
    </row>
    <row r="44" spans="1:39" ht="16" customHeight="1" thickBot="1">
      <c r="A44" s="2111" t="s">
        <v>1836</v>
      </c>
      <c r="B44" s="2183" t="s">
        <v>4478</v>
      </c>
      <c r="D44" s="2162"/>
      <c r="E44" s="2162"/>
      <c r="H44" s="2162"/>
      <c r="L44" s="2162"/>
      <c r="M44" s="2128">
        <v>2</v>
      </c>
      <c r="N44" s="2146"/>
      <c r="O44" s="2142">
        <f>IF(O45="Yes",$M44,0)</f>
        <v>0</v>
      </c>
      <c r="P44" s="2142">
        <f>IF(P45="Yes",$M44,0)</f>
        <v>0</v>
      </c>
      <c r="Q44" s="2184" t="str">
        <f>IF(OR(O44=0,O44="",O44=$M44),"","Check!")</f>
        <v/>
      </c>
      <c r="R44" s="2149"/>
      <c r="S44" s="2105"/>
      <c r="T44" s="2105"/>
      <c r="U44" s="2105"/>
      <c r="V44" s="2105"/>
      <c r="AM44" s="2494">
        <v>44</v>
      </c>
    </row>
    <row r="45" spans="1:39" s="2163" customFormat="1" ht="14.5" thickBot="1">
      <c r="A45" s="2185"/>
      <c r="B45" s="2162" t="s">
        <v>4967</v>
      </c>
      <c r="C45" s="2265"/>
      <c r="D45" s="2265"/>
      <c r="E45" s="2265"/>
      <c r="F45" s="2265"/>
      <c r="G45" s="2265"/>
      <c r="H45" s="2265"/>
      <c r="I45" s="2265"/>
      <c r="J45" s="2265"/>
      <c r="K45" s="2265"/>
      <c r="L45" s="2265"/>
      <c r="M45" s="2265"/>
      <c r="N45" s="2151"/>
      <c r="O45" s="2019"/>
      <c r="P45" s="2186"/>
      <c r="Q45" s="2187"/>
      <c r="R45" s="2188"/>
      <c r="S45" s="2188"/>
      <c r="T45" s="2188"/>
      <c r="U45" s="2188"/>
      <c r="AM45" s="2494">
        <v>45</v>
      </c>
    </row>
    <row r="46" spans="1:39" ht="16" customHeight="1" thickBot="1">
      <c r="A46" s="2111" t="s">
        <v>1838</v>
      </c>
      <c r="B46" s="2183" t="s">
        <v>4479</v>
      </c>
      <c r="D46" s="2162"/>
      <c r="L46" s="2162"/>
      <c r="M46" s="2128">
        <v>2</v>
      </c>
      <c r="N46" s="2146"/>
      <c r="O46" s="2142">
        <f>IF(AND(O47="Yes",O48="Yes"),$M46,0)</f>
        <v>0</v>
      </c>
      <c r="P46" s="2142">
        <f>IF(AND(P47="Yes",P48="Yes"),$M46,0)</f>
        <v>0</v>
      </c>
      <c r="Q46" s="2184" t="str">
        <f>IF(OR(O46=0,O46="",O46=$M46),"","Check!")</f>
        <v/>
      </c>
      <c r="R46" s="2149"/>
      <c r="S46" s="2105"/>
      <c r="T46" s="2105"/>
      <c r="U46" s="2105"/>
      <c r="V46" s="2105"/>
      <c r="AM46" s="2494">
        <v>46</v>
      </c>
    </row>
    <row r="47" spans="1:39" ht="16" customHeight="1">
      <c r="A47" s="2111"/>
      <c r="B47" s="2108" t="s">
        <v>4968</v>
      </c>
      <c r="D47" s="2162"/>
      <c r="L47" s="2162"/>
      <c r="M47" s="2128"/>
      <c r="N47" s="2146"/>
      <c r="O47" s="2019"/>
      <c r="P47" s="2186"/>
      <c r="Q47" s="2184"/>
      <c r="R47" s="2149"/>
      <c r="S47" s="2105"/>
      <c r="T47" s="2105"/>
      <c r="U47" s="2105"/>
      <c r="V47" s="2105"/>
      <c r="AM47" s="2493">
        <v>47</v>
      </c>
    </row>
    <row r="48" spans="1:39" ht="28.5" customHeight="1">
      <c r="A48" s="2111"/>
      <c r="B48" s="3893" t="s">
        <v>4861</v>
      </c>
      <c r="C48" s="3893"/>
      <c r="D48" s="3893"/>
      <c r="E48" s="3893"/>
      <c r="F48" s="3893"/>
      <c r="G48" s="3893"/>
      <c r="H48" s="3893"/>
      <c r="I48" s="3893"/>
      <c r="J48" s="3893"/>
      <c r="K48" s="3893"/>
      <c r="L48" s="3893"/>
      <c r="M48" s="3893"/>
      <c r="N48" s="2146"/>
      <c r="O48" s="2103"/>
      <c r="P48" s="2189"/>
      <c r="Q48" s="2184"/>
      <c r="R48" s="2149"/>
      <c r="S48" s="2105"/>
      <c r="T48" s="2105"/>
      <c r="U48" s="2105"/>
      <c r="V48" s="2105"/>
      <c r="AM48" s="2494">
        <v>48</v>
      </c>
    </row>
    <row r="49" spans="1:39" ht="16" customHeight="1">
      <c r="A49" s="2108"/>
      <c r="B49" s="2130" t="s">
        <v>4850</v>
      </c>
      <c r="C49" s="2108"/>
      <c r="D49" s="2108"/>
      <c r="E49" s="2108"/>
      <c r="F49" s="2108"/>
      <c r="G49" s="2108"/>
      <c r="H49" s="2108"/>
      <c r="I49" s="2108"/>
      <c r="J49" s="2108"/>
      <c r="K49" s="2108"/>
      <c r="M49" s="2110"/>
      <c r="O49" s="2121"/>
      <c r="R49" s="2105"/>
      <c r="S49" s="2105"/>
      <c r="T49" s="2105"/>
      <c r="U49" s="2105"/>
      <c r="V49" s="2105"/>
      <c r="AM49" s="2493">
        <v>49</v>
      </c>
    </row>
    <row r="50" spans="1:39" ht="16" customHeight="1">
      <c r="A50" s="3776"/>
      <c r="B50" s="3777"/>
      <c r="C50" s="3777"/>
      <c r="D50" s="3777"/>
      <c r="E50" s="3777"/>
      <c r="F50" s="3777"/>
      <c r="G50" s="3777"/>
      <c r="H50" s="3777"/>
      <c r="I50" s="3777"/>
      <c r="J50" s="3777"/>
      <c r="K50" s="3777"/>
      <c r="L50" s="3777"/>
      <c r="M50" s="3777"/>
      <c r="N50" s="3777"/>
      <c r="O50" s="3777"/>
      <c r="P50" s="3778"/>
      <c r="Q50" s="2191"/>
      <c r="AM50" s="2493">
        <v>50</v>
      </c>
    </row>
    <row r="51" spans="1:39" ht="16" customHeight="1">
      <c r="A51" s="2108"/>
      <c r="B51" s="2169" t="s">
        <v>1725</v>
      </c>
      <c r="C51" s="2108"/>
      <c r="D51" s="2169"/>
      <c r="E51" s="2160"/>
      <c r="F51" s="2160"/>
      <c r="G51" s="2160"/>
      <c r="H51" s="2160"/>
      <c r="I51" s="2160"/>
      <c r="J51" s="2160"/>
      <c r="K51" s="2160"/>
      <c r="L51" s="2160"/>
      <c r="M51" s="2160"/>
      <c r="N51" s="2172"/>
      <c r="O51" s="2173"/>
      <c r="P51" s="2111"/>
      <c r="AM51" s="2493">
        <v>51</v>
      </c>
    </row>
    <row r="52" spans="1:39" ht="16" customHeight="1">
      <c r="A52" s="3756"/>
      <c r="B52" s="3757"/>
      <c r="C52" s="3757"/>
      <c r="D52" s="3757"/>
      <c r="E52" s="3757"/>
      <c r="F52" s="3757"/>
      <c r="G52" s="3757"/>
      <c r="H52" s="3757"/>
      <c r="I52" s="3757"/>
      <c r="J52" s="3757"/>
      <c r="K52" s="3757"/>
      <c r="L52" s="3757"/>
      <c r="M52" s="3757"/>
      <c r="N52" s="3757"/>
      <c r="O52" s="3757"/>
      <c r="P52" s="3758"/>
      <c r="Q52" s="2174"/>
      <c r="AM52" s="2493">
        <v>52</v>
      </c>
    </row>
    <row r="53" spans="1:39" ht="9.75" customHeight="1">
      <c r="A53" s="2108"/>
      <c r="B53" s="2127"/>
      <c r="C53" s="2108"/>
      <c r="D53" s="1997"/>
      <c r="E53" s="1998"/>
      <c r="F53" s="1998"/>
      <c r="G53" s="2137"/>
      <c r="H53" s="2137"/>
      <c r="I53" s="2137"/>
      <c r="J53" s="2137"/>
      <c r="K53" s="2137"/>
      <c r="L53" s="2137"/>
      <c r="M53" s="2110"/>
      <c r="O53" s="2121"/>
      <c r="P53" s="2111"/>
      <c r="R53" s="2108"/>
      <c r="S53" s="2108"/>
      <c r="T53" s="2108"/>
      <c r="U53" s="2108"/>
      <c r="V53" s="2108"/>
      <c r="W53" s="2108"/>
      <c r="X53" s="2138"/>
      <c r="Y53" s="2138"/>
      <c r="Z53" s="2138"/>
      <c r="AA53" s="2138"/>
      <c r="AB53" s="2138"/>
      <c r="AC53" s="2138"/>
      <c r="AD53" s="2138"/>
      <c r="AE53" s="2138"/>
      <c r="AF53" s="2138"/>
      <c r="AG53" s="2138"/>
      <c r="AH53" s="2138"/>
      <c r="AI53" s="2138"/>
      <c r="AM53" s="2493">
        <v>53</v>
      </c>
    </row>
    <row r="54" spans="1:39" ht="9.75" customHeight="1" thickBot="1">
      <c r="T54" s="2139"/>
      <c r="U54" s="2139"/>
      <c r="AM54" s="2493">
        <v>54</v>
      </c>
    </row>
    <row r="55" spans="1:39" ht="16" customHeight="1" thickBot="1">
      <c r="A55" s="2131" t="s">
        <v>1663</v>
      </c>
      <c r="B55" s="2132" t="s">
        <v>3261</v>
      </c>
      <c r="D55" s="2192"/>
      <c r="E55" s="2192"/>
      <c r="F55" s="2108"/>
      <c r="G55" s="2108"/>
      <c r="H55" s="2108"/>
      <c r="J55" s="2193"/>
      <c r="K55" s="2178"/>
      <c r="L55" s="2141" t="s">
        <v>4899</v>
      </c>
      <c r="M55" s="2121">
        <v>5</v>
      </c>
      <c r="N55" s="2110"/>
      <c r="O55" s="2194">
        <f>O56+O78</f>
        <v>0</v>
      </c>
      <c r="P55" s="2194">
        <f>P56+P78</f>
        <v>0</v>
      </c>
      <c r="Q55" s="2143" t="s">
        <v>415</v>
      </c>
      <c r="AM55" s="2494">
        <v>55</v>
      </c>
    </row>
    <row r="56" spans="1:39" ht="16" customHeight="1" thickBot="1">
      <c r="A56" s="2195" t="s">
        <v>1836</v>
      </c>
      <c r="B56" s="2119" t="s">
        <v>3262</v>
      </c>
      <c r="L56" s="2145" t="str">
        <f>IF(O56&lt;=M56,"","* * Check Score! * *")</f>
        <v/>
      </c>
      <c r="M56" s="2110">
        <v>4</v>
      </c>
      <c r="N56" s="2146"/>
      <c r="O56" s="2022"/>
      <c r="P56" s="2196"/>
      <c r="Q56" s="2148" t="str">
        <f>IF(O56&lt;=M56,"","*CHECK!*")</f>
        <v/>
      </c>
      <c r="R56" s="2124"/>
      <c r="S56" s="2124"/>
      <c r="T56" s="2106"/>
      <c r="AM56" s="2494">
        <v>56</v>
      </c>
    </row>
    <row r="57" spans="1:39" ht="31" customHeight="1">
      <c r="A57" s="2195"/>
      <c r="B57" s="3943" t="s">
        <v>4864</v>
      </c>
      <c r="C57" s="3943"/>
      <c r="D57" s="3943"/>
      <c r="E57" s="3943"/>
      <c r="F57" s="3943"/>
      <c r="G57" s="3943"/>
      <c r="H57" s="3943"/>
      <c r="I57" s="3943"/>
      <c r="J57" s="3943"/>
      <c r="K57" s="3943"/>
      <c r="L57" s="3943"/>
      <c r="N57" s="2107"/>
      <c r="O57" s="2023"/>
      <c r="P57" s="2197"/>
      <c r="R57" s="2124"/>
      <c r="S57" s="2124"/>
      <c r="T57" s="2106"/>
      <c r="AM57" s="2493">
        <v>57</v>
      </c>
    </row>
    <row r="58" spans="1:39" ht="16" customHeight="1">
      <c r="A58" s="2195"/>
      <c r="B58" s="2198"/>
      <c r="C58" s="2163"/>
      <c r="D58" s="2163"/>
      <c r="E58" s="2163"/>
      <c r="F58" s="2163"/>
      <c r="G58" s="2163"/>
      <c r="H58" s="2163"/>
      <c r="I58" s="2163"/>
      <c r="J58" s="3944" t="s">
        <v>1843</v>
      </c>
      <c r="K58" s="3944"/>
      <c r="M58" s="3944" t="s">
        <v>1843</v>
      </c>
      <c r="N58" s="3944"/>
      <c r="O58" s="3944"/>
      <c r="P58" s="3944"/>
      <c r="R58" s="2199"/>
      <c r="S58" s="2199"/>
      <c r="T58" s="2106"/>
      <c r="AM58" s="2493">
        <v>58</v>
      </c>
    </row>
    <row r="59" spans="1:39" ht="14.15" customHeight="1">
      <c r="A59" s="2146"/>
      <c r="B59" s="2150" t="s">
        <v>1839</v>
      </c>
      <c r="C59" s="2108" t="s">
        <v>1386</v>
      </c>
      <c r="I59" s="2146"/>
      <c r="J59" s="3938"/>
      <c r="K59" s="3939"/>
      <c r="L59" s="2146"/>
      <c r="M59" s="3940"/>
      <c r="N59" s="3941"/>
      <c r="O59" s="3941"/>
      <c r="P59" s="3942"/>
      <c r="R59" s="2145"/>
      <c r="AM59" s="2494">
        <v>59</v>
      </c>
    </row>
    <row r="60" spans="1:39" ht="14.15" customHeight="1">
      <c r="A60" s="2141"/>
      <c r="B60" s="2153" t="s">
        <v>1841</v>
      </c>
      <c r="C60" s="2108" t="s">
        <v>3072</v>
      </c>
      <c r="I60" s="2165"/>
      <c r="J60" s="3930"/>
      <c r="K60" s="3931"/>
      <c r="L60" s="2165"/>
      <c r="M60" s="3932"/>
      <c r="N60" s="3933"/>
      <c r="O60" s="3933"/>
      <c r="P60" s="3934"/>
      <c r="AM60" s="2494">
        <v>60</v>
      </c>
    </row>
    <row r="61" spans="1:39" ht="14.15" customHeight="1">
      <c r="B61" s="2150" t="s">
        <v>2326</v>
      </c>
      <c r="C61" s="2108" t="s">
        <v>3833</v>
      </c>
      <c r="I61" s="2146"/>
      <c r="J61" s="3930"/>
      <c r="K61" s="3931"/>
      <c r="L61" s="2146"/>
      <c r="M61" s="3932"/>
      <c r="N61" s="3933"/>
      <c r="O61" s="3933"/>
      <c r="P61" s="3934"/>
      <c r="AM61" s="2494">
        <v>61</v>
      </c>
    </row>
    <row r="62" spans="1:39" ht="14.15" customHeight="1">
      <c r="B62" s="2150" t="s">
        <v>1149</v>
      </c>
      <c r="C62" s="2108" t="s">
        <v>4862</v>
      </c>
      <c r="I62" s="2146"/>
      <c r="J62" s="3930"/>
      <c r="K62" s="3931"/>
      <c r="L62" s="2146"/>
      <c r="M62" s="3932"/>
      <c r="N62" s="3933"/>
      <c r="O62" s="3933"/>
      <c r="P62" s="3934"/>
      <c r="AM62" s="2494">
        <v>62</v>
      </c>
    </row>
    <row r="63" spans="1:39" ht="14.15" customHeight="1">
      <c r="A63" s="2141"/>
      <c r="B63" s="2153" t="s">
        <v>1150</v>
      </c>
      <c r="C63" s="2108" t="s">
        <v>2988</v>
      </c>
      <c r="I63" s="2146"/>
      <c r="J63" s="3930"/>
      <c r="K63" s="3931"/>
      <c r="L63" s="2146"/>
      <c r="M63" s="3932"/>
      <c r="N63" s="3933"/>
      <c r="O63" s="3933"/>
      <c r="P63" s="3934"/>
      <c r="AM63" s="2493">
        <v>63</v>
      </c>
    </row>
    <row r="64" spans="1:39" ht="14.15" customHeight="1">
      <c r="A64" s="2146"/>
      <c r="B64" s="2150" t="s">
        <v>1737</v>
      </c>
      <c r="C64" s="2108" t="s">
        <v>2467</v>
      </c>
      <c r="I64" s="2165"/>
      <c r="J64" s="3930"/>
      <c r="K64" s="3931"/>
      <c r="L64" s="2165"/>
      <c r="M64" s="3932"/>
      <c r="N64" s="3933"/>
      <c r="O64" s="3933"/>
      <c r="P64" s="3934"/>
      <c r="AM64" s="2494">
        <v>64</v>
      </c>
    </row>
    <row r="65" spans="1:39" ht="14.15" customHeight="1">
      <c r="B65" s="2150" t="s">
        <v>472</v>
      </c>
      <c r="C65" s="2108" t="s">
        <v>1385</v>
      </c>
      <c r="I65" s="2146"/>
      <c r="J65" s="3930"/>
      <c r="K65" s="3931"/>
      <c r="L65" s="2146"/>
      <c r="M65" s="3932"/>
      <c r="N65" s="3933"/>
      <c r="O65" s="3933"/>
      <c r="P65" s="3934"/>
      <c r="AM65" s="2493">
        <v>65</v>
      </c>
    </row>
    <row r="66" spans="1:39" ht="14.15" customHeight="1">
      <c r="B66" s="2150" t="s">
        <v>473</v>
      </c>
      <c r="C66" s="2108" t="s">
        <v>4134</v>
      </c>
      <c r="I66" s="2146"/>
      <c r="J66" s="3930"/>
      <c r="K66" s="3931"/>
      <c r="L66" s="2146"/>
      <c r="M66" s="3932"/>
      <c r="N66" s="3933"/>
      <c r="O66" s="3933"/>
      <c r="P66" s="3934"/>
      <c r="R66" s="2145"/>
      <c r="AM66" s="2493">
        <v>66</v>
      </c>
    </row>
    <row r="67" spans="1:39" ht="14.15" customHeight="1">
      <c r="A67" s="2141"/>
      <c r="B67" s="2150" t="s">
        <v>3768</v>
      </c>
      <c r="C67" s="2108" t="s">
        <v>3071</v>
      </c>
      <c r="I67" s="2146"/>
      <c r="J67" s="3930"/>
      <c r="K67" s="3931"/>
      <c r="L67" s="2146"/>
      <c r="M67" s="3932"/>
      <c r="N67" s="3933"/>
      <c r="O67" s="3933"/>
      <c r="P67" s="3934"/>
      <c r="R67" s="2145"/>
      <c r="AM67" s="2493">
        <v>67</v>
      </c>
    </row>
    <row r="68" spans="1:39" ht="14.15" customHeight="1">
      <c r="B68" s="2150" t="s">
        <v>4710</v>
      </c>
      <c r="C68" s="2108" t="s">
        <v>4709</v>
      </c>
      <c r="I68" s="2146"/>
      <c r="J68" s="3930"/>
      <c r="K68" s="3931"/>
      <c r="L68" s="2146"/>
      <c r="M68" s="3932"/>
      <c r="N68" s="3933"/>
      <c r="O68" s="3933"/>
      <c r="P68" s="3934"/>
      <c r="R68" s="2145"/>
      <c r="AM68" s="2493">
        <v>68</v>
      </c>
    </row>
    <row r="69" spans="1:39" ht="14.15" customHeight="1">
      <c r="B69" s="2150" t="s">
        <v>4711</v>
      </c>
      <c r="C69" s="2108" t="s">
        <v>4731</v>
      </c>
      <c r="I69" s="2146"/>
      <c r="J69" s="3930"/>
      <c r="K69" s="3931"/>
      <c r="L69" s="2146"/>
      <c r="M69" s="3932"/>
      <c r="N69" s="3933"/>
      <c r="O69" s="3933"/>
      <c r="P69" s="3934"/>
      <c r="R69" s="2145"/>
      <c r="AM69" s="2493">
        <v>69</v>
      </c>
    </row>
    <row r="70" spans="1:39" ht="14.15" customHeight="1" thickBot="1">
      <c r="B70" s="2150" t="s">
        <v>4863</v>
      </c>
      <c r="C70" s="2108" t="s">
        <v>4732</v>
      </c>
      <c r="I70" s="2146"/>
      <c r="J70" s="3930"/>
      <c r="K70" s="3931"/>
      <c r="L70" s="2146"/>
      <c r="M70" s="3935"/>
      <c r="N70" s="3936"/>
      <c r="O70" s="3936"/>
      <c r="P70" s="3937"/>
      <c r="R70" s="2145"/>
      <c r="AM70" s="2493">
        <v>70</v>
      </c>
    </row>
    <row r="71" spans="1:39" ht="16" customHeight="1" thickBot="1">
      <c r="B71" s="2108"/>
      <c r="I71" s="2127" t="s">
        <v>2406</v>
      </c>
      <c r="J71" s="3922">
        <f>SUM(J59:K70)</f>
        <v>0</v>
      </c>
      <c r="K71" s="3923"/>
      <c r="M71" s="3922">
        <f>SUM($M59:$M70)</f>
        <v>0</v>
      </c>
      <c r="N71" s="3924"/>
      <c r="O71" s="3924"/>
      <c r="P71" s="3923"/>
      <c r="U71" s="3783" t="s">
        <v>4737</v>
      </c>
      <c r="V71" s="3783"/>
      <c r="W71" s="3783"/>
      <c r="X71" s="3783"/>
      <c r="Y71" s="3783"/>
      <c r="Z71" s="3783"/>
      <c r="AM71" s="2494">
        <v>71</v>
      </c>
    </row>
    <row r="72" spans="1:39" ht="16" customHeight="1">
      <c r="M72" s="2124"/>
      <c r="N72" s="2124"/>
      <c r="O72" s="2107"/>
      <c r="P72" s="2124"/>
      <c r="U72" s="2200" t="s">
        <v>4735</v>
      </c>
      <c r="V72" s="2200" t="s">
        <v>4736</v>
      </c>
      <c r="W72" s="2200" t="s">
        <v>4735</v>
      </c>
      <c r="X72" s="2200" t="s">
        <v>4736</v>
      </c>
      <c r="Y72" s="2200" t="s">
        <v>4735</v>
      </c>
      <c r="Z72" s="2200" t="s">
        <v>4736</v>
      </c>
      <c r="AM72" s="2494">
        <v>72</v>
      </c>
    </row>
    <row r="73" spans="1:39" ht="16" customHeight="1">
      <c r="A73" s="2108"/>
      <c r="B73" s="2150"/>
      <c r="C73" s="2192" t="s">
        <v>2405</v>
      </c>
      <c r="D73" s="2126"/>
      <c r="E73" s="2126"/>
      <c r="I73" s="2146" t="s">
        <v>4137</v>
      </c>
      <c r="J73" s="3914">
        <f>'Part V-Revenues &amp; Expenses'!$P$67</f>
        <v>0</v>
      </c>
      <c r="K73" s="3915"/>
      <c r="L73" s="2124"/>
      <c r="M73" s="2124"/>
      <c r="N73" s="2124"/>
      <c r="O73" s="2107"/>
      <c r="P73" s="2124"/>
      <c r="R73" s="2201" t="s">
        <v>4733</v>
      </c>
      <c r="U73" s="2202">
        <v>500000</v>
      </c>
      <c r="V73" s="2203">
        <v>999999.99</v>
      </c>
      <c r="W73" s="2202">
        <v>1000000</v>
      </c>
      <c r="X73" s="2203">
        <v>1999999.99</v>
      </c>
      <c r="Y73" s="2202">
        <v>2000000</v>
      </c>
      <c r="Z73" s="2204"/>
      <c r="AM73" s="2494">
        <v>73</v>
      </c>
    </row>
    <row r="74" spans="1:39" ht="16" customHeight="1">
      <c r="C74" s="2126"/>
      <c r="D74" s="2126"/>
      <c r="E74" s="2126"/>
      <c r="I74" s="2205" t="s">
        <v>4138</v>
      </c>
      <c r="J74" s="3925">
        <f>IF(J73=0,0,J71/J73)</f>
        <v>0</v>
      </c>
      <c r="K74" s="3926"/>
      <c r="M74" s="3927">
        <f>IF(J73=0,0,M71/J73)</f>
        <v>0</v>
      </c>
      <c r="N74" s="3928"/>
      <c r="O74" s="3928"/>
      <c r="P74" s="3929"/>
      <c r="R74" s="2201" t="s">
        <v>4734</v>
      </c>
      <c r="U74" s="2206">
        <v>10000</v>
      </c>
      <c r="V74" s="2207">
        <v>19999.990000000002</v>
      </c>
      <c r="W74" s="2206">
        <v>20000</v>
      </c>
      <c r="X74" s="2207">
        <v>29999.99</v>
      </c>
      <c r="Y74" s="2206">
        <v>30000</v>
      </c>
      <c r="Z74" s="2208"/>
      <c r="AM74" s="2493">
        <v>74</v>
      </c>
    </row>
    <row r="75" spans="1:39" ht="16" customHeight="1">
      <c r="C75" s="2126"/>
      <c r="D75" s="2126"/>
      <c r="E75" s="2126"/>
      <c r="I75" s="2141" t="s">
        <v>4712</v>
      </c>
      <c r="J75" s="3914">
        <f>IF(AND(J62+J67&gt;0,J71&gt;=$Y$73),$Y$75, IF(AND(J62+J67=0,J71&gt;=$Y$73),$Y$76, IF(AND(J62+J67&gt;0,J71&gt;=$W$73),$W$75,IF(AND(J62+J67=0,J71&gt;=$W$73),$W$76, IF(AND(J62+J67&gt;0,J71&gt;=$U$73),$U$75,IF(AND(J62+J67=0,J71&gt;=$U$73),$U$76,0))))))</f>
        <v>0</v>
      </c>
      <c r="K75" s="3915"/>
      <c r="M75" s="3914">
        <f>IF(AND(M62+M67&gt;0,M71&gt;=$Y$73),$Y$75, IF(AND(M62+M67=0,M71&gt;=$Y$73),$Y$76, IF(AND(M62+M67&gt;0,M71&gt;=$W$73),$W$75,IF(AND(M62+M67=0,M71&gt;=$W$73),$W$76, IF(AND(M62+M67&gt;0,M71&gt;=$U$73),$U$75,IF(AND(M62+M67=0,M71&gt;=$U$73),$U$76,0))))))</f>
        <v>0</v>
      </c>
      <c r="N75" s="3916"/>
      <c r="O75" s="3916">
        <f>IF(AND(O62+O67&gt;0,O71&gt;=$Y$73),$Y$75, IF(AND(O62+O67=0,O71&gt;=$Y$73),$Y$76, IF(AND(O62+O67&gt;0,O71&gt;=$W$73),$W$75,IF(AND(O62+O67=0,O71&gt;=$W$73),$W$76, IF(AND(O62+O67&gt;0,O71&gt;=$U$73),$U$75,IF(AND(O62+O67=0,O71&gt;=$U$73),$U$76,0))))))</f>
        <v>0</v>
      </c>
      <c r="P75" s="3915"/>
      <c r="R75" s="2201" t="s">
        <v>4865</v>
      </c>
      <c r="U75" s="3917">
        <v>2</v>
      </c>
      <c r="V75" s="3918"/>
      <c r="W75" s="3917">
        <v>3</v>
      </c>
      <c r="X75" s="3918"/>
      <c r="Y75" s="3917">
        <v>4</v>
      </c>
      <c r="Z75" s="3918"/>
      <c r="AM75" s="2493">
        <v>75</v>
      </c>
    </row>
    <row r="76" spans="1:39" ht="16" customHeight="1">
      <c r="C76" s="2126"/>
      <c r="D76" s="2126"/>
      <c r="E76" s="2126"/>
      <c r="I76" s="2141" t="s">
        <v>4139</v>
      </c>
      <c r="J76" s="3919">
        <f>IF(AND(J62+J67&gt;0,$J$74&gt;=$Y$74),$Y$75,IF(AND(J62+J67=0,$J$74&gt;=$Y$74),$Y$76,IF(AND(J62+J67&gt;0,$J$74&gt;=$W$74),$W$75,IF(AND(J62+J67=0,$J$74&gt;=$W$74),$W$76,IF(AND(J62+J67&gt;0,$J$74&gt;=$U$74),$U$75,IF(AND(J62+J67=0,$J$74&gt;=$U$74),$U$76,0))))))</f>
        <v>0</v>
      </c>
      <c r="K76" s="3920"/>
      <c r="L76" s="2124"/>
      <c r="M76" s="3919">
        <f>IF(AND(M62+M67&gt;0,$M$74&gt;=$Y$74),$Y$75,IF(AND(M62+M67=0,$M$74&gt;=$Y$74),$Y$76,IF(AND(M62+M67&gt;0,$M$74&gt;=$W$74),$W$75,IF(AND(M62+M67=0,$M$74&gt;=$W$74),$W$76,IF(AND(M62+M67&gt;0,$M$74&gt;=$U$74),$U$75,IF(AND(M62+M67=0,$M$74&gt;=$U$74),$U$76,0))))))</f>
        <v>0</v>
      </c>
      <c r="N76" s="3921"/>
      <c r="O76" s="3921">
        <f t="shared" ref="O76" si="0">IF(AND(O62+O67&gt;0,$J$73&gt;=$Y$74),$Y$75, IF(AND(O62+O67=0,$J$73&gt;=$Y$74),$Y$76, IF(AND(O62+O67&gt;0,$J$73&gt;=$W$74),$W$75,IF(AND(O62+O67=0,$J$73&gt;=$W$74),$W$76, IF(AND(O62+O67&gt;0,$J$73&gt;=$U$74),$U$75,IF(AND(O62+O67=0,$J$73&gt;=$U$74),$U$76,0))))))</f>
        <v>0</v>
      </c>
      <c r="P76" s="3920"/>
      <c r="R76" s="2201" t="s">
        <v>4866</v>
      </c>
      <c r="U76" s="3917">
        <v>1</v>
      </c>
      <c r="V76" s="3918"/>
      <c r="W76" s="3917">
        <v>2</v>
      </c>
      <c r="X76" s="3918"/>
      <c r="Y76" s="3917">
        <v>3</v>
      </c>
      <c r="Z76" s="3918"/>
      <c r="AM76" s="2494">
        <v>76</v>
      </c>
    </row>
    <row r="77" spans="1:39" ht="16" customHeight="1" thickBot="1">
      <c r="AM77" s="2493">
        <v>77</v>
      </c>
    </row>
    <row r="78" spans="1:39" ht="16" customHeight="1" thickBot="1">
      <c r="A78" s="2111" t="s">
        <v>1838</v>
      </c>
      <c r="B78" s="2119" t="s">
        <v>4867</v>
      </c>
      <c r="D78" s="2108"/>
      <c r="F78" s="2209" t="s">
        <v>4871</v>
      </c>
      <c r="K78" s="2108"/>
      <c r="L78" s="2210" t="s">
        <v>4870</v>
      </c>
      <c r="M78" s="2110">
        <v>1</v>
      </c>
      <c r="N78" s="2146"/>
      <c r="O78" s="2211">
        <f>IF(AND(O79&gt;0,O80&gt;0),"1or2?",MIN($M78,SUM(O79,O80)))</f>
        <v>0</v>
      </c>
      <c r="P78" s="2211">
        <f>IF(P79="Yes",$M$25,0)</f>
        <v>0</v>
      </c>
      <c r="Q78" s="2148"/>
      <c r="R78" s="2149"/>
      <c r="T78" s="2139"/>
      <c r="U78" s="2139"/>
      <c r="AM78" s="2493">
        <v>78</v>
      </c>
    </row>
    <row r="79" spans="1:39" s="2108" customFormat="1" ht="16" customHeight="1" thickBot="1">
      <c r="A79" s="2111"/>
      <c r="B79" s="2150" t="s">
        <v>1839</v>
      </c>
      <c r="C79" s="2140" t="s">
        <v>4868</v>
      </c>
      <c r="F79" s="2212" t="s">
        <v>4869</v>
      </c>
      <c r="I79" s="2111"/>
      <c r="J79" s="2140"/>
      <c r="K79" s="2140"/>
      <c r="L79" s="2145" t="str">
        <f>IF(OR($O79=$M79,$O79=0,$O79=""),"","* * Check Score! * *")</f>
        <v/>
      </c>
      <c r="M79" s="2213">
        <v>0.5</v>
      </c>
      <c r="N79" s="2146"/>
      <c r="O79" s="2098"/>
      <c r="P79" s="2214"/>
      <c r="Q79" s="2149"/>
      <c r="V79" s="2139"/>
      <c r="AM79" s="2494">
        <v>79</v>
      </c>
    </row>
    <row r="80" spans="1:39" s="2108" customFormat="1" ht="16" customHeight="1">
      <c r="A80" s="2111"/>
      <c r="B80" s="2153" t="s">
        <v>1841</v>
      </c>
      <c r="C80" s="2140" t="s">
        <v>3074</v>
      </c>
      <c r="F80" s="2111"/>
      <c r="I80" s="2111"/>
      <c r="J80" s="2140"/>
      <c r="K80" s="2140"/>
      <c r="L80" s="2145" t="str">
        <f>IF(OR($O80=$M80,$O80=0,$O80=""),"","* * Check Score! * *")</f>
        <v/>
      </c>
      <c r="M80" s="2213">
        <v>1</v>
      </c>
      <c r="N80" s="2146"/>
      <c r="O80" s="2215">
        <f>IF(AND(O81="Yes",O82="Yes"),$M80,0)</f>
        <v>0</v>
      </c>
      <c r="P80" s="2215">
        <f>IF(AND(P81="Yes",P82="Yes"),$M80,0)</f>
        <v>0</v>
      </c>
      <c r="Q80" s="2149"/>
      <c r="V80" s="2139"/>
      <c r="AM80" s="2494">
        <v>80</v>
      </c>
    </row>
    <row r="81" spans="1:39">
      <c r="A81" s="2127"/>
      <c r="B81" s="2190"/>
      <c r="C81" s="2162" t="s">
        <v>4967</v>
      </c>
      <c r="D81" s="2265"/>
      <c r="E81" s="2265"/>
      <c r="F81" s="2265"/>
      <c r="G81" s="2265"/>
      <c r="H81" s="2265"/>
      <c r="I81" s="2265"/>
      <c r="J81" s="2265"/>
      <c r="K81" s="2265"/>
      <c r="L81" s="2265"/>
      <c r="M81" s="2265"/>
      <c r="N81" s="2216"/>
      <c r="O81" s="2024"/>
      <c r="P81" s="2217"/>
      <c r="V81" s="2139"/>
      <c r="AM81" s="2494">
        <v>81</v>
      </c>
    </row>
    <row r="82" spans="1:39" ht="16" customHeight="1">
      <c r="A82" s="2127"/>
      <c r="B82" s="2190"/>
      <c r="C82" s="2108" t="s">
        <v>4713</v>
      </c>
      <c r="D82" s="2108"/>
      <c r="E82" s="2108"/>
      <c r="F82" s="2108"/>
      <c r="G82" s="2108"/>
      <c r="H82" s="2108"/>
      <c r="I82" s="2108"/>
      <c r="J82" s="2108"/>
      <c r="K82" s="2108"/>
      <c r="M82" s="2108"/>
      <c r="N82" s="2218"/>
      <c r="O82" s="2003"/>
      <c r="P82" s="2155"/>
      <c r="V82" s="2139"/>
      <c r="AM82" s="2494">
        <v>82</v>
      </c>
    </row>
    <row r="83" spans="1:39" ht="16" customHeight="1">
      <c r="A83" s="2108"/>
      <c r="B83" s="2130" t="s">
        <v>4850</v>
      </c>
      <c r="C83" s="2108"/>
      <c r="D83" s="2108"/>
      <c r="E83" s="2108"/>
      <c r="F83" s="2108"/>
      <c r="G83" s="2108"/>
      <c r="H83" s="2108"/>
      <c r="I83" s="2108"/>
      <c r="J83" s="2108"/>
      <c r="K83" s="2108"/>
      <c r="M83" s="2110"/>
      <c r="O83" s="2121"/>
      <c r="AM83" s="2493">
        <v>83</v>
      </c>
    </row>
    <row r="84" spans="1:39" ht="16" customHeight="1">
      <c r="A84" s="3776"/>
      <c r="B84" s="3777"/>
      <c r="C84" s="3777"/>
      <c r="D84" s="3777"/>
      <c r="E84" s="3777"/>
      <c r="F84" s="3777"/>
      <c r="G84" s="3777"/>
      <c r="H84" s="3777"/>
      <c r="I84" s="3777"/>
      <c r="J84" s="3777"/>
      <c r="K84" s="3777"/>
      <c r="L84" s="3777"/>
      <c r="M84" s="3777"/>
      <c r="N84" s="3777"/>
      <c r="O84" s="3777"/>
      <c r="P84" s="3778"/>
      <c r="Q84" s="2191"/>
      <c r="AM84" s="2494">
        <v>84</v>
      </c>
    </row>
    <row r="85" spans="1:39" s="2108" customFormat="1" ht="16" customHeight="1">
      <c r="B85" s="2219" t="s">
        <v>1725</v>
      </c>
      <c r="C85" s="2170"/>
      <c r="D85" s="2219"/>
      <c r="E85" s="2220"/>
      <c r="F85" s="2158"/>
      <c r="G85" s="2158"/>
      <c r="H85" s="2158"/>
      <c r="I85" s="2158"/>
      <c r="J85" s="2158"/>
      <c r="K85" s="2158"/>
      <c r="L85" s="2158"/>
      <c r="M85" s="2158"/>
      <c r="N85" s="2221"/>
      <c r="O85" s="2136"/>
      <c r="P85" s="2111"/>
      <c r="Q85" s="2107"/>
      <c r="AM85" s="2493">
        <v>85</v>
      </c>
    </row>
    <row r="86" spans="1:39" ht="16" customHeight="1">
      <c r="A86" s="3756"/>
      <c r="B86" s="3757"/>
      <c r="C86" s="3757"/>
      <c r="D86" s="3757"/>
      <c r="E86" s="3757"/>
      <c r="F86" s="3757"/>
      <c r="G86" s="3757"/>
      <c r="H86" s="3757"/>
      <c r="I86" s="3757"/>
      <c r="J86" s="3757"/>
      <c r="K86" s="3757"/>
      <c r="L86" s="3757"/>
      <c r="M86" s="3757"/>
      <c r="N86" s="3757"/>
      <c r="O86" s="3757"/>
      <c r="P86" s="3758"/>
      <c r="Q86" s="2174"/>
      <c r="AM86" s="2493">
        <v>86</v>
      </c>
    </row>
    <row r="87" spans="1:39" ht="9.75" customHeight="1">
      <c r="A87" s="2108"/>
      <c r="B87" s="2127"/>
      <c r="C87" s="2108"/>
      <c r="D87" s="1997"/>
      <c r="E87" s="1998"/>
      <c r="F87" s="1998"/>
      <c r="G87" s="2137"/>
      <c r="H87" s="2137"/>
      <c r="I87" s="2137"/>
      <c r="J87" s="2137"/>
      <c r="K87" s="2137"/>
      <c r="L87" s="2137"/>
      <c r="M87" s="2110"/>
      <c r="O87" s="2121"/>
      <c r="P87" s="2111"/>
      <c r="R87" s="2108"/>
      <c r="S87" s="2108"/>
      <c r="T87" s="2108"/>
      <c r="U87" s="2108"/>
      <c r="V87" s="2108"/>
      <c r="W87" s="2108"/>
      <c r="X87" s="2138"/>
      <c r="Y87" s="2138"/>
      <c r="Z87" s="2138"/>
      <c r="AA87" s="2138"/>
      <c r="AB87" s="2138"/>
      <c r="AC87" s="2138"/>
      <c r="AD87" s="2138"/>
      <c r="AE87" s="2138"/>
      <c r="AF87" s="2138"/>
      <c r="AG87" s="2138"/>
      <c r="AH87" s="2138"/>
      <c r="AI87" s="2138"/>
      <c r="AM87" s="2493">
        <v>87</v>
      </c>
    </row>
    <row r="88" spans="1:39" ht="9.75" customHeight="1" thickBot="1">
      <c r="T88" s="2139"/>
      <c r="U88" s="2139"/>
      <c r="AM88" s="2493">
        <v>88</v>
      </c>
    </row>
    <row r="89" spans="1:39" s="2108" customFormat="1" ht="16" customHeight="1" thickBot="1">
      <c r="A89" s="2222" t="s">
        <v>495</v>
      </c>
      <c r="B89" s="2132" t="s">
        <v>3911</v>
      </c>
      <c r="D89" s="2132"/>
      <c r="E89" s="2132"/>
      <c r="K89" s="2145"/>
      <c r="L89" s="2141" t="s">
        <v>4899</v>
      </c>
      <c r="M89" s="2111">
        <v>10</v>
      </c>
      <c r="N89" s="2110"/>
      <c r="O89" s="2142">
        <f>MIN($M$89,O91-O92+O95)</f>
        <v>10</v>
      </c>
      <c r="P89" s="2142">
        <f>IF(P96="Yes",0,MIN($M$89,P91-P92+P95))</f>
        <v>10</v>
      </c>
      <c r="Q89" s="2143" t="s">
        <v>415</v>
      </c>
      <c r="AM89" s="2494">
        <v>89</v>
      </c>
    </row>
    <row r="90" spans="1:39" s="2108" customFormat="1" ht="16" hidden="1" customHeight="1">
      <c r="A90" s="2222"/>
      <c r="B90" s="2132"/>
      <c r="D90" s="2132"/>
      <c r="E90" s="2132"/>
      <c r="L90" s="2145"/>
      <c r="M90" s="2111"/>
      <c r="N90" s="2110"/>
      <c r="O90" s="2110"/>
      <c r="P90" s="2110"/>
      <c r="Q90" s="2143"/>
      <c r="AM90" s="2494">
        <v>90</v>
      </c>
    </row>
    <row r="91" spans="1:39" s="2108" customFormat="1" ht="16" customHeight="1">
      <c r="A91" s="2222"/>
      <c r="B91" s="2119" t="s">
        <v>3094</v>
      </c>
      <c r="D91" s="2132"/>
      <c r="E91" s="2132"/>
      <c r="L91" s="2145"/>
      <c r="M91" s="2111"/>
      <c r="N91" s="2110"/>
      <c r="O91" s="2223">
        <v>10</v>
      </c>
      <c r="P91" s="2223">
        <v>10</v>
      </c>
      <c r="Q91" s="2143"/>
      <c r="AM91" s="2494">
        <v>91</v>
      </c>
    </row>
    <row r="92" spans="1:39" s="2108" customFormat="1" ht="16" customHeight="1">
      <c r="A92" s="2111" t="s">
        <v>1836</v>
      </c>
      <c r="B92" s="2119" t="s">
        <v>4750</v>
      </c>
      <c r="D92" s="2132"/>
      <c r="E92" s="2132"/>
      <c r="L92" s="2145"/>
      <c r="M92" s="2111"/>
      <c r="N92" s="2110"/>
      <c r="O92" s="2224">
        <f>SUM(O93:O94)</f>
        <v>0</v>
      </c>
      <c r="P92" s="2224">
        <f>SUM(P93:P94)</f>
        <v>0</v>
      </c>
      <c r="Q92" s="2143"/>
      <c r="AM92" s="2494">
        <v>92</v>
      </c>
    </row>
    <row r="93" spans="1:39" s="2108" customFormat="1" ht="16" customHeight="1">
      <c r="A93" s="2111"/>
      <c r="B93" s="2150" t="s">
        <v>1839</v>
      </c>
      <c r="C93" s="2108" t="s">
        <v>4944</v>
      </c>
      <c r="D93" s="2132"/>
      <c r="E93" s="2132"/>
      <c r="L93" s="2145"/>
      <c r="M93" s="2225"/>
      <c r="N93" s="2110"/>
      <c r="O93" s="2025"/>
      <c r="P93" s="2226"/>
      <c r="Q93" s="2143"/>
      <c r="AM93" s="2493">
        <v>93</v>
      </c>
    </row>
    <row r="94" spans="1:39" s="2108" customFormat="1" ht="16" customHeight="1">
      <c r="A94" s="2111"/>
      <c r="B94" s="2153" t="s">
        <v>1841</v>
      </c>
      <c r="C94" s="2108" t="s">
        <v>4945</v>
      </c>
      <c r="D94" s="2132"/>
      <c r="E94" s="2132"/>
      <c r="L94" s="2145"/>
      <c r="M94" s="2225"/>
      <c r="N94" s="2110"/>
      <c r="O94" s="2104"/>
      <c r="P94" s="2227"/>
      <c r="Q94" s="2143"/>
      <c r="AM94" s="2494">
        <v>94</v>
      </c>
    </row>
    <row r="95" spans="1:39" s="2108" customFormat="1" ht="16" customHeight="1">
      <c r="A95" s="2111" t="s">
        <v>1838</v>
      </c>
      <c r="B95" s="2119" t="s">
        <v>4751</v>
      </c>
      <c r="D95" s="2132"/>
      <c r="E95" s="2132"/>
      <c r="L95" s="2145"/>
      <c r="M95" s="2111"/>
      <c r="N95" s="2110"/>
      <c r="O95" s="2026"/>
      <c r="P95" s="2228"/>
      <c r="Q95" s="2143"/>
      <c r="AM95" s="2493">
        <v>95</v>
      </c>
    </row>
    <row r="96" spans="1:39" s="2108" customFormat="1" ht="16" customHeight="1">
      <c r="A96" s="2130"/>
      <c r="B96" s="2130" t="s">
        <v>1725</v>
      </c>
      <c r="D96" s="2130"/>
      <c r="E96" s="2158"/>
      <c r="F96" s="2158"/>
      <c r="G96" s="2158"/>
      <c r="H96" s="2158"/>
      <c r="I96" s="2158"/>
      <c r="J96" s="2108" t="s">
        <v>5062</v>
      </c>
      <c r="K96" s="2158"/>
      <c r="L96" s="2158"/>
      <c r="M96" s="2158"/>
      <c r="N96" s="2221"/>
      <c r="O96" s="2136"/>
      <c r="P96" s="2296"/>
      <c r="AM96" s="2493">
        <v>96</v>
      </c>
    </row>
    <row r="97" spans="1:39" ht="16" customHeight="1">
      <c r="A97" s="3756"/>
      <c r="B97" s="3757"/>
      <c r="C97" s="3757"/>
      <c r="D97" s="3757"/>
      <c r="E97" s="3757"/>
      <c r="F97" s="3757"/>
      <c r="G97" s="3757"/>
      <c r="H97" s="3757"/>
      <c r="I97" s="3757"/>
      <c r="J97" s="3757"/>
      <c r="K97" s="3757"/>
      <c r="L97" s="3757"/>
      <c r="M97" s="3757"/>
      <c r="N97" s="3757"/>
      <c r="O97" s="3757"/>
      <c r="P97" s="3758"/>
      <c r="Q97" s="2191"/>
      <c r="R97" s="2191"/>
      <c r="AM97" s="2493">
        <v>97</v>
      </c>
    </row>
    <row r="98" spans="1:39" ht="9.75" customHeight="1">
      <c r="A98" s="2108"/>
      <c r="B98" s="2127"/>
      <c r="C98" s="2108"/>
      <c r="D98" s="1997"/>
      <c r="E98" s="1998"/>
      <c r="F98" s="1998"/>
      <c r="G98" s="2137"/>
      <c r="H98" s="2137"/>
      <c r="I98" s="2137"/>
      <c r="J98" s="2137"/>
      <c r="K98" s="2137"/>
      <c r="L98" s="2137"/>
      <c r="M98" s="2110"/>
      <c r="O98" s="2121"/>
      <c r="P98" s="2111"/>
      <c r="R98" s="2108"/>
      <c r="S98" s="2108"/>
      <c r="T98" s="2108"/>
      <c r="U98" s="2108"/>
      <c r="V98" s="2108"/>
      <c r="W98" s="2108"/>
      <c r="X98" s="2138"/>
      <c r="Y98" s="2138"/>
      <c r="Z98" s="2138"/>
      <c r="AA98" s="2138"/>
      <c r="AB98" s="2138"/>
      <c r="AC98" s="2138"/>
      <c r="AD98" s="2138"/>
      <c r="AE98" s="2138"/>
      <c r="AF98" s="2138"/>
      <c r="AG98" s="2138"/>
      <c r="AH98" s="2138"/>
      <c r="AI98" s="2138"/>
      <c r="AM98" s="2493">
        <v>98</v>
      </c>
    </row>
    <row r="99" spans="1:39" ht="9.75" customHeight="1" thickBot="1">
      <c r="T99" s="2139"/>
      <c r="U99" s="2139"/>
      <c r="AM99" s="2494">
        <v>99</v>
      </c>
    </row>
    <row r="100" spans="1:39" ht="16" customHeight="1" thickBot="1">
      <c r="A100" s="2222" t="s">
        <v>719</v>
      </c>
      <c r="B100" s="2132" t="s">
        <v>4504</v>
      </c>
      <c r="C100" s="2160"/>
      <c r="D100" s="2160"/>
      <c r="E100" s="2160"/>
      <c r="F100" s="2160"/>
      <c r="G100" s="2229" t="s">
        <v>4876</v>
      </c>
      <c r="H100" s="2160"/>
      <c r="K100" s="2160"/>
      <c r="L100" s="2141" t="s">
        <v>4899</v>
      </c>
      <c r="M100" s="2111">
        <v>5</v>
      </c>
      <c r="N100" s="2172"/>
      <c r="O100" s="2142">
        <f>IF(OR((O101+O107+O108)&gt;$M100,(O101+O107)&gt;$M101,O108&gt;$M$108),"Check",IF((O101+O107+O108)&lt;=$M$100,(O101+O107+O108),""))</f>
        <v>2</v>
      </c>
      <c r="P100" s="2142">
        <f>IF(OR((P101+P107+P108)&gt;$M100,(P101+P107)&gt;$M101,P108&gt;$M$108),"Check",IF((P101+P107+P108)&lt;=$M$100,(P101+P107+P108),""))</f>
        <v>2</v>
      </c>
      <c r="Q100" s="2143" t="s">
        <v>415</v>
      </c>
      <c r="R100" s="2149"/>
      <c r="AM100" s="2494">
        <v>100</v>
      </c>
    </row>
    <row r="101" spans="1:39" ht="16" customHeight="1">
      <c r="A101" s="2111" t="s">
        <v>1836</v>
      </c>
      <c r="B101" s="2119" t="s">
        <v>4873</v>
      </c>
      <c r="C101" s="2108"/>
      <c r="D101" s="2108"/>
      <c r="E101" s="2119"/>
      <c r="F101" s="2108"/>
      <c r="G101" s="2209"/>
      <c r="H101" s="2108"/>
      <c r="I101" s="2108"/>
      <c r="J101" s="2108"/>
      <c r="K101" s="2110"/>
      <c r="L101" s="2146"/>
      <c r="M101" s="2110">
        <v>3</v>
      </c>
      <c r="N101" s="2230"/>
      <c r="O101" s="2231">
        <f>IF(AND(O103&gt;0,O104&gt;0),"1or2?",MIN($M101,SUM(O103,O104)))</f>
        <v>0</v>
      </c>
      <c r="P101" s="2231">
        <f>IF(AND(P103&gt;0,P104&gt;0),"1or2?",MIN($M101,SUM(P103,P104)))</f>
        <v>0</v>
      </c>
      <c r="Q101" s="2148"/>
      <c r="R101" s="2149"/>
      <c r="AM101" s="2494">
        <v>101</v>
      </c>
    </row>
    <row r="102" spans="1:39" ht="31.5" customHeight="1">
      <c r="A102" s="2111"/>
      <c r="B102" s="3910" t="s">
        <v>5028</v>
      </c>
      <c r="C102" s="3910"/>
      <c r="D102" s="3910"/>
      <c r="E102" s="3910"/>
      <c r="F102" s="3910"/>
      <c r="G102" s="3910"/>
      <c r="H102" s="3910"/>
      <c r="I102" s="3910"/>
      <c r="J102" s="3910"/>
      <c r="K102" s="3910"/>
      <c r="L102" s="3910"/>
      <c r="M102" s="2110"/>
      <c r="N102" s="2110"/>
      <c r="O102" s="2110"/>
      <c r="P102" s="2110"/>
      <c r="Q102" s="2148"/>
      <c r="R102" s="2149"/>
      <c r="AM102" s="2494">
        <v>102</v>
      </c>
    </row>
    <row r="103" spans="1:39" s="2163" customFormat="1" ht="16" customHeight="1">
      <c r="A103" s="2111"/>
      <c r="B103" s="2150" t="s">
        <v>1839</v>
      </c>
      <c r="C103" s="2108" t="s">
        <v>4874</v>
      </c>
      <c r="D103" s="2126"/>
      <c r="E103" s="2126"/>
      <c r="F103" s="2126"/>
      <c r="G103" s="2108"/>
      <c r="H103" s="2126"/>
      <c r="I103" s="2126"/>
      <c r="J103" s="3912" t="s">
        <v>4685</v>
      </c>
      <c r="K103" s="3913"/>
      <c r="L103" s="2126"/>
      <c r="M103" s="2213">
        <v>2</v>
      </c>
      <c r="N103" s="2232"/>
      <c r="O103" s="2009"/>
      <c r="P103" s="2278"/>
      <c r="Q103" s="2148" t="str">
        <f>IF(OR($O103=$M103,$O103=0,$O103=""),"","*CHECK!*")</f>
        <v/>
      </c>
      <c r="R103" s="2149"/>
      <c r="AM103" s="2493">
        <v>103</v>
      </c>
    </row>
    <row r="104" spans="1:39" s="2163" customFormat="1" ht="16" customHeight="1">
      <c r="A104" s="2111"/>
      <c r="B104" s="2153" t="s">
        <v>1841</v>
      </c>
      <c r="C104" s="2108" t="s">
        <v>4875</v>
      </c>
      <c r="D104" s="2126"/>
      <c r="E104" s="2126"/>
      <c r="F104" s="2126"/>
      <c r="G104" s="2108"/>
      <c r="H104" s="2126"/>
      <c r="J104" s="2498" t="s">
        <v>4686</v>
      </c>
      <c r="K104" s="2499" t="s">
        <v>5047</v>
      </c>
      <c r="L104" s="2496"/>
      <c r="M104" s="2213">
        <v>3</v>
      </c>
      <c r="N104" s="2232"/>
      <c r="O104" s="2013"/>
      <c r="P104" s="2237"/>
      <c r="Q104" s="2148" t="str">
        <f>IF(OR($O104=$M104,$O104=0,$O104=""),"","*CHECK!*")</f>
        <v/>
      </c>
      <c r="R104" s="2149"/>
      <c r="AM104" s="2494">
        <v>104</v>
      </c>
    </row>
    <row r="105" spans="1:39">
      <c r="B105" s="2107" t="s">
        <v>5027</v>
      </c>
      <c r="H105" s="2141"/>
      <c r="J105" s="2497">
        <f>'Part V-Revenues &amp; Expenses'!P67*'Part VIII Scoring Criteria'!K105</f>
        <v>0</v>
      </c>
      <c r="K105" s="2453">
        <v>0.1</v>
      </c>
      <c r="M105" s="2141" t="s">
        <v>5046</v>
      </c>
      <c r="O105" s="2001"/>
      <c r="P105" s="2240"/>
      <c r="T105" s="2139"/>
      <c r="U105" s="2139"/>
      <c r="AM105" s="2493">
        <v>105</v>
      </c>
    </row>
    <row r="106" spans="1:39" ht="41.5" customHeight="1">
      <c r="B106" s="3911" t="s">
        <v>5026</v>
      </c>
      <c r="C106" s="3911"/>
      <c r="D106" s="3911"/>
      <c r="E106" s="3911"/>
      <c r="F106" s="3911"/>
      <c r="G106" s="3911"/>
      <c r="H106" s="3911"/>
      <c r="I106" s="3911"/>
      <c r="J106" s="3911"/>
      <c r="K106" s="3911"/>
      <c r="L106" s="3911"/>
      <c r="O106" s="2016"/>
      <c r="P106" s="2161"/>
      <c r="T106" s="2139"/>
      <c r="U106" s="2139"/>
      <c r="AM106" s="2493">
        <v>106</v>
      </c>
    </row>
    <row r="107" spans="1:39" ht="16" customHeight="1">
      <c r="A107" s="2111" t="s">
        <v>1838</v>
      </c>
      <c r="B107" s="2119" t="s">
        <v>4140</v>
      </c>
      <c r="C107" s="2108"/>
      <c r="D107" s="2108"/>
      <c r="E107" s="2108"/>
      <c r="F107" s="2108"/>
      <c r="G107" s="2108"/>
      <c r="H107" s="2108"/>
      <c r="I107" s="2108"/>
      <c r="J107" s="2108"/>
      <c r="K107" s="2108"/>
      <c r="L107" s="2108"/>
      <c r="M107" s="2110">
        <v>1</v>
      </c>
      <c r="N107" s="2230"/>
      <c r="O107" s="2011"/>
      <c r="P107" s="2228"/>
      <c r="Q107" s="2148" t="str">
        <f>IF(OR($O107=$M107,$O107=0,$O107=""),"","*CHECK!*")</f>
        <v/>
      </c>
      <c r="R107" s="2149"/>
      <c r="AM107" s="2493">
        <v>107</v>
      </c>
    </row>
    <row r="108" spans="1:39" s="2108" customFormat="1" ht="16" customHeight="1">
      <c r="A108" s="2111" t="s">
        <v>697</v>
      </c>
      <c r="B108" s="2119" t="s">
        <v>4872</v>
      </c>
      <c r="G108" s="2233" t="s">
        <v>4877</v>
      </c>
      <c r="M108" s="2110">
        <v>2</v>
      </c>
      <c r="N108" s="2230"/>
      <c r="O108" s="2156">
        <f>O109-O110</f>
        <v>2</v>
      </c>
      <c r="P108" s="2156">
        <f>P109-P110</f>
        <v>2</v>
      </c>
      <c r="Q108" s="2148" t="str">
        <f>IF(OR($O108=$M108,$O108=0,$O108=""),"","*CHECK!*")</f>
        <v/>
      </c>
      <c r="AM108" s="2493">
        <v>108</v>
      </c>
    </row>
    <row r="109" spans="1:39" s="2108" customFormat="1" ht="16" customHeight="1">
      <c r="A109" s="2222"/>
      <c r="C109" s="2119" t="s">
        <v>3094</v>
      </c>
      <c r="D109" s="2132"/>
      <c r="E109" s="2132"/>
      <c r="L109" s="2145"/>
      <c r="M109" s="2111"/>
      <c r="N109" s="2110"/>
      <c r="O109" s="2234">
        <v>2</v>
      </c>
      <c r="P109" s="2234">
        <v>2</v>
      </c>
      <c r="Q109" s="2143"/>
      <c r="AM109" s="2493">
        <v>109</v>
      </c>
    </row>
    <row r="110" spans="1:39" s="2108" customFormat="1" ht="16" customHeight="1">
      <c r="A110" s="2222"/>
      <c r="C110" s="2119" t="s">
        <v>3095</v>
      </c>
      <c r="D110" s="2132"/>
      <c r="E110" s="2132"/>
      <c r="L110" s="2145"/>
      <c r="M110" s="2111"/>
      <c r="N110" s="2110"/>
      <c r="O110" s="2026"/>
      <c r="P110" s="2228"/>
      <c r="Q110" s="2143"/>
      <c r="R110" s="2149"/>
      <c r="AM110" s="2493">
        <v>110</v>
      </c>
    </row>
    <row r="111" spans="1:39" ht="16" customHeight="1">
      <c r="A111" s="2108"/>
      <c r="B111" s="2130" t="s">
        <v>4850</v>
      </c>
      <c r="C111" s="2108"/>
      <c r="D111" s="2108"/>
      <c r="E111" s="2108"/>
      <c r="F111" s="2108"/>
      <c r="G111" s="2108"/>
      <c r="H111" s="2108"/>
      <c r="I111" s="2108"/>
      <c r="J111" s="2108"/>
      <c r="K111" s="2108"/>
      <c r="M111" s="2110"/>
      <c r="O111" s="2121"/>
      <c r="AM111" s="2493">
        <v>111</v>
      </c>
    </row>
    <row r="112" spans="1:39" ht="16" customHeight="1">
      <c r="A112" s="3776"/>
      <c r="B112" s="3777"/>
      <c r="C112" s="3777"/>
      <c r="D112" s="3777"/>
      <c r="E112" s="3777"/>
      <c r="F112" s="3777"/>
      <c r="G112" s="3777"/>
      <c r="H112" s="3777"/>
      <c r="I112" s="3777"/>
      <c r="J112" s="3777"/>
      <c r="K112" s="3777"/>
      <c r="L112" s="3777"/>
      <c r="M112" s="3777"/>
      <c r="N112" s="3777"/>
      <c r="O112" s="3777"/>
      <c r="P112" s="3778"/>
      <c r="Q112" s="2191"/>
      <c r="R112" s="2191"/>
      <c r="AM112" s="2494">
        <v>112</v>
      </c>
    </row>
    <row r="113" spans="1:39" ht="16" customHeight="1">
      <c r="B113" s="2169" t="s">
        <v>1725</v>
      </c>
      <c r="C113" s="2170"/>
      <c r="D113" s="2169"/>
      <c r="E113" s="2171"/>
      <c r="F113" s="2160"/>
      <c r="G113" s="2160"/>
      <c r="H113" s="2160"/>
      <c r="I113" s="2160"/>
      <c r="J113" s="2160"/>
      <c r="K113" s="2160"/>
      <c r="L113" s="2160"/>
      <c r="M113" s="2160"/>
      <c r="N113" s="2172"/>
      <c r="O113" s="2173"/>
      <c r="P113" s="2111"/>
      <c r="AM113" s="2494">
        <v>113</v>
      </c>
    </row>
    <row r="114" spans="1:39" ht="16" customHeight="1">
      <c r="A114" s="3756"/>
      <c r="B114" s="3757"/>
      <c r="C114" s="3757"/>
      <c r="D114" s="3757"/>
      <c r="E114" s="3757"/>
      <c r="F114" s="3757"/>
      <c r="G114" s="3757"/>
      <c r="H114" s="3757"/>
      <c r="I114" s="3757"/>
      <c r="J114" s="3757"/>
      <c r="K114" s="3757"/>
      <c r="L114" s="3757"/>
      <c r="M114" s="3757"/>
      <c r="N114" s="3757"/>
      <c r="O114" s="3757"/>
      <c r="P114" s="3758"/>
      <c r="Q114" s="2174"/>
      <c r="AM114" s="2494">
        <v>114</v>
      </c>
    </row>
    <row r="115" spans="1:39" ht="9.75" customHeight="1">
      <c r="A115" s="2222"/>
      <c r="B115" s="2108"/>
      <c r="C115" s="2160"/>
      <c r="D115" s="2160"/>
      <c r="E115" s="2160"/>
      <c r="F115" s="2160"/>
      <c r="G115" s="2160"/>
      <c r="H115" s="2160"/>
      <c r="I115" s="2160"/>
      <c r="J115" s="2160"/>
      <c r="K115" s="2160"/>
      <c r="L115" s="2160"/>
      <c r="M115" s="2160"/>
      <c r="N115" s="2172"/>
      <c r="O115" s="2173"/>
      <c r="P115" s="2111"/>
      <c r="AM115" s="2494">
        <v>115</v>
      </c>
    </row>
    <row r="116" spans="1:39" ht="9.75" customHeight="1" thickBot="1">
      <c r="A116" s="2222"/>
      <c r="B116" s="2108"/>
      <c r="C116" s="2160"/>
      <c r="D116" s="2160"/>
      <c r="E116" s="2160"/>
      <c r="F116" s="2160"/>
      <c r="G116" s="2160"/>
      <c r="H116" s="2160"/>
      <c r="I116" s="2160"/>
      <c r="J116" s="2160"/>
      <c r="K116" s="2160"/>
      <c r="L116" s="2160"/>
      <c r="M116" s="2160"/>
      <c r="N116" s="2172"/>
      <c r="O116" s="2173"/>
      <c r="P116" s="2111"/>
      <c r="AM116" s="2493">
        <v>116</v>
      </c>
    </row>
    <row r="117" spans="1:39" s="2108" customFormat="1" ht="16" customHeight="1" thickBot="1">
      <c r="A117" s="2222" t="s">
        <v>280</v>
      </c>
      <c r="B117" s="2132" t="s">
        <v>4851</v>
      </c>
      <c r="D117" s="2132"/>
      <c r="E117" s="2132"/>
      <c r="L117" s="2141" t="s">
        <v>4899</v>
      </c>
      <c r="M117" s="2111">
        <v>13</v>
      </c>
      <c r="N117" s="2110"/>
      <c r="O117" s="2142">
        <f>MIN($M$117,O121+SUM(O124:O132))</f>
        <v>0</v>
      </c>
      <c r="P117" s="2142">
        <f>MIN($M$117,P121+SUM(P124:P132))</f>
        <v>0</v>
      </c>
      <c r="Q117" s="2143" t="s">
        <v>415</v>
      </c>
      <c r="R117" s="2149"/>
      <c r="AM117" s="2494">
        <v>117</v>
      </c>
    </row>
    <row r="118" spans="1:39" s="2108" customFormat="1" ht="16" customHeight="1">
      <c r="A118" s="2111" t="s">
        <v>1836</v>
      </c>
      <c r="B118" s="2119" t="s">
        <v>4894</v>
      </c>
      <c r="C118" s="2119"/>
      <c r="D118" s="2119"/>
      <c r="F118" s="2235"/>
      <c r="H118" s="2146"/>
      <c r="I118" s="2105"/>
      <c r="J118" s="2105"/>
      <c r="K118" s="2105"/>
      <c r="L118" s="2105"/>
      <c r="M118" s="2105"/>
      <c r="N118" s="2105"/>
      <c r="O118" s="2105"/>
      <c r="P118" s="2105"/>
      <c r="Q118" s="2236"/>
      <c r="R118" s="2149"/>
      <c r="AM118" s="2493">
        <v>118</v>
      </c>
    </row>
    <row r="119" spans="1:39" s="2108" customFormat="1" ht="16" customHeight="1">
      <c r="A119" s="2111"/>
      <c r="B119" s="2108" t="s">
        <v>4971</v>
      </c>
      <c r="C119" s="2119"/>
      <c r="D119" s="2119"/>
      <c r="F119" s="2235"/>
      <c r="H119" s="2146"/>
      <c r="I119" s="2105"/>
      <c r="J119" s="2105"/>
      <c r="K119" s="2105"/>
      <c r="L119" s="2105"/>
      <c r="M119" s="2105"/>
      <c r="N119" s="2105"/>
      <c r="O119" s="2105"/>
      <c r="P119" s="2105"/>
      <c r="Q119" s="2236"/>
      <c r="R119" s="2149"/>
      <c r="AM119" s="2493">
        <v>119</v>
      </c>
    </row>
    <row r="120" spans="1:39" s="2108" customFormat="1" ht="16" customHeight="1">
      <c r="A120" s="2111"/>
      <c r="C120" s="2119" t="s">
        <v>4975</v>
      </c>
      <c r="D120" s="2119"/>
      <c r="F120" s="2235"/>
      <c r="H120" s="2146"/>
      <c r="I120" s="2105"/>
      <c r="J120" s="2105"/>
      <c r="K120" s="2105"/>
      <c r="L120" s="2105"/>
      <c r="M120" s="2105"/>
      <c r="N120" s="2105"/>
      <c r="O120" s="2105"/>
      <c r="P120" s="2105"/>
      <c r="Q120" s="2236"/>
      <c r="R120" s="2149"/>
      <c r="AM120" s="2493">
        <v>120</v>
      </c>
    </row>
    <row r="121" spans="1:39" s="2108" customFormat="1" ht="16" customHeight="1">
      <c r="A121" s="2111"/>
      <c r="B121" s="2150"/>
      <c r="C121" s="2239" t="s">
        <v>4969</v>
      </c>
      <c r="F121" s="2111"/>
      <c r="I121" s="2111"/>
      <c r="J121" s="2110" t="s">
        <v>4970</v>
      </c>
      <c r="L121" s="2145"/>
      <c r="M121" s="2213">
        <v>5</v>
      </c>
      <c r="N121" s="2146"/>
      <c r="O121" s="2215">
        <f>IF(AND(O122="Yes", O123="Yes"),$M121,0)</f>
        <v>0</v>
      </c>
      <c r="P121" s="2215">
        <f>IF(AND(P122="Yes", P123="Yes"),$M121,0)</f>
        <v>0</v>
      </c>
      <c r="Q121" s="2149"/>
      <c r="V121" s="2139"/>
      <c r="AM121" s="2493">
        <v>121</v>
      </c>
    </row>
    <row r="122" spans="1:39" s="2108" customFormat="1" ht="16" customHeight="1">
      <c r="A122" s="2111"/>
      <c r="B122" s="2151"/>
      <c r="C122" s="2119"/>
      <c r="D122" s="2140" t="s">
        <v>4972</v>
      </c>
      <c r="F122" s="2111"/>
      <c r="I122" s="2111"/>
      <c r="J122" s="2097"/>
      <c r="M122" s="2213"/>
      <c r="N122" s="2146"/>
      <c r="O122" s="2396" t="str">
        <f>IF($J122="Submitted", "Yes","")</f>
        <v/>
      </c>
      <c r="P122" s="2152"/>
      <c r="Q122" s="2146"/>
      <c r="V122" s="2139"/>
      <c r="AM122" s="2493">
        <v>122</v>
      </c>
    </row>
    <row r="123" spans="1:39" s="2108" customFormat="1" ht="16" customHeight="1">
      <c r="A123" s="2111"/>
      <c r="B123" s="2151"/>
      <c r="C123" s="2119"/>
      <c r="D123" s="2140" t="s">
        <v>4973</v>
      </c>
      <c r="F123" s="2111"/>
      <c r="I123" s="2111"/>
      <c r="J123" s="2016"/>
      <c r="K123" s="2146"/>
      <c r="M123" s="2213"/>
      <c r="N123" s="2146"/>
      <c r="O123" s="2397" t="str">
        <f>IF($J123="Submitted", "Yes","")</f>
        <v/>
      </c>
      <c r="P123" s="2161"/>
      <c r="Q123" s="2146"/>
      <c r="V123" s="2139"/>
      <c r="AM123" s="2493">
        <v>123</v>
      </c>
    </row>
    <row r="124" spans="1:39" s="2108" customFormat="1" ht="16" customHeight="1">
      <c r="A124" s="2111"/>
      <c r="B124" s="2151"/>
      <c r="C124" s="2140" t="s">
        <v>4896</v>
      </c>
      <c r="D124" s="2119"/>
      <c r="F124" s="2111"/>
      <c r="I124" s="2111"/>
      <c r="J124" s="2018"/>
      <c r="K124" s="2140"/>
      <c r="L124" s="2145" t="str">
        <f t="shared" ref="L124:L132" si="1">IF(OR($O124=$M124,$O124=0,$O124=""),"","* * Check Score! * *")</f>
        <v/>
      </c>
      <c r="M124" s="2213">
        <v>1</v>
      </c>
      <c r="N124" s="2146"/>
      <c r="O124" s="2013"/>
      <c r="P124" s="2237"/>
      <c r="Q124" s="2146"/>
      <c r="V124" s="2139"/>
      <c r="AM124" s="2494">
        <v>124</v>
      </c>
    </row>
    <row r="125" spans="1:39" s="2108" customFormat="1" ht="16" customHeight="1">
      <c r="A125" s="2111"/>
      <c r="B125" s="2151"/>
      <c r="C125" s="2140" t="s">
        <v>4897</v>
      </c>
      <c r="D125" s="2119"/>
      <c r="F125" s="2111"/>
      <c r="I125" s="2111"/>
      <c r="J125" s="2018"/>
      <c r="K125" s="2140"/>
      <c r="L125" s="2167" t="str">
        <f t="shared" si="1"/>
        <v/>
      </c>
      <c r="M125" s="2213">
        <v>1</v>
      </c>
      <c r="N125" s="2146"/>
      <c r="O125" s="2001"/>
      <c r="P125" s="2240"/>
      <c r="Q125" s="2149"/>
      <c r="V125" s="2139"/>
      <c r="AM125" s="2494">
        <v>125</v>
      </c>
    </row>
    <row r="126" spans="1:39" s="2108" customFormat="1" ht="16" customHeight="1">
      <c r="A126" s="2111"/>
      <c r="B126" s="2150"/>
      <c r="C126" s="2140" t="s">
        <v>4974</v>
      </c>
      <c r="D126" s="2119"/>
      <c r="F126" s="2111"/>
      <c r="I126" s="2111"/>
      <c r="J126" s="2018"/>
      <c r="K126" s="2140"/>
      <c r="L126" s="2145" t="str">
        <f t="shared" si="1"/>
        <v/>
      </c>
      <c r="M126" s="2213">
        <v>1</v>
      </c>
      <c r="N126" s="2146"/>
      <c r="O126" s="2002"/>
      <c r="P126" s="2238"/>
      <c r="Q126" s="2149"/>
      <c r="V126" s="2139"/>
      <c r="AM126" s="2494">
        <v>126</v>
      </c>
    </row>
    <row r="127" spans="1:39" s="2108" customFormat="1" ht="16" customHeight="1">
      <c r="A127" s="2111"/>
      <c r="B127" s="2150"/>
      <c r="C127" s="2239" t="s">
        <v>5016</v>
      </c>
      <c r="D127" s="2119"/>
      <c r="F127" s="2111"/>
      <c r="V127" s="2139"/>
      <c r="AM127" s="2493">
        <v>127</v>
      </c>
    </row>
    <row r="128" spans="1:39" s="2108" customFormat="1" ht="16" customHeight="1">
      <c r="A128" s="2111"/>
      <c r="B128" s="2153"/>
      <c r="C128" s="2140" t="s">
        <v>5017</v>
      </c>
      <c r="F128" s="2110"/>
      <c r="I128" s="2110"/>
      <c r="J128" s="2018"/>
      <c r="K128" s="2140"/>
      <c r="L128" s="2145" t="str">
        <f t="shared" si="1"/>
        <v/>
      </c>
      <c r="M128" s="2213">
        <v>1</v>
      </c>
      <c r="N128" s="2146"/>
      <c r="O128" s="2013"/>
      <c r="P128" s="2237"/>
      <c r="Q128" s="2149"/>
      <c r="V128" s="2139"/>
      <c r="AM128" s="2493">
        <v>128</v>
      </c>
    </row>
    <row r="129" spans="1:39" s="2108" customFormat="1" ht="15" customHeight="1">
      <c r="A129" s="2111"/>
      <c r="B129" s="2153"/>
      <c r="C129" s="2163" t="s">
        <v>4976</v>
      </c>
      <c r="D129" s="2163"/>
      <c r="E129" s="2163"/>
      <c r="F129" s="2163"/>
      <c r="G129" s="2163"/>
      <c r="H129" s="2163"/>
      <c r="I129" s="2163"/>
      <c r="J129" s="2018"/>
      <c r="K129" s="2163"/>
      <c r="L129" s="2145" t="str">
        <f t="shared" si="1"/>
        <v/>
      </c>
      <c r="M129" s="2241">
        <v>1</v>
      </c>
      <c r="N129" s="2165"/>
      <c r="O129" s="2014"/>
      <c r="P129" s="2242"/>
      <c r="Q129" s="2149"/>
      <c r="V129" s="2139"/>
      <c r="AM129" s="2494">
        <v>129</v>
      </c>
    </row>
    <row r="130" spans="1:39" s="2108" customFormat="1" ht="16" customHeight="1">
      <c r="A130" s="2111"/>
      <c r="B130" s="2153"/>
      <c r="C130" s="2140" t="s">
        <v>4977</v>
      </c>
      <c r="F130" s="2111"/>
      <c r="I130" s="2111"/>
      <c r="J130" s="2018"/>
      <c r="K130" s="2140"/>
      <c r="L130" s="2145" t="str">
        <f t="shared" si="1"/>
        <v/>
      </c>
      <c r="M130" s="2213">
        <v>1</v>
      </c>
      <c r="N130" s="2146"/>
      <c r="O130" s="2001"/>
      <c r="P130" s="2240"/>
      <c r="Q130" s="2149"/>
      <c r="V130" s="2139"/>
      <c r="AM130" s="2493">
        <v>130</v>
      </c>
    </row>
    <row r="131" spans="1:39" s="2108" customFormat="1" ht="16" customHeight="1">
      <c r="A131" s="2111"/>
      <c r="B131" s="2150"/>
      <c r="C131" s="2140" t="s">
        <v>4898</v>
      </c>
      <c r="F131" s="2111"/>
      <c r="I131" s="2111"/>
      <c r="J131" s="2018"/>
      <c r="K131" s="2140"/>
      <c r="L131" s="2145" t="str">
        <f t="shared" si="1"/>
        <v/>
      </c>
      <c r="M131" s="2213">
        <v>1</v>
      </c>
      <c r="N131" s="2146"/>
      <c r="O131" s="2001"/>
      <c r="P131" s="2240"/>
      <c r="Q131" s="2149"/>
      <c r="V131" s="2139"/>
      <c r="AM131" s="2493">
        <v>131</v>
      </c>
    </row>
    <row r="132" spans="1:39" s="2108" customFormat="1" ht="16" customHeight="1">
      <c r="A132" s="2111"/>
      <c r="B132" s="2153"/>
      <c r="C132" s="2140" t="s">
        <v>4978</v>
      </c>
      <c r="F132" s="2111"/>
      <c r="I132" s="2111"/>
      <c r="J132" s="2018"/>
      <c r="K132" s="2140"/>
      <c r="L132" s="2145" t="str">
        <f t="shared" si="1"/>
        <v/>
      </c>
      <c r="M132" s="2213">
        <v>1</v>
      </c>
      <c r="N132" s="2146"/>
      <c r="O132" s="2002"/>
      <c r="P132" s="2238"/>
      <c r="Q132" s="2149"/>
      <c r="V132" s="2139"/>
      <c r="AM132" s="2494">
        <v>132</v>
      </c>
    </row>
    <row r="133" spans="1:39" s="2108" customFormat="1" ht="16" customHeight="1">
      <c r="A133" s="2111" t="s">
        <v>1838</v>
      </c>
      <c r="B133" s="2119" t="s">
        <v>4895</v>
      </c>
      <c r="H133" s="2146"/>
      <c r="I133" s="2105"/>
      <c r="J133" s="2105"/>
      <c r="K133" s="2105"/>
      <c r="L133" s="2105"/>
      <c r="M133" s="2110"/>
      <c r="N133" s="2110"/>
      <c r="O133" s="2110"/>
      <c r="P133" s="2110"/>
      <c r="Q133" s="2110"/>
      <c r="R133" s="2149"/>
      <c r="AM133" s="2494">
        <v>133</v>
      </c>
    </row>
    <row r="134" spans="1:39" ht="282.75" customHeight="1">
      <c r="B134" s="3907"/>
      <c r="C134" s="3908"/>
      <c r="D134" s="3908"/>
      <c r="E134" s="3908"/>
      <c r="F134" s="3908"/>
      <c r="G134" s="3908"/>
      <c r="H134" s="3908"/>
      <c r="I134" s="3908"/>
      <c r="J134" s="3908"/>
      <c r="K134" s="3908"/>
      <c r="L134" s="3908"/>
      <c r="M134" s="3908"/>
      <c r="N134" s="3908"/>
      <c r="O134" s="3908"/>
      <c r="P134" s="3909"/>
      <c r="Q134" s="2191"/>
      <c r="R134" s="2191"/>
      <c r="AM134" s="2494">
        <v>134</v>
      </c>
    </row>
    <row r="135" spans="1:39" ht="16" customHeight="1">
      <c r="A135" s="2108"/>
      <c r="B135" s="2130" t="s">
        <v>4850</v>
      </c>
      <c r="C135" s="2108"/>
      <c r="D135" s="2108"/>
      <c r="E135" s="2108"/>
      <c r="F135" s="2108"/>
      <c r="G135" s="2108"/>
      <c r="H135" s="2108"/>
      <c r="I135" s="2108"/>
      <c r="J135" s="2108"/>
      <c r="K135" s="2108"/>
      <c r="M135" s="2110"/>
      <c r="O135" s="2121"/>
      <c r="AM135" s="2494">
        <v>135</v>
      </c>
    </row>
    <row r="136" spans="1:39" ht="16" customHeight="1">
      <c r="A136" s="3776"/>
      <c r="B136" s="3777"/>
      <c r="C136" s="3777"/>
      <c r="D136" s="3777"/>
      <c r="E136" s="3777"/>
      <c r="F136" s="3777"/>
      <c r="G136" s="3777"/>
      <c r="H136" s="3777"/>
      <c r="I136" s="3777"/>
      <c r="J136" s="3777"/>
      <c r="K136" s="3777"/>
      <c r="L136" s="3777"/>
      <c r="M136" s="3777"/>
      <c r="N136" s="3777"/>
      <c r="O136" s="3777"/>
      <c r="P136" s="3778"/>
      <c r="Q136" s="2191"/>
      <c r="R136" s="2191"/>
      <c r="AM136" s="2493">
        <v>136</v>
      </c>
    </row>
    <row r="137" spans="1:39" s="2108" customFormat="1" ht="16" customHeight="1">
      <c r="A137" s="2130"/>
      <c r="B137" s="2130" t="s">
        <v>1725</v>
      </c>
      <c r="D137" s="2130"/>
      <c r="E137" s="2158"/>
      <c r="F137" s="2158"/>
      <c r="G137" s="2158"/>
      <c r="H137" s="2158"/>
      <c r="I137" s="2158"/>
      <c r="J137" s="2158"/>
      <c r="K137" s="2158"/>
      <c r="L137" s="2158"/>
      <c r="M137" s="2158"/>
      <c r="N137" s="2221"/>
      <c r="O137" s="2136"/>
      <c r="P137" s="2111"/>
      <c r="AM137" s="2494">
        <v>137</v>
      </c>
    </row>
    <row r="138" spans="1:39" ht="16" customHeight="1">
      <c r="A138" s="3756"/>
      <c r="B138" s="3757"/>
      <c r="C138" s="3757"/>
      <c r="D138" s="3757"/>
      <c r="E138" s="3757"/>
      <c r="F138" s="3757"/>
      <c r="G138" s="3757"/>
      <c r="H138" s="3757"/>
      <c r="I138" s="3757"/>
      <c r="J138" s="3757"/>
      <c r="K138" s="3757"/>
      <c r="L138" s="3757"/>
      <c r="M138" s="3757"/>
      <c r="N138" s="3757"/>
      <c r="O138" s="3757"/>
      <c r="P138" s="3758"/>
      <c r="Q138" s="2191"/>
      <c r="R138" s="2191"/>
      <c r="AM138" s="2493">
        <v>138</v>
      </c>
    </row>
    <row r="139" spans="1:39" ht="9" customHeight="1">
      <c r="A139" s="2222"/>
      <c r="B139" s="2108"/>
      <c r="C139" s="2160"/>
      <c r="D139" s="2160"/>
      <c r="E139" s="2160"/>
      <c r="F139" s="2160"/>
      <c r="G139" s="2160"/>
      <c r="H139" s="2160"/>
      <c r="I139" s="2160"/>
      <c r="J139" s="2160"/>
      <c r="K139" s="2160"/>
      <c r="L139" s="2160"/>
      <c r="M139" s="2160"/>
      <c r="N139" s="2172"/>
      <c r="O139" s="2173"/>
      <c r="P139" s="2111"/>
      <c r="AM139" s="2493">
        <v>139</v>
      </c>
    </row>
    <row r="140" spans="1:39" ht="9" customHeight="1" thickBot="1">
      <c r="D140" s="2108"/>
      <c r="E140" s="2108"/>
      <c r="F140" s="2111"/>
      <c r="G140" s="2111"/>
      <c r="H140" s="2111"/>
      <c r="I140" s="2111"/>
      <c r="J140" s="2140"/>
      <c r="K140" s="2140"/>
      <c r="L140" s="2140"/>
      <c r="M140" s="2110"/>
      <c r="N140" s="2111"/>
      <c r="P140" s="2121"/>
      <c r="AM140" s="2493">
        <v>140</v>
      </c>
    </row>
    <row r="141" spans="1:39" s="2108" customFormat="1" ht="16" customHeight="1" thickBot="1">
      <c r="A141" s="2131" t="s">
        <v>400</v>
      </c>
      <c r="B141" s="2132" t="s">
        <v>3065</v>
      </c>
      <c r="G141" s="2119"/>
      <c r="I141" s="2119"/>
      <c r="J141" s="2178"/>
      <c r="K141" s="2243" t="s">
        <v>4946</v>
      </c>
      <c r="L141" s="2141" t="s">
        <v>4899</v>
      </c>
      <c r="M141" s="2111">
        <v>3</v>
      </c>
      <c r="N141" s="2110"/>
      <c r="O141" s="2142">
        <f>MIN($M$141,O143+O147)</f>
        <v>0</v>
      </c>
      <c r="P141" s="2142">
        <f>MIN($M$141,P143+P147)</f>
        <v>0</v>
      </c>
      <c r="Q141" s="2143" t="s">
        <v>415</v>
      </c>
      <c r="R141" s="2111" t="str">
        <f>$O$12</f>
        <v/>
      </c>
      <c r="S141" s="2192"/>
      <c r="AM141" s="2493">
        <v>141</v>
      </c>
    </row>
    <row r="142" spans="1:39" ht="16" hidden="1" customHeight="1">
      <c r="A142" s="2244"/>
      <c r="B142" s="2245"/>
      <c r="E142" s="2108"/>
      <c r="F142" s="2107" t="s">
        <v>3697</v>
      </c>
      <c r="G142" s="2192"/>
      <c r="H142" s="2108"/>
      <c r="I142" s="2132"/>
      <c r="K142" s="2141"/>
      <c r="L142" s="2246"/>
      <c r="M142" s="2111"/>
      <c r="N142" s="2110"/>
      <c r="O142" s="2121"/>
      <c r="P142" s="2121"/>
      <c r="Q142" s="2143"/>
      <c r="R142" s="2145"/>
      <c r="AM142" s="2494">
        <v>142</v>
      </c>
    </row>
    <row r="143" spans="1:39" s="2108" customFormat="1" ht="16" customHeight="1">
      <c r="A143" s="2111" t="s">
        <v>1836</v>
      </c>
      <c r="B143" s="2239" t="s">
        <v>4715</v>
      </c>
      <c r="C143" s="2126"/>
      <c r="D143" s="2126"/>
      <c r="E143" s="2126"/>
      <c r="F143" s="2126"/>
      <c r="G143" s="2247"/>
      <c r="H143" s="2107" t="s">
        <v>4545</v>
      </c>
      <c r="J143" s="2248" t="str">
        <f>'Part V-Revenues &amp; Expenses'!$O$53</f>
        <v>&lt;&lt; Select LIHTC Election &gt;&gt;</v>
      </c>
      <c r="L143" s="2126"/>
      <c r="M143" s="2111">
        <v>2</v>
      </c>
      <c r="N143" s="2190"/>
      <c r="O143" s="2249">
        <f>IF($O$12="9%",MIN($M143,O144+O145),0)</f>
        <v>0</v>
      </c>
      <c r="P143" s="2249">
        <f>IF($O$12="9%",MIN($M143,P144+P145),0)</f>
        <v>0</v>
      </c>
      <c r="AM143" s="2494">
        <v>143</v>
      </c>
    </row>
    <row r="144" spans="1:39" s="2108" customFormat="1" ht="16" customHeight="1">
      <c r="A144" s="2111"/>
      <c r="B144" s="2150" t="s">
        <v>1839</v>
      </c>
      <c r="C144" s="2000" t="s">
        <v>3692</v>
      </c>
      <c r="H144" s="2108" t="s">
        <v>3693</v>
      </c>
      <c r="I144" s="2250"/>
      <c r="K144" s="2251" t="str">
        <f>'Part V-Revenues &amp; Expenses'!$B$50</f>
        <v/>
      </c>
      <c r="L144" s="2145" t="str">
        <f t="shared" ref="L144:L145" si="2">IF(OR($O144=$M144,$O144=0,$O144=""),"","* * Check Score! * *")</f>
        <v/>
      </c>
      <c r="M144" s="2110">
        <v>2</v>
      </c>
      <c r="N144" s="2151"/>
      <c r="O144" s="2001"/>
      <c r="P144" s="2237"/>
      <c r="Q144" s="2236" t="str">
        <f>IF(OR($O144=$M144,$O144=0,$O144=""),"","*CHECK!*")</f>
        <v/>
      </c>
      <c r="R144" s="2149"/>
      <c r="AM144" s="2494">
        <v>144</v>
      </c>
    </row>
    <row r="145" spans="1:39" s="2108" customFormat="1" ht="16" customHeight="1">
      <c r="A145" s="2178"/>
      <c r="B145" s="2153" t="s">
        <v>1841</v>
      </c>
      <c r="C145" s="2000" t="s">
        <v>3694</v>
      </c>
      <c r="I145" s="2250"/>
      <c r="K145" s="2133"/>
      <c r="L145" s="2145" t="str">
        <f t="shared" si="2"/>
        <v/>
      </c>
      <c r="M145" s="2110">
        <v>2</v>
      </c>
      <c r="N145" s="2151"/>
      <c r="O145" s="2002"/>
      <c r="P145" s="2238"/>
      <c r="Q145" s="2236" t="str">
        <f>IF(OR($O145=$M145,$O145=0,$O145=""),"","*CHECK!*")</f>
        <v/>
      </c>
      <c r="R145" s="2149"/>
      <c r="AM145" s="2494">
        <v>145</v>
      </c>
    </row>
    <row r="146" spans="1:39" ht="16" hidden="1" customHeight="1">
      <c r="A146" s="2178"/>
      <c r="B146" s="2252"/>
      <c r="C146" s="1999"/>
      <c r="D146" s="2163"/>
      <c r="K146" s="2253"/>
      <c r="L146" s="2253"/>
      <c r="M146" s="2110"/>
      <c r="N146" s="2190"/>
      <c r="O146" s="2383"/>
      <c r="P146" s="2461"/>
      <c r="AM146" s="2493">
        <v>146</v>
      </c>
    </row>
    <row r="147" spans="1:39" ht="16" customHeight="1">
      <c r="A147" s="2111" t="s">
        <v>1838</v>
      </c>
      <c r="B147" s="2239" t="s">
        <v>4718</v>
      </c>
      <c r="H147" s="2254" t="s">
        <v>4699</v>
      </c>
      <c r="I147" s="2255"/>
      <c r="K147" s="2256">
        <f>IF(OR('Part V-Revenues &amp; Expenses'!$P$65="", 'Part V-Revenues &amp; Expenses'!$P$65=0),0,'Part V-Revenues &amp; Expenses'!$P$100/'Part V-Revenues &amp; Expenses'!$P$65)</f>
        <v>0</v>
      </c>
      <c r="M147" s="2111">
        <v>3</v>
      </c>
      <c r="N147" s="2165"/>
      <c r="O147" s="2011"/>
      <c r="P147" s="2228"/>
      <c r="AM147" s="2494">
        <v>147</v>
      </c>
    </row>
    <row r="148" spans="1:39" ht="16" customHeight="1">
      <c r="A148" s="2108"/>
      <c r="B148" s="2219" t="s">
        <v>1725</v>
      </c>
      <c r="D148" s="2169"/>
      <c r="E148" s="2160"/>
      <c r="F148" s="2160"/>
      <c r="G148" s="2160"/>
      <c r="H148" s="2160"/>
      <c r="I148" s="2160"/>
      <c r="J148" s="2160"/>
      <c r="K148" s="2160"/>
      <c r="L148" s="2160"/>
      <c r="M148" s="2160"/>
      <c r="N148" s="2172"/>
      <c r="O148" s="2173"/>
      <c r="P148" s="2111"/>
      <c r="AM148" s="2493">
        <v>148</v>
      </c>
    </row>
    <row r="149" spans="1:39" ht="16" customHeight="1">
      <c r="A149" s="3756"/>
      <c r="B149" s="3757"/>
      <c r="C149" s="3757"/>
      <c r="D149" s="3757"/>
      <c r="E149" s="3757"/>
      <c r="F149" s="3757"/>
      <c r="G149" s="3757"/>
      <c r="H149" s="3757"/>
      <c r="I149" s="3757"/>
      <c r="J149" s="3757"/>
      <c r="K149" s="3757"/>
      <c r="L149" s="3757"/>
      <c r="M149" s="3757"/>
      <c r="N149" s="3757"/>
      <c r="O149" s="3757"/>
      <c r="P149" s="3758"/>
      <c r="Q149" s="2174"/>
      <c r="AM149" s="2493">
        <v>149</v>
      </c>
    </row>
    <row r="150" spans="1:39" ht="9.75" customHeight="1">
      <c r="A150" s="2108"/>
      <c r="B150" s="2127"/>
      <c r="C150" s="2108"/>
      <c r="D150" s="1997"/>
      <c r="E150" s="1998"/>
      <c r="F150" s="1998"/>
      <c r="G150" s="2137"/>
      <c r="H150" s="2137"/>
      <c r="I150" s="2137"/>
      <c r="J150" s="2137"/>
      <c r="K150" s="2137"/>
      <c r="L150" s="2137"/>
      <c r="M150" s="2110"/>
      <c r="O150" s="2121"/>
      <c r="P150" s="2111"/>
      <c r="R150" s="2108"/>
      <c r="S150" s="2108"/>
      <c r="T150" s="2108"/>
      <c r="U150" s="2108"/>
      <c r="V150" s="2108"/>
      <c r="W150" s="2108"/>
      <c r="X150" s="2138"/>
      <c r="Y150" s="2138"/>
      <c r="Z150" s="2138"/>
      <c r="AA150" s="2138"/>
      <c r="AB150" s="2138"/>
      <c r="AC150" s="2138"/>
      <c r="AD150" s="2138"/>
      <c r="AE150" s="2138"/>
      <c r="AF150" s="2138"/>
      <c r="AG150" s="2138"/>
      <c r="AH150" s="2138"/>
      <c r="AI150" s="2138"/>
      <c r="AM150" s="2493">
        <v>150</v>
      </c>
    </row>
    <row r="151" spans="1:39" ht="9.75" customHeight="1">
      <c r="T151" s="2139"/>
      <c r="U151" s="2139"/>
      <c r="AM151" s="2493">
        <v>151</v>
      </c>
    </row>
    <row r="152" spans="1:39" s="2108" customFormat="1" ht="16" customHeight="1">
      <c r="A152" s="2222" t="s">
        <v>342</v>
      </c>
      <c r="B152" s="2132" t="s">
        <v>4852</v>
      </c>
      <c r="D152" s="2132"/>
      <c r="E152" s="2132"/>
      <c r="L152" s="2257"/>
      <c r="M152" s="2111">
        <v>2</v>
      </c>
      <c r="N152" s="2110"/>
      <c r="O152" s="2156">
        <f>IF(O153="Yes",$M$152,0)</f>
        <v>0</v>
      </c>
      <c r="P152" s="2156">
        <f>IF(P153="Yes",$M$152,0)</f>
        <v>0</v>
      </c>
      <c r="Q152" s="2143" t="s">
        <v>415</v>
      </c>
      <c r="R152" s="2111"/>
      <c r="AM152" s="2494">
        <v>152</v>
      </c>
    </row>
    <row r="153" spans="1:39" ht="16" customHeight="1">
      <c r="B153" s="2313" t="s">
        <v>4979</v>
      </c>
      <c r="C153" s="2108"/>
      <c r="D153" s="2108"/>
      <c r="E153" s="2108"/>
      <c r="F153" s="2108"/>
      <c r="G153" s="2108"/>
      <c r="H153" s="2108"/>
      <c r="I153" s="2108"/>
      <c r="J153" s="2108"/>
      <c r="K153" s="2108"/>
      <c r="M153" s="2110"/>
      <c r="O153" s="2015"/>
      <c r="P153" s="2296"/>
      <c r="AM153" s="2494">
        <v>153</v>
      </c>
    </row>
    <row r="154" spans="1:39" ht="16" customHeight="1">
      <c r="A154" s="2108"/>
      <c r="B154" s="2130" t="s">
        <v>4850</v>
      </c>
      <c r="C154" s="2108"/>
      <c r="D154" s="2108"/>
      <c r="E154" s="2108"/>
      <c r="F154" s="2108"/>
      <c r="G154" s="2108"/>
      <c r="H154" s="2108"/>
      <c r="I154" s="2108"/>
      <c r="J154" s="2108"/>
      <c r="K154" s="2108"/>
      <c r="M154" s="2110"/>
      <c r="O154" s="2121"/>
      <c r="AM154" s="2494">
        <v>154</v>
      </c>
    </row>
    <row r="155" spans="1:39" ht="16" customHeight="1">
      <c r="A155" s="3776"/>
      <c r="B155" s="3777"/>
      <c r="C155" s="3777"/>
      <c r="D155" s="3777"/>
      <c r="E155" s="3777"/>
      <c r="F155" s="3777"/>
      <c r="G155" s="3777"/>
      <c r="H155" s="3777"/>
      <c r="I155" s="3777"/>
      <c r="J155" s="3777"/>
      <c r="K155" s="3777"/>
      <c r="L155" s="3777"/>
      <c r="M155" s="3777"/>
      <c r="N155" s="3777"/>
      <c r="O155" s="3777"/>
      <c r="P155" s="3778"/>
      <c r="Q155" s="2191"/>
      <c r="R155" s="2191"/>
      <c r="AM155" s="2494">
        <v>155</v>
      </c>
    </row>
    <row r="156" spans="1:39" s="2108" customFormat="1" ht="16" customHeight="1">
      <c r="A156" s="2130"/>
      <c r="B156" s="2130" t="s">
        <v>1725</v>
      </c>
      <c r="D156" s="2130"/>
      <c r="E156" s="2158"/>
      <c r="F156" s="2158"/>
      <c r="G156" s="2158"/>
      <c r="H156" s="2158"/>
      <c r="I156" s="2158"/>
      <c r="J156" s="2158"/>
      <c r="K156" s="2158"/>
      <c r="L156" s="2158"/>
      <c r="M156" s="2158"/>
      <c r="N156" s="2221"/>
      <c r="O156" s="2136"/>
      <c r="P156" s="2111"/>
      <c r="AM156" s="2493">
        <v>156</v>
      </c>
    </row>
    <row r="157" spans="1:39" ht="16" customHeight="1">
      <c r="A157" s="3756"/>
      <c r="B157" s="3757"/>
      <c r="C157" s="3757"/>
      <c r="D157" s="3757"/>
      <c r="E157" s="3757"/>
      <c r="F157" s="3757"/>
      <c r="G157" s="3757"/>
      <c r="H157" s="3757"/>
      <c r="I157" s="3757"/>
      <c r="J157" s="3757"/>
      <c r="K157" s="3757"/>
      <c r="L157" s="3757"/>
      <c r="M157" s="3757"/>
      <c r="N157" s="3757"/>
      <c r="O157" s="3757"/>
      <c r="P157" s="3758"/>
      <c r="Q157" s="2191"/>
      <c r="R157" s="2191"/>
      <c r="AM157" s="2494">
        <v>157</v>
      </c>
    </row>
    <row r="158" spans="1:39" ht="9" customHeight="1">
      <c r="A158" s="2222"/>
      <c r="B158" s="2108"/>
      <c r="C158" s="2160"/>
      <c r="D158" s="2160"/>
      <c r="E158" s="2160"/>
      <c r="F158" s="2160"/>
      <c r="G158" s="2160"/>
      <c r="H158" s="2160"/>
      <c r="I158" s="2160"/>
      <c r="J158" s="2160"/>
      <c r="K158" s="2160"/>
      <c r="L158" s="2160"/>
      <c r="M158" s="2160"/>
      <c r="N158" s="2172"/>
      <c r="O158" s="2173"/>
      <c r="P158" s="2111"/>
      <c r="AM158" s="2493">
        <v>158</v>
      </c>
    </row>
    <row r="159" spans="1:39" ht="9" customHeight="1" thickBot="1">
      <c r="AM159" s="2493">
        <v>159</v>
      </c>
    </row>
    <row r="160" spans="1:39" ht="16" customHeight="1" thickBot="1">
      <c r="A160" s="2131" t="s">
        <v>343</v>
      </c>
      <c r="B160" s="2132" t="s">
        <v>3282</v>
      </c>
      <c r="L160" s="2141" t="s">
        <v>4899</v>
      </c>
      <c r="M160" s="2111">
        <v>20</v>
      </c>
      <c r="N160" s="2146"/>
      <c r="O160" s="2211">
        <f>IF(NOT($F$12="New Affordability"),0,IF(OR($M161-O162&lt;0,O161-O162&lt;0),0,IF(O161&lt;=$M161,O161-O162,IF(O161&gt;$M161,$M161-O162,0))))</f>
        <v>0</v>
      </c>
      <c r="P160" s="2211">
        <f>IF(NOT($H$12="New Affordability"),0,IF(OR($M161-P162&lt;0,P161-P162&lt;0),0,IF(P161&lt;=$M161,P161-P162,IF(P161&gt;$M161,$M161-P162,0))))</f>
        <v>0</v>
      </c>
      <c r="Q160" s="2143" t="s">
        <v>415</v>
      </c>
      <c r="R160" s="2111" t="str">
        <f>$O$12</f>
        <v/>
      </c>
      <c r="AM160" s="2493">
        <v>160</v>
      </c>
    </row>
    <row r="161" spans="1:39" s="2108" customFormat="1" ht="16" customHeight="1">
      <c r="A161" s="2111" t="s">
        <v>1836</v>
      </c>
      <c r="B161" s="2119" t="s">
        <v>1732</v>
      </c>
      <c r="C161" s="2119"/>
      <c r="D161" s="2119"/>
      <c r="F161" s="2119"/>
      <c r="H161" s="2146"/>
      <c r="I161" s="2105"/>
      <c r="J161" s="2105"/>
      <c r="K161" s="2105"/>
      <c r="L161" s="2145" t="str">
        <f>IF(OR($O161=$M161,$O161&lt;$M161,$O161=0,$O161=""),"","* * Check Score! * *")</f>
        <v/>
      </c>
      <c r="M161" s="2110">
        <v>20</v>
      </c>
      <c r="N161" s="2151"/>
      <c r="O161" s="2040"/>
      <c r="P161" s="2260"/>
      <c r="Q161" s="2236"/>
      <c r="R161" s="2149"/>
      <c r="AM161" s="2493">
        <v>161</v>
      </c>
    </row>
    <row r="162" spans="1:39" s="2108" customFormat="1" ht="16" customHeight="1">
      <c r="A162" s="2111" t="s">
        <v>1838</v>
      </c>
      <c r="B162" s="2119" t="s">
        <v>3198</v>
      </c>
      <c r="H162" s="2146"/>
      <c r="I162" s="2105"/>
      <c r="J162" s="2105"/>
      <c r="K162" s="2225"/>
      <c r="L162" s="2105"/>
      <c r="M162" s="2110" t="s">
        <v>1163</v>
      </c>
      <c r="N162" s="2146"/>
      <c r="O162" s="2040"/>
      <c r="P162" s="2260"/>
      <c r="R162" s="2149"/>
      <c r="AM162" s="2493">
        <v>162</v>
      </c>
    </row>
    <row r="163" spans="1:39" ht="16" customHeight="1">
      <c r="A163" s="2108"/>
      <c r="B163" s="2130" t="s">
        <v>4850</v>
      </c>
      <c r="C163" s="2108"/>
      <c r="D163" s="2108"/>
      <c r="E163" s="2108"/>
      <c r="F163" s="2108"/>
      <c r="G163" s="2108"/>
      <c r="H163" s="2108"/>
      <c r="I163" s="2108"/>
      <c r="J163" s="2108"/>
      <c r="K163" s="2108"/>
      <c r="M163" s="2110"/>
      <c r="O163" s="2121"/>
      <c r="AM163" s="2493">
        <v>163</v>
      </c>
    </row>
    <row r="164" spans="1:39" ht="16" customHeight="1">
      <c r="A164" s="3776"/>
      <c r="B164" s="3777"/>
      <c r="C164" s="3777"/>
      <c r="D164" s="3777"/>
      <c r="E164" s="3777"/>
      <c r="F164" s="3777"/>
      <c r="G164" s="3777"/>
      <c r="H164" s="3777"/>
      <c r="I164" s="3777"/>
      <c r="J164" s="3777"/>
      <c r="K164" s="3777"/>
      <c r="L164" s="3777"/>
      <c r="M164" s="3777"/>
      <c r="N164" s="3777"/>
      <c r="O164" s="3777"/>
      <c r="P164" s="3778"/>
      <c r="Q164" s="2191"/>
      <c r="R164" s="2191"/>
      <c r="AM164" s="2494">
        <v>164</v>
      </c>
    </row>
    <row r="165" spans="1:39" ht="16" customHeight="1">
      <c r="A165" s="2108"/>
      <c r="B165" s="2130" t="s">
        <v>1725</v>
      </c>
      <c r="C165" s="2108"/>
      <c r="D165" s="2261"/>
      <c r="E165" s="2160"/>
      <c r="F165" s="2160"/>
      <c r="G165" s="2160"/>
      <c r="H165" s="2160"/>
      <c r="I165" s="2160"/>
      <c r="J165" s="2160"/>
      <c r="K165" s="2160"/>
      <c r="L165" s="2160"/>
      <c r="M165" s="2160"/>
      <c r="N165" s="2172"/>
      <c r="O165" s="2173"/>
      <c r="P165" s="2111"/>
      <c r="AM165" s="2494">
        <v>165</v>
      </c>
    </row>
    <row r="166" spans="1:39" ht="16" customHeight="1">
      <c r="A166" s="3756"/>
      <c r="B166" s="3757"/>
      <c r="C166" s="3757"/>
      <c r="D166" s="3757"/>
      <c r="E166" s="3757"/>
      <c r="F166" s="3757"/>
      <c r="G166" s="3757"/>
      <c r="H166" s="3757"/>
      <c r="I166" s="3757"/>
      <c r="J166" s="3757"/>
      <c r="K166" s="3757"/>
      <c r="L166" s="3757"/>
      <c r="M166" s="3757"/>
      <c r="N166" s="3757"/>
      <c r="O166" s="3757"/>
      <c r="P166" s="3758"/>
      <c r="Q166" s="2174"/>
      <c r="R166" s="2191"/>
      <c r="AM166" s="2493">
        <v>166</v>
      </c>
    </row>
    <row r="167" spans="1:39" ht="9.75" customHeight="1">
      <c r="A167" s="2108"/>
      <c r="B167" s="2127"/>
      <c r="C167" s="2108"/>
      <c r="D167" s="1997"/>
      <c r="E167" s="1998"/>
      <c r="F167" s="1998"/>
      <c r="G167" s="2137"/>
      <c r="H167" s="2137"/>
      <c r="I167" s="2137"/>
      <c r="J167" s="2137"/>
      <c r="K167" s="2137"/>
      <c r="L167" s="2137"/>
      <c r="M167" s="2110"/>
      <c r="O167" s="2121"/>
      <c r="P167" s="2111"/>
      <c r="R167" s="2108"/>
      <c r="S167" s="2108"/>
      <c r="T167" s="2108"/>
      <c r="U167" s="2108"/>
      <c r="V167" s="2108"/>
      <c r="W167" s="2108"/>
      <c r="X167" s="2138"/>
      <c r="Y167" s="2138"/>
      <c r="Z167" s="2138"/>
      <c r="AA167" s="2138"/>
      <c r="AB167" s="2138"/>
      <c r="AC167" s="2138"/>
      <c r="AD167" s="2138"/>
      <c r="AE167" s="2138"/>
      <c r="AF167" s="2138"/>
      <c r="AG167" s="2138"/>
      <c r="AH167" s="2138"/>
      <c r="AI167" s="2138"/>
      <c r="AM167" s="2493">
        <v>167</v>
      </c>
    </row>
    <row r="168" spans="1:39" ht="9.75" customHeight="1" thickBot="1">
      <c r="T168" s="2139"/>
      <c r="U168" s="2139"/>
      <c r="AM168" s="2494">
        <v>168</v>
      </c>
    </row>
    <row r="169" spans="1:39" ht="16" customHeight="1" thickBot="1">
      <c r="A169" s="2131" t="s">
        <v>344</v>
      </c>
      <c r="B169" s="2132" t="s">
        <v>2407</v>
      </c>
      <c r="H169" s="2262"/>
      <c r="I169" s="2239"/>
      <c r="J169" s="2178"/>
      <c r="K169" s="2111"/>
      <c r="L169" s="2141" t="s">
        <v>4899</v>
      </c>
      <c r="M169" s="2111">
        <v>6</v>
      </c>
      <c r="N169" s="2146"/>
      <c r="O169" s="2211">
        <f>IF($F$12="New Affordability",MAX(O177,O180),0)</f>
        <v>0</v>
      </c>
      <c r="P169" s="2211">
        <f>IF($H$12="New Affordability",MAX(P177,P180),0)</f>
        <v>0</v>
      </c>
      <c r="Q169" s="2143" t="s">
        <v>415</v>
      </c>
      <c r="R169" s="2111" t="str">
        <f>$O$12</f>
        <v/>
      </c>
      <c r="AM169" s="2494">
        <v>169</v>
      </c>
    </row>
    <row r="170" spans="1:39" ht="16" hidden="1" customHeight="1">
      <c r="A170" s="2131"/>
      <c r="B170" s="2132"/>
      <c r="H170" s="2132"/>
      <c r="I170" s="2130"/>
      <c r="J170" s="2108"/>
      <c r="K170" s="2108"/>
      <c r="M170" s="2111"/>
      <c r="N170" s="2146"/>
      <c r="O170" s="2121"/>
      <c r="P170" s="2121"/>
      <c r="Q170" s="2143"/>
      <c r="AM170" s="2494">
        <v>170</v>
      </c>
    </row>
    <row r="171" spans="1:39" ht="16" customHeight="1">
      <c r="A171" s="2131"/>
      <c r="B171" s="2108" t="s">
        <v>3241</v>
      </c>
      <c r="F171" s="3900" t="s">
        <v>3132</v>
      </c>
      <c r="G171" s="3900"/>
      <c r="H171" s="3900"/>
      <c r="I171" s="3900"/>
      <c r="J171" s="3900" t="s">
        <v>3133</v>
      </c>
      <c r="K171" s="3900"/>
      <c r="L171" s="3900"/>
      <c r="M171" s="3900"/>
      <c r="N171" s="2146"/>
      <c r="O171" s="3901" t="s">
        <v>4700</v>
      </c>
      <c r="P171" s="3901"/>
      <c r="AM171" s="2494">
        <v>171</v>
      </c>
    </row>
    <row r="172" spans="1:39" ht="16" customHeight="1">
      <c r="B172" s="2263"/>
      <c r="C172" s="2264" t="s">
        <v>4701</v>
      </c>
      <c r="F172" s="3903"/>
      <c r="G172" s="3904"/>
      <c r="H172" s="3905"/>
      <c r="I172" s="3906"/>
      <c r="J172" s="3903"/>
      <c r="K172" s="3904"/>
      <c r="L172" s="3905"/>
      <c r="M172" s="3906"/>
      <c r="N172" s="2107"/>
      <c r="O172" s="3902"/>
      <c r="P172" s="3902"/>
      <c r="AM172" s="2493">
        <v>172</v>
      </c>
    </row>
    <row r="173" spans="1:39" ht="16" customHeight="1">
      <c r="A173" s="2263"/>
      <c r="B173" s="2265"/>
      <c r="C173" s="2264" t="s">
        <v>4702</v>
      </c>
      <c r="F173" s="3895"/>
      <c r="G173" s="3896"/>
      <c r="H173" s="3897"/>
      <c r="I173" s="3898"/>
      <c r="J173" s="3895"/>
      <c r="K173" s="3896"/>
      <c r="L173" s="3897"/>
      <c r="M173" s="3898"/>
      <c r="N173" s="2146"/>
      <c r="O173" s="2007"/>
      <c r="P173" s="2266"/>
      <c r="AM173" s="2494">
        <v>173</v>
      </c>
    </row>
    <row r="174" spans="1:39" ht="16" customHeight="1">
      <c r="A174" s="2265"/>
      <c r="B174" s="3899" t="s">
        <v>4724</v>
      </c>
      <c r="C174" s="3899"/>
      <c r="D174" s="3899"/>
      <c r="E174" s="3899"/>
      <c r="F174" s="2128" t="s">
        <v>4703</v>
      </c>
      <c r="G174" s="3813" t="s">
        <v>1667</v>
      </c>
      <c r="H174" s="3813"/>
      <c r="I174" s="3813"/>
      <c r="J174" s="3813" t="s">
        <v>4721</v>
      </c>
      <c r="K174" s="3813"/>
      <c r="L174" s="3813"/>
      <c r="M174" s="3813"/>
      <c r="N174" s="3813"/>
      <c r="O174" s="3813"/>
      <c r="P174" s="3813"/>
      <c r="AM174" s="2493">
        <v>174</v>
      </c>
    </row>
    <row r="175" spans="1:39" ht="16" customHeight="1">
      <c r="A175" s="2265"/>
      <c r="B175" s="3891"/>
      <c r="C175" s="3891"/>
      <c r="D175" s="3891"/>
      <c r="E175" s="3891"/>
      <c r="F175" s="2041"/>
      <c r="G175" s="3892"/>
      <c r="H175" s="3892"/>
      <c r="I175" s="3892"/>
      <c r="J175" s="3892"/>
      <c r="K175" s="3892"/>
      <c r="L175" s="3892"/>
      <c r="M175" s="3892"/>
      <c r="N175" s="3892"/>
      <c r="O175" s="3892"/>
      <c r="P175" s="3892"/>
      <c r="AM175" s="2493">
        <v>175</v>
      </c>
    </row>
    <row r="176" spans="1:39" ht="16" hidden="1" customHeight="1">
      <c r="A176" s="2129"/>
      <c r="B176" s="2132"/>
      <c r="F176" s="2144"/>
      <c r="M176" s="2111"/>
      <c r="N176" s="2111"/>
      <c r="O176" s="2111"/>
      <c r="P176" s="2111"/>
      <c r="Q176" s="2143"/>
      <c r="R176" s="2181"/>
      <c r="S176" s="2181"/>
      <c r="T176" s="2181"/>
      <c r="U176" s="2181"/>
      <c r="AM176" s="2493">
        <v>176</v>
      </c>
    </row>
    <row r="177" spans="1:39" ht="16" customHeight="1">
      <c r="A177" s="2258" t="s">
        <v>1836</v>
      </c>
      <c r="B177" s="2119" t="s">
        <v>3156</v>
      </c>
      <c r="F177" s="2267"/>
      <c r="L177" s="2210" t="s">
        <v>4870</v>
      </c>
      <c r="M177" s="2111">
        <v>6</v>
      </c>
      <c r="N177" s="2190"/>
      <c r="O177" s="2268">
        <f>IF(OR($J$12="Atlanta Metro",$J$12="Other Metro",$J$12="N/A-4%"),MIN($M177,O178+O179),0)</f>
        <v>0</v>
      </c>
      <c r="P177" s="2268">
        <f>IF(OR($L$12="Atlanta Metro",$L$12="Other Metro",$L$12="N/A-4%"),MIN($M177,P178+P179),0)</f>
        <v>0</v>
      </c>
      <c r="Q177" s="2143"/>
      <c r="S177" s="2269" t="s">
        <v>4165</v>
      </c>
      <c r="T177" s="2269" t="s">
        <v>4050</v>
      </c>
      <c r="AM177" s="2493">
        <v>177</v>
      </c>
    </row>
    <row r="178" spans="1:39" s="2163" customFormat="1" ht="29.5" customHeight="1">
      <c r="A178" s="2164"/>
      <c r="B178" s="2153" t="s">
        <v>1839</v>
      </c>
      <c r="C178" s="3893" t="s">
        <v>4716</v>
      </c>
      <c r="D178" s="3893"/>
      <c r="E178" s="3893"/>
      <c r="F178" s="3893"/>
      <c r="G178" s="3893"/>
      <c r="H178" s="3893"/>
      <c r="I178" s="3893"/>
      <c r="J178" s="3893"/>
      <c r="K178" s="3893"/>
      <c r="L178" s="2145" t="str">
        <f t="shared" ref="L178" si="3">IF(OR($O178=$M178,$O178=0,$O178=""),"","* * Check Score! * *")</f>
        <v/>
      </c>
      <c r="M178" s="2164">
        <v>6</v>
      </c>
      <c r="N178" s="2216"/>
      <c r="O178" s="2008"/>
      <c r="P178" s="2270"/>
      <c r="R178" s="3894" t="s">
        <v>4569</v>
      </c>
      <c r="S178" s="2271">
        <v>0.25</v>
      </c>
      <c r="T178" s="2271">
        <v>5</v>
      </c>
      <c r="AM178" s="2493">
        <v>178</v>
      </c>
    </row>
    <row r="179" spans="1:39" s="2163" customFormat="1" ht="16" customHeight="1">
      <c r="A179" s="2178" t="s">
        <v>1273</v>
      </c>
      <c r="B179" s="2153" t="s">
        <v>1841</v>
      </c>
      <c r="C179" s="2108" t="s">
        <v>4717</v>
      </c>
      <c r="D179" s="2108"/>
      <c r="E179" s="2108"/>
      <c r="F179" s="2108"/>
      <c r="G179" s="2108"/>
      <c r="H179" s="2108"/>
      <c r="I179" s="2108"/>
      <c r="J179" s="2125"/>
      <c r="K179" s="2125"/>
      <c r="L179" s="2145"/>
      <c r="M179" s="2110">
        <v>5</v>
      </c>
      <c r="N179" s="2218"/>
      <c r="O179" s="2005"/>
      <c r="P179" s="2272"/>
      <c r="R179" s="3894"/>
      <c r="S179" s="2271">
        <v>0.5</v>
      </c>
      <c r="T179" s="2271">
        <v>4.5</v>
      </c>
      <c r="AM179" s="2493">
        <v>179</v>
      </c>
    </row>
    <row r="180" spans="1:39" s="2163" customFormat="1" ht="16" customHeight="1">
      <c r="A180" s="2258" t="s">
        <v>1838</v>
      </c>
      <c r="B180" s="2273" t="s">
        <v>3157</v>
      </c>
      <c r="F180" s="2274"/>
      <c r="H180" s="2126"/>
      <c r="I180" s="2126"/>
      <c r="J180" s="2265"/>
      <c r="K180" s="2265"/>
      <c r="L180" s="2275"/>
      <c r="M180" s="2111">
        <v>3</v>
      </c>
      <c r="N180" s="2146"/>
      <c r="O180" s="2249">
        <f>IF(OR(AND(O181&gt;0,O182&gt;0,O183&gt;0), AND(O181&gt;0,O182&gt;0), AND(O182&gt;0,O183&gt;0), AND(O181&gt;0,O183&gt;0)),"Choose", IF(AND(OR($J$12="Atlanta Metro",$J$12="Other Metro",$J$12="N/A-4%"),SUM(O181,O182,O183)&gt;0), MIN($M180,O181+O182), IF(AND(OR($J$12="Rural"),SUM(O181,O182,O183)&gt;0), MIN($M180,O183),0)))</f>
        <v>0</v>
      </c>
      <c r="P180" s="2249">
        <f>IF(OR(AND(P181&gt;0,P182&gt;0,P183&gt;0), AND(P181&gt;0,P182&gt;0), AND(P182&gt;0,P183&gt;0), AND(P181&gt;0,P183&gt;0)),"Choose", IF(AND(OR($L$12="Atlanta Metro",$L$12="Other Metro",$J$12="N/A-4%"),SUM(P181,P182,P183)&gt;0), MIN($M180,P181+P182), IF(AND(OR($J$12="Rural"),SUM(P181,P182,P183)&gt;0), MIN($M180,P183),0)))</f>
        <v>0</v>
      </c>
      <c r="R180" s="3894"/>
      <c r="S180" s="2276">
        <v>1</v>
      </c>
      <c r="T180" s="2276">
        <v>4</v>
      </c>
      <c r="AM180" s="2494">
        <v>180</v>
      </c>
    </row>
    <row r="181" spans="1:39" ht="16" customHeight="1">
      <c r="A181" s="2131"/>
      <c r="B181" s="2277" t="s">
        <v>1839</v>
      </c>
      <c r="C181" s="2108" t="s">
        <v>4704</v>
      </c>
      <c r="D181" s="2126"/>
      <c r="E181" s="2126"/>
      <c r="F181" s="2126"/>
      <c r="G181" s="2126"/>
      <c r="H181" s="2126"/>
      <c r="I181" s="2126"/>
      <c r="J181" s="2126"/>
      <c r="K181" s="2126"/>
      <c r="L181" s="2145" t="str">
        <f t="shared" ref="L181:L183" si="4">IF(OR($O181=$M181,$O181=0,$O181=""),"","* * Check Score! * *")</f>
        <v/>
      </c>
      <c r="M181" s="2110">
        <v>3</v>
      </c>
      <c r="N181" s="2218"/>
      <c r="O181" s="2009"/>
      <c r="P181" s="2278"/>
      <c r="R181" s="3894" t="s">
        <v>4570</v>
      </c>
      <c r="S181" s="2279">
        <v>0.25</v>
      </c>
      <c r="T181" s="2279">
        <v>3</v>
      </c>
      <c r="U181" s="2163"/>
      <c r="AM181" s="2494">
        <v>181</v>
      </c>
    </row>
    <row r="182" spans="1:39" ht="16" customHeight="1">
      <c r="A182" s="2178" t="s">
        <v>1273</v>
      </c>
      <c r="B182" s="2277" t="s">
        <v>1841</v>
      </c>
      <c r="C182" s="2108" t="s">
        <v>4723</v>
      </c>
      <c r="D182" s="2126"/>
      <c r="E182" s="2126"/>
      <c r="F182" s="2126"/>
      <c r="G182" s="2126"/>
      <c r="H182" s="2126"/>
      <c r="I182" s="2126"/>
      <c r="J182" s="2265"/>
      <c r="K182" s="2265"/>
      <c r="L182" s="2145" t="str">
        <f t="shared" si="4"/>
        <v/>
      </c>
      <c r="M182" s="2110">
        <v>1</v>
      </c>
      <c r="N182" s="2218"/>
      <c r="O182" s="2010"/>
      <c r="P182" s="2280"/>
      <c r="R182" s="3894"/>
      <c r="S182" s="2271">
        <v>0.5</v>
      </c>
      <c r="T182" s="2271">
        <v>2</v>
      </c>
      <c r="U182" s="2163"/>
      <c r="AM182" s="2494">
        <v>182</v>
      </c>
    </row>
    <row r="183" spans="1:39" s="2163" customFormat="1" ht="29.25" customHeight="1">
      <c r="A183" s="2281" t="s">
        <v>1273</v>
      </c>
      <c r="B183" s="2277" t="s">
        <v>2326</v>
      </c>
      <c r="C183" s="3893" t="s">
        <v>4722</v>
      </c>
      <c r="D183" s="3893"/>
      <c r="E183" s="3893"/>
      <c r="F183" s="3893"/>
      <c r="G183" s="3893"/>
      <c r="H183" s="3893"/>
      <c r="I183" s="3893"/>
      <c r="J183" s="3893"/>
      <c r="K183" s="3893"/>
      <c r="L183" s="2145" t="str">
        <f t="shared" si="4"/>
        <v/>
      </c>
      <c r="M183" s="2164">
        <v>2</v>
      </c>
      <c r="N183" s="2216"/>
      <c r="O183" s="2042"/>
      <c r="P183" s="2282"/>
      <c r="R183" s="3894"/>
      <c r="S183" s="2276">
        <v>1</v>
      </c>
      <c r="T183" s="2276">
        <v>1</v>
      </c>
      <c r="AM183" s="2493">
        <v>183</v>
      </c>
    </row>
    <row r="184" spans="1:39" ht="16" customHeight="1">
      <c r="A184" s="2108"/>
      <c r="B184" s="2130" t="s">
        <v>4850</v>
      </c>
      <c r="C184" s="2108"/>
      <c r="D184" s="2108"/>
      <c r="E184" s="2108"/>
      <c r="F184" s="2108"/>
      <c r="G184" s="2108"/>
      <c r="H184" s="2108"/>
      <c r="I184" s="2108"/>
      <c r="J184" s="2108"/>
      <c r="K184" s="2108"/>
      <c r="M184" s="2110"/>
      <c r="O184" s="2121"/>
      <c r="AM184" s="2493">
        <v>184</v>
      </c>
    </row>
    <row r="185" spans="1:39" ht="16" customHeight="1">
      <c r="A185" s="3776"/>
      <c r="B185" s="3777"/>
      <c r="C185" s="3777"/>
      <c r="D185" s="3777"/>
      <c r="E185" s="3777"/>
      <c r="F185" s="3777"/>
      <c r="G185" s="3777"/>
      <c r="H185" s="3777"/>
      <c r="I185" s="3777"/>
      <c r="J185" s="3777"/>
      <c r="K185" s="3777"/>
      <c r="L185" s="3777"/>
      <c r="M185" s="3777"/>
      <c r="N185" s="3777"/>
      <c r="O185" s="3777"/>
      <c r="P185" s="3778"/>
      <c r="Q185" s="2191"/>
      <c r="R185" s="2191"/>
      <c r="AM185" s="2494">
        <v>185</v>
      </c>
    </row>
    <row r="186" spans="1:39" s="2108" customFormat="1" ht="16" customHeight="1">
      <c r="B186" s="2219" t="s">
        <v>1725</v>
      </c>
      <c r="D186" s="2219"/>
      <c r="E186" s="2158"/>
      <c r="F186" s="2158"/>
      <c r="G186" s="2158"/>
      <c r="H186" s="2158"/>
      <c r="I186" s="2158"/>
      <c r="J186" s="2158"/>
      <c r="K186" s="2158"/>
      <c r="L186" s="2158"/>
      <c r="M186" s="2158"/>
      <c r="N186" s="2221"/>
      <c r="O186" s="2136"/>
      <c r="P186" s="2111"/>
      <c r="Q186" s="2107"/>
      <c r="AM186" s="2493">
        <v>186</v>
      </c>
    </row>
    <row r="187" spans="1:39" ht="16" customHeight="1">
      <c r="A187" s="3756"/>
      <c r="B187" s="3757"/>
      <c r="C187" s="3757"/>
      <c r="D187" s="3757"/>
      <c r="E187" s="3757"/>
      <c r="F187" s="3757"/>
      <c r="G187" s="3757"/>
      <c r="H187" s="3757"/>
      <c r="I187" s="3757"/>
      <c r="J187" s="3757"/>
      <c r="K187" s="3757"/>
      <c r="L187" s="3757"/>
      <c r="M187" s="3757"/>
      <c r="N187" s="3757"/>
      <c r="O187" s="3757"/>
      <c r="P187" s="3758"/>
      <c r="Q187" s="2174"/>
      <c r="AM187" s="2493">
        <v>187</v>
      </c>
    </row>
    <row r="188" spans="1:39" ht="9.75" customHeight="1">
      <c r="AM188" s="2494">
        <v>188</v>
      </c>
    </row>
    <row r="189" spans="1:39" ht="9.75" customHeight="1" thickBot="1">
      <c r="AM189" s="2494">
        <v>189</v>
      </c>
    </row>
    <row r="190" spans="1:39" ht="16" customHeight="1" thickBot="1">
      <c r="A190" s="2131" t="s">
        <v>1602</v>
      </c>
      <c r="B190" s="2132" t="s">
        <v>4054</v>
      </c>
      <c r="C190" s="2160"/>
      <c r="D190" s="2160"/>
      <c r="E190" s="2160"/>
      <c r="G190" s="2111"/>
      <c r="H190" s="2149"/>
      <c r="L190" s="2141" t="s">
        <v>4899</v>
      </c>
      <c r="M190" s="2111">
        <v>3</v>
      </c>
      <c r="N190" s="2172"/>
      <c r="O190" s="2046"/>
      <c r="P190" s="2283"/>
      <c r="Q190" s="2236" t="str">
        <f>IF(OR($O190&lt;=$M190,$O190=0,$O190=""),"","*CHECK!*")</f>
        <v/>
      </c>
      <c r="R190" s="2284" t="s">
        <v>415</v>
      </c>
      <c r="S190" s="2111" t="str">
        <f>$O$12</f>
        <v/>
      </c>
      <c r="AM190" s="2494">
        <v>190</v>
      </c>
    </row>
    <row r="191" spans="1:39" ht="23.25" customHeight="1">
      <c r="B191" s="2285"/>
      <c r="C191" s="2285"/>
      <c r="D191" s="2285"/>
      <c r="E191" s="2286"/>
      <c r="F191" s="3880" t="s">
        <v>4738</v>
      </c>
      <c r="G191" s="3880"/>
      <c r="H191" s="3880" t="s">
        <v>4739</v>
      </c>
      <c r="I191" s="3880"/>
      <c r="J191" s="3882" t="s">
        <v>4749</v>
      </c>
      <c r="K191" s="3883"/>
      <c r="L191" s="3888" t="s">
        <v>4725</v>
      </c>
      <c r="M191" s="3888"/>
      <c r="N191" s="3888"/>
      <c r="O191" s="3889"/>
      <c r="P191" s="2287"/>
      <c r="AM191" s="2494">
        <v>191</v>
      </c>
    </row>
    <row r="192" spans="1:39" ht="24.65" customHeight="1">
      <c r="B192" s="2285"/>
      <c r="C192" s="2285"/>
      <c r="D192" s="2285"/>
      <c r="E192" s="2286"/>
      <c r="F192" s="3880"/>
      <c r="G192" s="3880"/>
      <c r="H192" s="3880"/>
      <c r="I192" s="3880"/>
      <c r="J192" s="3884"/>
      <c r="K192" s="3885"/>
      <c r="L192" s="3880"/>
      <c r="M192" s="3880"/>
      <c r="N192" s="3880"/>
      <c r="O192" s="3889"/>
      <c r="P192" s="2287"/>
      <c r="AM192" s="2493">
        <v>192</v>
      </c>
    </row>
    <row r="193" spans="1:39" ht="16" customHeight="1">
      <c r="B193" s="2288" t="s">
        <v>4529</v>
      </c>
      <c r="C193" s="2289"/>
      <c r="D193" s="2286"/>
      <c r="E193" s="2286"/>
      <c r="F193" s="3881"/>
      <c r="G193" s="3881"/>
      <c r="H193" s="3881"/>
      <c r="I193" s="3881"/>
      <c r="J193" s="3886"/>
      <c r="K193" s="3887"/>
      <c r="L193" s="3881"/>
      <c r="M193" s="3881"/>
      <c r="N193" s="3881"/>
      <c r="O193" s="3890"/>
      <c r="P193" s="2287"/>
      <c r="AM193" s="2494">
        <v>193</v>
      </c>
    </row>
    <row r="194" spans="1:39" ht="16" customHeight="1">
      <c r="B194" s="3872"/>
      <c r="C194" s="3873"/>
      <c r="D194" s="3873"/>
      <c r="E194" s="3874"/>
      <c r="F194" s="3875"/>
      <c r="G194" s="3876"/>
      <c r="H194" s="3875"/>
      <c r="I194" s="3876"/>
      <c r="J194" s="3877"/>
      <c r="K194" s="3878"/>
      <c r="L194" s="3877"/>
      <c r="M194" s="3879"/>
      <c r="N194" s="3879"/>
      <c r="O194" s="3878"/>
      <c r="P194" s="2152"/>
      <c r="AM194" s="2493">
        <v>194</v>
      </c>
    </row>
    <row r="195" spans="1:39" ht="16" customHeight="1">
      <c r="B195" s="3856"/>
      <c r="C195" s="3857"/>
      <c r="D195" s="3857"/>
      <c r="E195" s="3858"/>
      <c r="F195" s="3859"/>
      <c r="G195" s="3860"/>
      <c r="H195" s="3859"/>
      <c r="I195" s="3860"/>
      <c r="J195" s="3861"/>
      <c r="K195" s="3862"/>
      <c r="L195" s="3861"/>
      <c r="M195" s="3863"/>
      <c r="N195" s="3863"/>
      <c r="O195" s="3862"/>
      <c r="P195" s="2154"/>
      <c r="AM195" s="2493">
        <v>195</v>
      </c>
    </row>
    <row r="196" spans="1:39" ht="16" customHeight="1">
      <c r="B196" s="3856"/>
      <c r="C196" s="3857"/>
      <c r="D196" s="3857"/>
      <c r="E196" s="3858"/>
      <c r="F196" s="3859"/>
      <c r="G196" s="3860"/>
      <c r="H196" s="3859"/>
      <c r="I196" s="3860"/>
      <c r="J196" s="3861"/>
      <c r="K196" s="3862"/>
      <c r="L196" s="3861"/>
      <c r="M196" s="3863"/>
      <c r="N196" s="3863"/>
      <c r="O196" s="3862"/>
      <c r="P196" s="2154"/>
      <c r="AM196" s="2493">
        <v>196</v>
      </c>
    </row>
    <row r="197" spans="1:39" ht="16" customHeight="1">
      <c r="B197" s="3856"/>
      <c r="C197" s="3857"/>
      <c r="D197" s="3857"/>
      <c r="E197" s="3858"/>
      <c r="F197" s="3859"/>
      <c r="G197" s="3860"/>
      <c r="H197" s="3859"/>
      <c r="I197" s="3860"/>
      <c r="J197" s="3861"/>
      <c r="K197" s="3862"/>
      <c r="L197" s="3861"/>
      <c r="M197" s="3863"/>
      <c r="N197" s="3863"/>
      <c r="O197" s="3862"/>
      <c r="P197" s="2154"/>
      <c r="AM197" s="2493">
        <v>197</v>
      </c>
    </row>
    <row r="198" spans="1:39" ht="16" customHeight="1">
      <c r="B198" s="3856"/>
      <c r="C198" s="3857"/>
      <c r="D198" s="3857"/>
      <c r="E198" s="3858"/>
      <c r="F198" s="3859"/>
      <c r="G198" s="3860"/>
      <c r="H198" s="3859"/>
      <c r="I198" s="3860"/>
      <c r="J198" s="3861"/>
      <c r="K198" s="3862"/>
      <c r="L198" s="3861"/>
      <c r="M198" s="3863"/>
      <c r="N198" s="3863"/>
      <c r="O198" s="3862"/>
      <c r="P198" s="2154"/>
      <c r="AM198" s="2494">
        <v>198</v>
      </c>
    </row>
    <row r="199" spans="1:39" ht="16" customHeight="1">
      <c r="B199" s="3864"/>
      <c r="C199" s="3865"/>
      <c r="D199" s="3865"/>
      <c r="E199" s="3866"/>
      <c r="F199" s="3867"/>
      <c r="G199" s="3868"/>
      <c r="H199" s="3867"/>
      <c r="I199" s="3868"/>
      <c r="J199" s="3869"/>
      <c r="K199" s="3870"/>
      <c r="L199" s="3869"/>
      <c r="M199" s="3871"/>
      <c r="N199" s="3871"/>
      <c r="O199" s="3870"/>
      <c r="P199" s="2155"/>
      <c r="AM199" s="2494">
        <v>199</v>
      </c>
    </row>
    <row r="200" spans="1:39" ht="16" customHeight="1">
      <c r="A200" s="2108"/>
      <c r="B200" s="2130" t="s">
        <v>4850</v>
      </c>
      <c r="C200" s="2108"/>
      <c r="D200" s="2108"/>
      <c r="E200" s="2108"/>
      <c r="F200" s="2108"/>
      <c r="G200" s="2108"/>
      <c r="H200" s="2108"/>
      <c r="I200" s="2108"/>
      <c r="J200" s="2108"/>
      <c r="K200" s="2108"/>
      <c r="M200" s="2110"/>
      <c r="O200" s="2121"/>
      <c r="AM200" s="2494">
        <v>200</v>
      </c>
    </row>
    <row r="201" spans="1:39" ht="16" customHeight="1">
      <c r="A201" s="3776"/>
      <c r="B201" s="3777"/>
      <c r="C201" s="3777"/>
      <c r="D201" s="3777"/>
      <c r="E201" s="3777"/>
      <c r="F201" s="3777"/>
      <c r="G201" s="3777"/>
      <c r="H201" s="3777"/>
      <c r="I201" s="3777"/>
      <c r="J201" s="3777"/>
      <c r="K201" s="3777"/>
      <c r="L201" s="3777"/>
      <c r="M201" s="3777"/>
      <c r="N201" s="3777"/>
      <c r="O201" s="3777"/>
      <c r="P201" s="3778"/>
      <c r="Q201" s="2191"/>
      <c r="AM201" s="2494">
        <v>201</v>
      </c>
    </row>
    <row r="202" spans="1:39" ht="16" customHeight="1">
      <c r="A202" s="2108"/>
      <c r="B202" s="2169" t="s">
        <v>1725</v>
      </c>
      <c r="C202" s="2170"/>
      <c r="D202" s="2169"/>
      <c r="E202" s="2171"/>
      <c r="F202" s="2160"/>
      <c r="G202" s="2160"/>
      <c r="H202" s="2160"/>
      <c r="I202" s="2160"/>
      <c r="J202" s="2160"/>
      <c r="K202" s="2160"/>
      <c r="L202" s="2160"/>
      <c r="M202" s="2160"/>
      <c r="N202" s="2172"/>
      <c r="O202" s="2173"/>
      <c r="P202" s="2111"/>
      <c r="AM202" s="2493">
        <v>202</v>
      </c>
    </row>
    <row r="203" spans="1:39" ht="16" customHeight="1">
      <c r="A203" s="3756"/>
      <c r="B203" s="3757"/>
      <c r="C203" s="3757"/>
      <c r="D203" s="3757"/>
      <c r="E203" s="3757"/>
      <c r="F203" s="3757"/>
      <c r="G203" s="3757"/>
      <c r="H203" s="3757"/>
      <c r="I203" s="3757"/>
      <c r="J203" s="3757"/>
      <c r="K203" s="3757"/>
      <c r="L203" s="3757"/>
      <c r="M203" s="3757"/>
      <c r="N203" s="3757"/>
      <c r="O203" s="3757"/>
      <c r="P203" s="3758"/>
      <c r="Q203" s="2174"/>
      <c r="U203" s="2254"/>
      <c r="AM203" s="2494">
        <v>203</v>
      </c>
    </row>
    <row r="204" spans="1:39" ht="9.75" customHeight="1">
      <c r="AM204" s="2493">
        <v>204</v>
      </c>
    </row>
    <row r="205" spans="1:39" ht="9.75" customHeight="1" thickBot="1">
      <c r="AM205" s="2493">
        <v>205</v>
      </c>
    </row>
    <row r="206" spans="1:39" s="2108" customFormat="1" ht="16" customHeight="1" thickBot="1">
      <c r="A206" s="2131" t="s">
        <v>2489</v>
      </c>
      <c r="B206" s="2132" t="s">
        <v>3254</v>
      </c>
      <c r="D206" s="2132"/>
      <c r="E206" s="2132"/>
      <c r="K206" s="2452"/>
      <c r="L206" s="2141" t="s">
        <v>4899</v>
      </c>
      <c r="M206" s="2111">
        <v>10</v>
      </c>
      <c r="N206" s="2110"/>
      <c r="O206" s="2211">
        <f>IF(AND($F$12="New Affordability",$C$16="Revitalization/Redevelopment Plans"),MIN($M$206,O212+O222+O229),0)</f>
        <v>0</v>
      </c>
      <c r="P206" s="2211">
        <f>IF(AND($F$12="New Affordability",$C$16="Revitalization/Redevelopment Plans"),MIN($M$206,P212+P222+P229),0)</f>
        <v>0</v>
      </c>
      <c r="Q206" s="2143" t="s">
        <v>415</v>
      </c>
      <c r="R206" s="2443" t="s">
        <v>5002</v>
      </c>
      <c r="S206" s="2105"/>
      <c r="T206" s="2105"/>
      <c r="U206" s="2105"/>
      <c r="V206" s="2444" t="str">
        <f>$C$16</f>
        <v>Community Designations</v>
      </c>
      <c r="AM206" s="2493">
        <v>206</v>
      </c>
    </row>
    <row r="207" spans="1:39" s="2108" customFormat="1" ht="16" customHeight="1">
      <c r="A207" s="2131"/>
      <c r="B207" s="2132"/>
      <c r="D207" s="2132"/>
      <c r="E207" s="2132"/>
      <c r="F207" s="2140" t="s">
        <v>5044</v>
      </c>
      <c r="L207" s="2176"/>
      <c r="M207" s="2111"/>
      <c r="N207" s="2110"/>
      <c r="O207" s="2121">
        <f>MAX(O213+O214+O215+O216+O220+O221+O222+O224+O228+O229,O206)</f>
        <v>0</v>
      </c>
      <c r="P207" s="2121">
        <f>MAX(P213+P214+P215+P216+P220+P221+P222+P224+P228+P229,P206)</f>
        <v>0</v>
      </c>
      <c r="Q207" s="2143"/>
      <c r="R207" s="2149"/>
      <c r="S207" s="2105"/>
      <c r="T207" s="2105"/>
      <c r="U207" s="2105"/>
      <c r="V207" s="2107"/>
      <c r="W207" s="2107"/>
      <c r="X207" s="2107"/>
      <c r="AM207" s="2493">
        <v>207</v>
      </c>
    </row>
    <row r="208" spans="1:39" ht="16" customHeight="1">
      <c r="A208" s="2143"/>
      <c r="B208" s="2108" t="s">
        <v>4705</v>
      </c>
      <c r="D208" s="2119"/>
      <c r="E208" s="2119"/>
      <c r="F208" s="2119"/>
      <c r="G208" s="2119"/>
      <c r="H208" s="2119"/>
      <c r="I208" s="2119"/>
      <c r="J208" s="2119"/>
      <c r="K208" s="2119"/>
      <c r="L208" s="2119"/>
      <c r="Q208" s="2236" t="str">
        <f>IF(OR($O213=$M213,$O213=0,$O213=""),"","*CHECK!*")</f>
        <v/>
      </c>
      <c r="R208" s="2149"/>
      <c r="S208" s="2105"/>
      <c r="T208" s="2105"/>
      <c r="U208" s="2105"/>
      <c r="AM208" s="2494">
        <v>208</v>
      </c>
    </row>
    <row r="209" spans="1:39" ht="16" customHeight="1">
      <c r="A209" s="2290"/>
      <c r="B209" s="2146"/>
      <c r="C209" s="2163" t="s">
        <v>4900</v>
      </c>
      <c r="D209" s="2163"/>
      <c r="E209" s="2163"/>
      <c r="F209" s="2163"/>
      <c r="G209" s="2163"/>
      <c r="H209" s="2163"/>
      <c r="I209" s="2163"/>
      <c r="J209" s="2163"/>
      <c r="K209" s="2163"/>
      <c r="L209" s="2165"/>
      <c r="N209" s="3847" t="s">
        <v>4706</v>
      </c>
      <c r="O209" s="3848"/>
      <c r="P209" s="3849"/>
      <c r="S209" s="2105"/>
      <c r="T209" s="2105"/>
      <c r="U209" s="2105"/>
      <c r="AM209" s="2494">
        <v>209</v>
      </c>
    </row>
    <row r="210" spans="1:39" s="2108" customFormat="1" ht="16" customHeight="1">
      <c r="A210" s="2110"/>
      <c r="B210" s="2146"/>
      <c r="C210" s="2108" t="s">
        <v>4707</v>
      </c>
      <c r="L210" s="2146"/>
      <c r="N210" s="3850" t="s">
        <v>4706</v>
      </c>
      <c r="O210" s="3851"/>
      <c r="P210" s="3852"/>
      <c r="S210" s="2105"/>
      <c r="T210" s="2105"/>
      <c r="U210" s="2105"/>
      <c r="AM210" s="2494">
        <v>210</v>
      </c>
    </row>
    <row r="211" spans="1:39" s="2108" customFormat="1" ht="16" customHeight="1">
      <c r="A211" s="2110"/>
      <c r="B211" s="2146"/>
      <c r="C211" s="2108" t="s">
        <v>4901</v>
      </c>
      <c r="L211" s="2146"/>
      <c r="N211" s="3853" t="s">
        <v>4706</v>
      </c>
      <c r="O211" s="3854"/>
      <c r="P211" s="3855"/>
      <c r="Q211" s="2012"/>
      <c r="S211" s="2105"/>
      <c r="T211" s="2105"/>
      <c r="U211" s="2105"/>
      <c r="V211" s="2012"/>
      <c r="AM211" s="2494">
        <v>211</v>
      </c>
    </row>
    <row r="212" spans="1:39" s="2108" customFormat="1" ht="16" customHeight="1">
      <c r="A212" s="2111" t="s">
        <v>1836</v>
      </c>
      <c r="B212" s="2239" t="s">
        <v>4078</v>
      </c>
      <c r="L212" s="2210" t="s">
        <v>4899</v>
      </c>
      <c r="M212" s="2110">
        <v>6</v>
      </c>
      <c r="N212" s="2146"/>
      <c r="O212" s="2215">
        <f>MIN($M212,O213+O214+O215)</f>
        <v>0</v>
      </c>
      <c r="P212" s="2215">
        <f>MIN($M212,P213+P214+P215)</f>
        <v>0</v>
      </c>
      <c r="Q212" s="2012"/>
      <c r="S212" s="2105"/>
      <c r="T212" s="2105"/>
      <c r="U212" s="2105"/>
      <c r="V212" s="2012"/>
      <c r="AM212" s="2493">
        <v>212</v>
      </c>
    </row>
    <row r="213" spans="1:39" ht="16" customHeight="1">
      <c r="A213" s="2290"/>
      <c r="B213" s="2239" t="s">
        <v>4902</v>
      </c>
      <c r="D213" s="2163"/>
      <c r="E213" s="2163"/>
      <c r="F213" s="2163"/>
      <c r="G213" s="2163"/>
      <c r="H213" s="2163"/>
      <c r="I213" s="2163"/>
      <c r="K213" s="2110"/>
      <c r="L213" s="2145" t="str">
        <f t="shared" ref="L213:L214" si="5">IF(OR($O213=$M213,$O213=0,$O213=""),"","* * Check Score! * *")</f>
        <v/>
      </c>
      <c r="M213" s="2110">
        <v>2</v>
      </c>
      <c r="N213" s="2165"/>
      <c r="O213" s="2013"/>
      <c r="P213" s="2237"/>
      <c r="R213" s="2105"/>
      <c r="S213" s="2105"/>
      <c r="T213" s="2105"/>
      <c r="U213" s="2105"/>
      <c r="AM213" s="2494">
        <v>213</v>
      </c>
    </row>
    <row r="214" spans="1:39" ht="16" customHeight="1">
      <c r="A214" s="2178"/>
      <c r="B214" s="2107" t="s">
        <v>4903</v>
      </c>
      <c r="D214" s="2273"/>
      <c r="E214" s="2273"/>
      <c r="F214" s="2273"/>
      <c r="G214" s="2273"/>
      <c r="H214" s="2273"/>
      <c r="I214" s="2273"/>
      <c r="J214" s="2273"/>
      <c r="K214" s="2273"/>
      <c r="L214" s="2145" t="str">
        <f t="shared" si="5"/>
        <v/>
      </c>
      <c r="M214" s="2110">
        <v>1</v>
      </c>
      <c r="N214" s="2146"/>
      <c r="O214" s="2010"/>
      <c r="P214" s="2280"/>
      <c r="Q214" s="2236" t="str">
        <f>IF(OR($O214=$M214,$O214=0,$O214=""),"","*CHECK!*")</f>
        <v/>
      </c>
      <c r="R214" s="2149"/>
      <c r="AM214" s="2493">
        <v>214</v>
      </c>
    </row>
    <row r="215" spans="1:39" ht="16" customHeight="1">
      <c r="A215" s="2290"/>
      <c r="B215" s="2239" t="s">
        <v>4980</v>
      </c>
      <c r="D215" s="2163"/>
      <c r="E215" s="2163"/>
      <c r="F215" s="2163"/>
      <c r="G215" s="2163"/>
      <c r="H215" s="2163"/>
      <c r="I215" s="2163"/>
      <c r="K215" s="2110"/>
      <c r="L215" s="2210" t="s">
        <v>4899</v>
      </c>
      <c r="M215" s="2110">
        <v>3</v>
      </c>
      <c r="N215" s="2107"/>
      <c r="O215" s="2215">
        <f>MIN($M215,O216+O220+O221)</f>
        <v>0</v>
      </c>
      <c r="P215" s="2215">
        <f>MIN($M215,P216+P220+P221)</f>
        <v>0</v>
      </c>
      <c r="R215" s="2105"/>
      <c r="S215" s="2105"/>
      <c r="T215" s="2105"/>
      <c r="U215" s="2105"/>
      <c r="AM215" s="2493">
        <v>215</v>
      </c>
    </row>
    <row r="216" spans="1:39" ht="16" customHeight="1">
      <c r="A216" s="2110"/>
      <c r="B216" s="2151"/>
      <c r="C216" s="2162" t="s">
        <v>4981</v>
      </c>
      <c r="D216" s="2160"/>
      <c r="E216" s="2160"/>
      <c r="F216" s="2160"/>
      <c r="G216" s="2160"/>
      <c r="H216" s="2160"/>
      <c r="I216" s="2160"/>
      <c r="J216" s="2160"/>
      <c r="K216" s="2160"/>
      <c r="L216" s="2160"/>
      <c r="M216" s="2110">
        <v>3</v>
      </c>
      <c r="N216" s="2172"/>
      <c r="O216" s="2398">
        <f>IF(OR(O217="Yes", O218="Yes", O219="Yes"),$M216,0)</f>
        <v>0</v>
      </c>
      <c r="P216" s="2398">
        <f>IF(OR(P217="Yes", P218="Yes", P219="Yes"),$M216,0)</f>
        <v>0</v>
      </c>
      <c r="AM216" s="2493">
        <v>216</v>
      </c>
    </row>
    <row r="217" spans="1:39" ht="16" customHeight="1">
      <c r="A217" s="2178"/>
      <c r="C217" s="2141"/>
      <c r="D217" s="2163" t="s">
        <v>4904</v>
      </c>
      <c r="E217" s="2163"/>
      <c r="F217" s="2163"/>
      <c r="G217" s="2163"/>
      <c r="H217" s="2163"/>
      <c r="I217" s="2163"/>
      <c r="J217" s="2163"/>
      <c r="K217" s="2163"/>
      <c r="L217" s="2163"/>
      <c r="M217" s="2164"/>
      <c r="N217" s="2165"/>
      <c r="O217" s="2001"/>
      <c r="P217" s="2240"/>
      <c r="Q217" s="2236"/>
      <c r="R217" s="2149"/>
      <c r="AM217" s="2493">
        <v>217</v>
      </c>
    </row>
    <row r="218" spans="1:39" ht="15" customHeight="1">
      <c r="A218" s="2178"/>
      <c r="C218" s="2141"/>
      <c r="D218" s="2163" t="s">
        <v>4905</v>
      </c>
      <c r="E218" s="2163"/>
      <c r="F218" s="2163"/>
      <c r="G218" s="2163"/>
      <c r="H218" s="2163"/>
      <c r="I218" s="2163"/>
      <c r="J218" s="2163"/>
      <c r="K218" s="2163"/>
      <c r="L218" s="2163"/>
      <c r="M218" s="2164"/>
      <c r="N218" s="2165"/>
      <c r="O218" s="2014"/>
      <c r="P218" s="2242"/>
      <c r="Q218" s="2236"/>
      <c r="R218" s="2149"/>
      <c r="AM218" s="2493">
        <v>218</v>
      </c>
    </row>
    <row r="219" spans="1:39">
      <c r="A219" s="2178"/>
      <c r="B219" s="2151"/>
      <c r="C219" s="2141"/>
      <c r="D219" s="2163" t="s">
        <v>4906</v>
      </c>
      <c r="E219" s="2163"/>
      <c r="F219" s="2163"/>
      <c r="G219" s="2163"/>
      <c r="H219" s="2163"/>
      <c r="I219" s="2163"/>
      <c r="J219" s="2163"/>
      <c r="K219" s="2163"/>
      <c r="L219" s="2163"/>
      <c r="M219" s="2164"/>
      <c r="N219" s="2165"/>
      <c r="O219" s="2042"/>
      <c r="P219" s="2282"/>
      <c r="Q219" s="2236"/>
      <c r="R219" s="2149"/>
      <c r="AM219" s="2493">
        <v>219</v>
      </c>
    </row>
    <row r="220" spans="1:39" ht="16" customHeight="1">
      <c r="A220" s="2110"/>
      <c r="C220" s="2162" t="s">
        <v>4908</v>
      </c>
      <c r="E220" s="2160"/>
      <c r="F220" s="2160"/>
      <c r="G220" s="2160"/>
      <c r="H220" s="2160"/>
      <c r="I220" s="2160"/>
      <c r="J220" s="2160"/>
      <c r="K220" s="2160"/>
      <c r="L220" s="2145" t="str">
        <f t="shared" ref="L220:L221" si="6">IF(OR($O220=$M220,$O220=0,$O220=""),"","* * Check Score! * *")</f>
        <v/>
      </c>
      <c r="M220" s="2221">
        <v>1</v>
      </c>
      <c r="N220" s="2172"/>
      <c r="O220" s="2013"/>
      <c r="P220" s="2237"/>
      <c r="AM220" s="2493">
        <v>220</v>
      </c>
    </row>
    <row r="221" spans="1:39" ht="16" customHeight="1">
      <c r="A221" s="2110"/>
      <c r="C221" s="2162" t="s">
        <v>5018</v>
      </c>
      <c r="E221" s="2160"/>
      <c r="F221" s="2160"/>
      <c r="G221" s="2160"/>
      <c r="H221" s="2160"/>
      <c r="I221" s="2160"/>
      <c r="J221" s="2160"/>
      <c r="K221" s="2160"/>
      <c r="L221" s="2145" t="str">
        <f t="shared" si="6"/>
        <v/>
      </c>
      <c r="M221" s="2221">
        <v>2</v>
      </c>
      <c r="N221" s="2172"/>
      <c r="O221" s="2002"/>
      <c r="P221" s="2238"/>
      <c r="AM221" s="2494">
        <v>221</v>
      </c>
    </row>
    <row r="222" spans="1:39" ht="16" customHeight="1">
      <c r="A222" s="2111" t="s">
        <v>1838</v>
      </c>
      <c r="B222" s="2119" t="s">
        <v>3310</v>
      </c>
      <c r="C222" s="2160"/>
      <c r="D222" s="2160"/>
      <c r="E222" s="2160"/>
      <c r="F222" s="2160"/>
      <c r="G222" s="2160"/>
      <c r="H222" s="2160"/>
      <c r="I222" s="2160"/>
      <c r="J222" s="2160"/>
      <c r="K222" s="2160"/>
      <c r="L222" s="2210" t="s">
        <v>4899</v>
      </c>
      <c r="M222" s="2111">
        <v>3</v>
      </c>
      <c r="N222" s="2172"/>
      <c r="O222" s="2156">
        <f>IF(O223="yes",MIN($M222,O224+O228),0)</f>
        <v>0</v>
      </c>
      <c r="P222" s="2156">
        <f>IF(P223="yes",MIN($M222,P224+P228),0)</f>
        <v>0</v>
      </c>
      <c r="Q222" s="2143"/>
      <c r="R222" s="2149"/>
      <c r="AM222" s="2494">
        <v>222</v>
      </c>
    </row>
    <row r="223" spans="1:39" ht="16" customHeight="1">
      <c r="A223" s="2111"/>
      <c r="B223" s="2108" t="s">
        <v>4982</v>
      </c>
      <c r="C223" s="2160"/>
      <c r="D223" s="2160"/>
      <c r="E223" s="2160"/>
      <c r="F223" s="2160"/>
      <c r="G223" s="2160"/>
      <c r="H223" s="2160"/>
      <c r="I223" s="2160"/>
      <c r="J223" s="2160"/>
      <c r="K223" s="2160"/>
      <c r="L223" s="2210"/>
      <c r="M223" s="2111"/>
      <c r="N223" s="2172"/>
      <c r="O223" s="2042"/>
      <c r="P223" s="2282"/>
      <c r="Q223" s="2143"/>
      <c r="R223" s="2149"/>
      <c r="AM223" s="2494">
        <v>223</v>
      </c>
    </row>
    <row r="224" spans="1:39" ht="16" customHeight="1">
      <c r="A224" s="2131"/>
      <c r="B224" s="2291" t="s">
        <v>1839</v>
      </c>
      <c r="C224" s="2162" t="s">
        <v>4909</v>
      </c>
      <c r="D224" s="2160"/>
      <c r="E224" s="2160"/>
      <c r="F224" s="2160"/>
      <c r="G224" s="2160"/>
      <c r="H224" s="2160"/>
      <c r="L224" s="2210" t="s">
        <v>4899</v>
      </c>
      <c r="M224" s="2110">
        <v>3</v>
      </c>
      <c r="N224" s="2172"/>
      <c r="O224" s="2399">
        <f>MIN($M224,O225+O226+O227)</f>
        <v>0</v>
      </c>
      <c r="P224" s="2399">
        <f>MIN($M224,P225+P226+P227)</f>
        <v>0</v>
      </c>
      <c r="Q224" s="2143"/>
      <c r="R224" s="2149"/>
      <c r="AM224" s="2494">
        <v>224</v>
      </c>
    </row>
    <row r="225" spans="1:39" ht="16" customHeight="1">
      <c r="B225" s="2151" t="s">
        <v>1958</v>
      </c>
      <c r="C225" s="2107" t="s">
        <v>4983</v>
      </c>
      <c r="L225" s="2145" t="str">
        <f>IF(OR($O225=$M225,$O225=0,$O225=""),"","* * Check Score! * *")</f>
        <v/>
      </c>
      <c r="M225" s="2128">
        <v>1</v>
      </c>
      <c r="O225" s="2013"/>
      <c r="P225" s="2237"/>
      <c r="AM225" s="2493">
        <v>225</v>
      </c>
    </row>
    <row r="226" spans="1:39" ht="16" customHeight="1">
      <c r="B226" s="2151" t="s">
        <v>1959</v>
      </c>
      <c r="C226" s="2107" t="s">
        <v>4910</v>
      </c>
      <c r="L226" s="2145" t="str">
        <f t="shared" ref="L226" si="7">IF(OR($O226=$M226,$O226=0,$O226=""),"","* * Check Score! * *")</f>
        <v/>
      </c>
      <c r="M226" s="2128">
        <v>1</v>
      </c>
      <c r="O226" s="2001"/>
      <c r="P226" s="2240"/>
      <c r="AM226" s="2494">
        <v>226</v>
      </c>
    </row>
    <row r="227" spans="1:39" ht="16" customHeight="1">
      <c r="B227" s="2151" t="s">
        <v>1608</v>
      </c>
      <c r="C227" s="2107" t="s">
        <v>4984</v>
      </c>
      <c r="L227" s="2145"/>
      <c r="M227" s="2128">
        <v>1</v>
      </c>
      <c r="O227" s="2002"/>
      <c r="P227" s="2238"/>
      <c r="AM227" s="2493">
        <v>227</v>
      </c>
    </row>
    <row r="228" spans="1:39" ht="16" customHeight="1">
      <c r="A228" s="2131"/>
      <c r="B228" s="2150" t="s">
        <v>1841</v>
      </c>
      <c r="C228" s="2108" t="s">
        <v>4911</v>
      </c>
      <c r="D228" s="2210"/>
      <c r="E228" s="2160"/>
      <c r="F228" s="2160"/>
      <c r="G228" s="2160"/>
      <c r="H228" s="2160"/>
      <c r="M228" s="2110">
        <v>2</v>
      </c>
      <c r="N228" s="2292" t="str">
        <f>IF(OR(O$265&gt;0,O$238&gt;0),"Applicant is ineligible for points in this section!  Points claimed in Stable Communities or Community Designations.","")</f>
        <v/>
      </c>
      <c r="O228" s="2002"/>
      <c r="P228" s="2238"/>
      <c r="Q228" s="2143"/>
      <c r="R228" s="2105"/>
      <c r="S228" s="2105"/>
      <c r="T228" s="2105"/>
      <c r="U228" s="2105"/>
      <c r="AM228" s="2493">
        <v>228</v>
      </c>
    </row>
    <row r="229" spans="1:39" ht="16" customHeight="1">
      <c r="A229" s="2111" t="s">
        <v>697</v>
      </c>
      <c r="B229" s="2119" t="s">
        <v>4858</v>
      </c>
      <c r="D229" s="2108"/>
      <c r="F229" s="2293"/>
      <c r="K229" s="2294"/>
      <c r="L229" s="2210" t="s">
        <v>4899</v>
      </c>
      <c r="M229" s="2111">
        <v>3</v>
      </c>
      <c r="N229" s="2146"/>
      <c r="O229" s="2295">
        <f>MIN($M229,O230+O231)</f>
        <v>0</v>
      </c>
      <c r="P229" s="2295">
        <f>MIN($M229,P230+P231)</f>
        <v>0</v>
      </c>
      <c r="Q229" s="2148"/>
      <c r="R229" s="2149"/>
      <c r="AM229" s="2493">
        <v>229</v>
      </c>
    </row>
    <row r="230" spans="1:39" ht="16" customHeight="1">
      <c r="A230" s="2108"/>
      <c r="B230" s="2291" t="s">
        <v>1839</v>
      </c>
      <c r="C230" s="2162" t="s">
        <v>3701</v>
      </c>
      <c r="D230" s="2160"/>
      <c r="E230" s="2160"/>
      <c r="F230" s="2160"/>
      <c r="G230" s="2160"/>
      <c r="H230" s="2160"/>
      <c r="I230" s="2160"/>
      <c r="J230" s="2160"/>
      <c r="K230" s="2160"/>
      <c r="L230" s="2210" t="s">
        <v>4899</v>
      </c>
      <c r="M230" s="2172">
        <v>2</v>
      </c>
      <c r="N230" s="2172"/>
      <c r="O230" s="2002"/>
      <c r="P230" s="2238"/>
      <c r="AM230" s="2493">
        <v>230</v>
      </c>
    </row>
    <row r="231" spans="1:39" ht="16" customHeight="1">
      <c r="A231" s="2108"/>
      <c r="B231" s="2150" t="s">
        <v>1841</v>
      </c>
      <c r="C231" s="2162" t="s">
        <v>4912</v>
      </c>
      <c r="D231" s="2160"/>
      <c r="E231" s="2160"/>
      <c r="F231" s="2160"/>
      <c r="G231" s="2160"/>
      <c r="H231" s="2160"/>
      <c r="I231" s="2160"/>
      <c r="J231" s="2160"/>
      <c r="K231" s="2160"/>
      <c r="L231" s="2160"/>
      <c r="M231" s="2172">
        <v>1</v>
      </c>
      <c r="N231" s="2172"/>
      <c r="O231" s="2002"/>
      <c r="P231" s="2238"/>
      <c r="AM231" s="2493">
        <v>231</v>
      </c>
    </row>
    <row r="232" spans="1:39" s="2108" customFormat="1" ht="16" customHeight="1">
      <c r="B232" s="2130" t="s">
        <v>4850</v>
      </c>
      <c r="L232" s="2107"/>
      <c r="M232" s="2110"/>
      <c r="N232" s="2128"/>
      <c r="O232" s="2121"/>
      <c r="P232" s="2120"/>
      <c r="AM232" s="2493">
        <v>232</v>
      </c>
    </row>
    <row r="233" spans="1:39" ht="16" customHeight="1">
      <c r="A233" s="3776"/>
      <c r="B233" s="3777"/>
      <c r="C233" s="3777"/>
      <c r="D233" s="3777"/>
      <c r="E233" s="3777"/>
      <c r="F233" s="3777"/>
      <c r="G233" s="3777"/>
      <c r="H233" s="3777"/>
      <c r="I233" s="3777"/>
      <c r="J233" s="3777"/>
      <c r="K233" s="3777"/>
      <c r="L233" s="3777"/>
      <c r="M233" s="3777"/>
      <c r="N233" s="3777"/>
      <c r="O233" s="3777"/>
      <c r="P233" s="3778"/>
      <c r="Q233" s="2191"/>
      <c r="AM233" s="2494">
        <v>233</v>
      </c>
    </row>
    <row r="234" spans="1:39" s="2108" customFormat="1" ht="16" customHeight="1">
      <c r="B234" s="2219" t="s">
        <v>1725</v>
      </c>
      <c r="D234" s="2219"/>
      <c r="E234" s="2158"/>
      <c r="F234" s="2158"/>
      <c r="G234" s="2158"/>
      <c r="H234" s="2158"/>
      <c r="I234" s="2158"/>
      <c r="J234" s="2158"/>
      <c r="K234" s="2158"/>
      <c r="L234" s="2158"/>
      <c r="M234" s="2158"/>
      <c r="N234" s="2221"/>
      <c r="O234" s="2136"/>
      <c r="P234" s="2111"/>
      <c r="Q234" s="2107"/>
      <c r="AM234" s="2494">
        <v>234</v>
      </c>
    </row>
    <row r="235" spans="1:39" ht="16" customHeight="1">
      <c r="A235" s="3756"/>
      <c r="B235" s="3757"/>
      <c r="C235" s="3757"/>
      <c r="D235" s="3757"/>
      <c r="E235" s="3757"/>
      <c r="F235" s="3757"/>
      <c r="G235" s="3757"/>
      <c r="H235" s="3757"/>
      <c r="I235" s="3757"/>
      <c r="J235" s="3757"/>
      <c r="K235" s="3757"/>
      <c r="L235" s="3757"/>
      <c r="M235" s="3757"/>
      <c r="N235" s="3757"/>
      <c r="O235" s="3757"/>
      <c r="P235" s="3758"/>
      <c r="Q235" s="2174"/>
      <c r="AM235" s="2494">
        <v>235</v>
      </c>
    </row>
    <row r="236" spans="1:39" ht="9.75" customHeight="1">
      <c r="AM236" s="2493">
        <v>236</v>
      </c>
    </row>
    <row r="237" spans="1:39" ht="9.75" customHeight="1" thickBot="1">
      <c r="AM237" s="2493">
        <v>237</v>
      </c>
    </row>
    <row r="238" spans="1:39" s="2108" customFormat="1" ht="16" customHeight="1" thickBot="1">
      <c r="A238" s="2131" t="s">
        <v>2075</v>
      </c>
      <c r="B238" s="2132" t="s">
        <v>2491</v>
      </c>
      <c r="D238" s="2132"/>
      <c r="E238" s="2132"/>
      <c r="F238" s="2140" t="s">
        <v>424</v>
      </c>
      <c r="G238" s="2140">
        <f>'Part I-Project Identification'!$P$26</f>
        <v>0</v>
      </c>
      <c r="K238" s="2176" t="str">
        <f>IF(OR($O$206&gt;0,$O$265&gt;0,$O$303&gt;0),"Points already claimed in another restricted section!","")</f>
        <v/>
      </c>
      <c r="L238" s="2145" t="str">
        <f>IF(OR($O238=$M238,$O238=0,$O238=""),"",IF(OR($O238&lt;$J$251,$O238&gt;$J$251),"* * Check Score! * *",""))</f>
        <v/>
      </c>
      <c r="M238" s="2111">
        <v>10</v>
      </c>
      <c r="N238" s="2110"/>
      <c r="O238" s="2142">
        <f>IF($C$16="Stable Communities",J251,0)</f>
        <v>0</v>
      </c>
      <c r="P238" s="2142">
        <f>IF($H$16="Stable Communities",K251,0)</f>
        <v>0</v>
      </c>
      <c r="Q238" s="2143" t="s">
        <v>415</v>
      </c>
      <c r="R238" s="2443" t="s">
        <v>5002</v>
      </c>
      <c r="S238" s="2105"/>
      <c r="T238" s="2105"/>
      <c r="U238" s="2105"/>
      <c r="V238" s="2444" t="str">
        <f>$C$16</f>
        <v>Community Designations</v>
      </c>
      <c r="W238" s="2107"/>
      <c r="X238" s="2107"/>
      <c r="AM238" s="2494">
        <v>238</v>
      </c>
    </row>
    <row r="239" spans="1:39" s="2108" customFormat="1" ht="16" customHeight="1">
      <c r="A239" s="2131"/>
      <c r="B239" s="2132"/>
      <c r="D239" s="2132"/>
      <c r="E239" s="2132"/>
      <c r="F239" s="2140" t="s">
        <v>5044</v>
      </c>
      <c r="L239" s="2176"/>
      <c r="M239" s="2111"/>
      <c r="N239" s="2110"/>
      <c r="O239" s="2121">
        <f>MAX(J251,O238)</f>
        <v>0</v>
      </c>
      <c r="P239" s="2121">
        <f>MAX(K251,P238)</f>
        <v>0</v>
      </c>
      <c r="Q239" s="2143"/>
      <c r="R239" s="2149"/>
      <c r="S239" s="2105"/>
      <c r="T239" s="2105"/>
      <c r="U239" s="2105"/>
      <c r="V239" s="2107"/>
      <c r="W239" s="2107"/>
      <c r="X239" s="2107"/>
      <c r="AM239" s="2493">
        <v>239</v>
      </c>
    </row>
    <row r="240" spans="1:39" s="2108" customFormat="1" ht="16" customHeight="1">
      <c r="A240" s="2131"/>
      <c r="B240" s="2119" t="s">
        <v>4913</v>
      </c>
      <c r="D240" s="2132"/>
      <c r="J240" s="2344" t="s">
        <v>2881</v>
      </c>
      <c r="K240" s="2400" t="s">
        <v>245</v>
      </c>
      <c r="L240" s="2176"/>
      <c r="M240" s="2111"/>
      <c r="N240" s="2110"/>
      <c r="O240" s="2121"/>
      <c r="P240" s="2121"/>
      <c r="Q240" s="2143"/>
      <c r="R240" s="2149"/>
      <c r="S240" s="2105"/>
      <c r="T240" s="2105"/>
      <c r="U240" s="2105"/>
      <c r="V240" s="2107"/>
      <c r="W240" s="2107"/>
      <c r="X240" s="2107"/>
      <c r="AM240" s="2493">
        <v>240</v>
      </c>
    </row>
    <row r="241" spans="1:39" s="2409" customFormat="1" ht="16" hidden="1" customHeight="1">
      <c r="A241" s="2407"/>
      <c r="B241" s="2406"/>
      <c r="C241" s="2408" t="s">
        <v>4918</v>
      </c>
      <c r="D241" s="2408"/>
      <c r="E241" s="2408"/>
      <c r="G241" s="3835" t="s">
        <v>4916</v>
      </c>
      <c r="H241" s="3836"/>
      <c r="I241" s="2410" t="s">
        <v>4920</v>
      </c>
      <c r="J241" s="2411"/>
      <c r="L241" s="2411"/>
      <c r="M241" s="2411"/>
      <c r="N241" s="2412"/>
      <c r="O241" s="2412"/>
      <c r="P241" s="2412"/>
      <c r="Q241" s="2413"/>
      <c r="R241" s="2149"/>
      <c r="S241" s="2414"/>
      <c r="T241" s="2414"/>
      <c r="U241" s="2414"/>
      <c r="V241" s="2415"/>
      <c r="W241" s="2415"/>
      <c r="X241" s="2415"/>
      <c r="AM241" s="2494">
        <v>241</v>
      </c>
    </row>
    <row r="242" spans="1:39" s="2409" customFormat="1" ht="16" hidden="1" customHeight="1">
      <c r="A242" s="2407"/>
      <c r="B242" s="2406"/>
      <c r="C242" s="2408" t="s">
        <v>4919</v>
      </c>
      <c r="D242" s="2408"/>
      <c r="E242" s="2408"/>
      <c r="H242" s="2411"/>
      <c r="I242" s="2411"/>
      <c r="J242" s="2411"/>
      <c r="K242" s="2411"/>
      <c r="L242" s="2411"/>
      <c r="M242" s="2411"/>
      <c r="N242" s="2412"/>
      <c r="O242" s="2412"/>
      <c r="P242" s="2412"/>
      <c r="Q242" s="2413"/>
      <c r="R242" s="2149"/>
      <c r="S242" s="2414"/>
      <c r="T242" s="2414"/>
      <c r="U242" s="2414"/>
      <c r="V242" s="2415"/>
      <c r="W242" s="2415"/>
      <c r="X242" s="2415"/>
      <c r="AM242" s="2494">
        <v>242</v>
      </c>
    </row>
    <row r="243" spans="1:39" s="2409" customFormat="1" ht="6" hidden="1" customHeight="1">
      <c r="A243" s="2407"/>
      <c r="B243" s="2416"/>
      <c r="D243" s="2416"/>
      <c r="E243" s="2416"/>
      <c r="L243" s="2417"/>
      <c r="M243" s="2418"/>
      <c r="N243" s="2419"/>
      <c r="O243" s="2420"/>
      <c r="P243" s="2420"/>
      <c r="Q243" s="2413"/>
      <c r="R243" s="2149"/>
      <c r="S243" s="2414"/>
      <c r="T243" s="2414"/>
      <c r="U243" s="2414"/>
      <c r="V243" s="2415"/>
      <c r="W243" s="2415"/>
      <c r="X243" s="2415"/>
      <c r="AM243" s="2494">
        <v>243</v>
      </c>
    </row>
    <row r="244" spans="1:39" s="2415" customFormat="1" ht="16" hidden="1" customHeight="1">
      <c r="C244" s="2421" t="s">
        <v>4727</v>
      </c>
      <c r="J244" s="3837"/>
      <c r="K244" s="3838"/>
      <c r="L244" s="3838"/>
      <c r="M244" s="3839"/>
      <c r="N244" s="2419"/>
      <c r="O244" s="2419"/>
      <c r="P244" s="2419"/>
      <c r="R244" s="2149"/>
      <c r="S244" s="2414"/>
      <c r="AM244" s="2494">
        <v>244</v>
      </c>
    </row>
    <row r="245" spans="1:39" s="2409" customFormat="1" ht="6" hidden="1" customHeight="1">
      <c r="A245" s="2407"/>
      <c r="B245" s="2416"/>
      <c r="D245" s="2416"/>
      <c r="E245" s="2416"/>
      <c r="L245" s="2417"/>
      <c r="M245" s="2418"/>
      <c r="N245" s="2419"/>
      <c r="O245" s="2420"/>
      <c r="P245" s="2420"/>
      <c r="Q245" s="2413"/>
      <c r="R245" s="2149"/>
      <c r="S245" s="2414"/>
      <c r="T245" s="2414"/>
      <c r="U245" s="2414"/>
      <c r="V245" s="2415"/>
      <c r="W245" s="2415"/>
      <c r="X245" s="2415"/>
      <c r="AM245" s="2493">
        <v>245</v>
      </c>
    </row>
    <row r="246" spans="1:39" s="2409" customFormat="1" ht="16" hidden="1" customHeight="1">
      <c r="A246" s="2407"/>
      <c r="D246" s="2422" t="s">
        <v>4914</v>
      </c>
      <c r="E246" s="2423"/>
      <c r="F246" s="2422"/>
      <c r="G246" s="2422"/>
      <c r="H246" s="2422"/>
      <c r="I246" s="2422"/>
      <c r="J246" s="2424">
        <v>2</v>
      </c>
      <c r="K246" s="2424">
        <v>3</v>
      </c>
      <c r="L246" s="2424">
        <v>4</v>
      </c>
      <c r="M246" s="2418"/>
      <c r="N246" s="2419"/>
      <c r="O246" s="2420"/>
      <c r="P246" s="2420"/>
      <c r="Q246" s="2413"/>
      <c r="R246" s="2149"/>
      <c r="S246" s="2414"/>
      <c r="T246" s="2414"/>
      <c r="U246" s="2414"/>
      <c r="V246" s="2415"/>
      <c r="W246" s="2415"/>
      <c r="X246" s="2415"/>
      <c r="AM246" s="2494">
        <v>246</v>
      </c>
    </row>
    <row r="247" spans="1:39" s="2409" customFormat="1" ht="16" hidden="1" customHeight="1">
      <c r="A247" s="2407"/>
      <c r="D247" s="2425" t="s">
        <v>4947</v>
      </c>
      <c r="E247" s="2416"/>
      <c r="J247" s="2426">
        <v>6</v>
      </c>
      <c r="K247" s="2426">
        <v>8</v>
      </c>
      <c r="L247" s="2426">
        <v>10</v>
      </c>
      <c r="M247" s="2418"/>
      <c r="N247" s="2419"/>
      <c r="O247" s="2420"/>
      <c r="P247" s="2420"/>
      <c r="Q247" s="2413"/>
      <c r="R247" s="2149"/>
      <c r="S247" s="2414"/>
      <c r="T247" s="2414"/>
      <c r="U247" s="2414"/>
      <c r="V247" s="2415"/>
      <c r="W247" s="2415"/>
      <c r="X247" s="2415"/>
      <c r="AM247" s="2493">
        <v>247</v>
      </c>
    </row>
    <row r="248" spans="1:39" s="2409" customFormat="1" ht="16" hidden="1" customHeight="1">
      <c r="A248" s="2407"/>
      <c r="D248" s="2425" t="s">
        <v>4948</v>
      </c>
      <c r="E248" s="2416"/>
      <c r="J248" s="2427">
        <v>5</v>
      </c>
      <c r="K248" s="2427">
        <v>7</v>
      </c>
      <c r="L248" s="2426">
        <v>9</v>
      </c>
      <c r="M248" s="2418"/>
      <c r="N248" s="2419"/>
      <c r="O248" s="2420"/>
      <c r="P248" s="2420"/>
      <c r="Q248" s="2413"/>
      <c r="R248" s="2149"/>
      <c r="S248" s="2414"/>
      <c r="T248" s="2414"/>
      <c r="U248" s="2414"/>
      <c r="V248" s="2415"/>
      <c r="W248" s="2415"/>
      <c r="X248" s="2415"/>
      <c r="AM248" s="2493">
        <v>248</v>
      </c>
    </row>
    <row r="249" spans="1:39" s="2108" customFormat="1" ht="16" customHeight="1">
      <c r="A249" s="2131"/>
      <c r="C249" s="2140" t="s">
        <v>4985</v>
      </c>
      <c r="D249" s="2288"/>
      <c r="E249" s="2132"/>
      <c r="J249" s="2428">
        <f>COUNTIF(E254:F258,"Above 50th")</f>
        <v>0</v>
      </c>
      <c r="K249" s="2428">
        <f>COUNTIF(G254:G258,"Above 50th")</f>
        <v>0</v>
      </c>
      <c r="M249" s="2213"/>
      <c r="N249" s="2110"/>
      <c r="O249" s="2121"/>
      <c r="P249" s="2121"/>
      <c r="Q249" s="2143"/>
      <c r="R249" s="2149"/>
      <c r="S249" s="2105"/>
      <c r="T249" s="2105"/>
      <c r="U249" s="2105"/>
      <c r="V249" s="2107"/>
      <c r="W249" s="2107"/>
      <c r="X249" s="2107"/>
      <c r="AM249" s="2493">
        <v>249</v>
      </c>
    </row>
    <row r="250" spans="1:39" s="2108" customFormat="1" ht="16" customHeight="1">
      <c r="A250" s="2131"/>
      <c r="C250" s="2140" t="s">
        <v>4986</v>
      </c>
      <c r="D250" s="2288"/>
      <c r="E250" s="2132"/>
      <c r="J250" s="2429" t="str">
        <f>IF(OR(I254="Near Census Tract",I255="Near Census Tract",I256="Near Census Tract",I257="Near Census Tract",I258="Near Census Tract"),"Yes","No")</f>
        <v>No</v>
      </c>
      <c r="K250" s="2429" t="str">
        <f>IF(OR(K254="Near Census Tract",K255="Near Census Tract",K256="Near Census Tract",K257="Near Census Tract",K258="Near Census Tract"),"Yes","No")</f>
        <v>No</v>
      </c>
      <c r="M250" s="2213"/>
      <c r="N250" s="2110"/>
      <c r="O250" s="2121"/>
      <c r="P250" s="2121"/>
      <c r="Q250" s="2143"/>
      <c r="R250" s="2149"/>
      <c r="S250" s="2105"/>
      <c r="T250" s="2105"/>
      <c r="U250" s="2105"/>
      <c r="V250" s="2107"/>
      <c r="W250" s="2107"/>
      <c r="X250" s="2107"/>
      <c r="AM250" s="2493">
        <v>250</v>
      </c>
    </row>
    <row r="251" spans="1:39" s="2108" customFormat="1" ht="16" customHeight="1">
      <c r="A251" s="2131"/>
      <c r="C251" s="2140" t="s">
        <v>4987</v>
      </c>
      <c r="D251" s="2288"/>
      <c r="E251" s="2132"/>
      <c r="J251" s="2449">
        <f>IF(AND(J249=2,J250="No"),6,IF(AND(J249=3,J250="No"),8,IF(AND(J249&gt;=4,J250="No"),10,IF(AND(J249=2,J250="Yes"),5,IF(AND(J249=3,J250="Yes"),7,IF(AND(J249&gt;=4,J250="Yes"),9,0))))))</f>
        <v>0</v>
      </c>
      <c r="K251" s="2430">
        <f>IF(AND(K249=2,K250="No"),6,IF(AND(K249=3,K250="No"),8,IF(AND(K249&gt;=4,K250="No"),10,IF(AND(K249=2,K250="Yes"),5,IF(AND(K249=3,K250="Yes"),7,IF(AND(K249&gt;=4,K250="Yes"),9,0))))))</f>
        <v>0</v>
      </c>
      <c r="L251" s="2213"/>
      <c r="M251" s="2213"/>
      <c r="N251" s="2110"/>
      <c r="O251" s="2121"/>
      <c r="P251" s="2121"/>
      <c r="Q251" s="2143"/>
      <c r="R251" s="2149"/>
      <c r="S251" s="2105"/>
      <c r="T251" s="2105"/>
      <c r="U251" s="2105"/>
      <c r="V251" s="2107"/>
      <c r="W251" s="2107"/>
      <c r="X251" s="2107"/>
      <c r="AM251" s="2494">
        <v>251</v>
      </c>
    </row>
    <row r="252" spans="1:39" s="2108" customFormat="1" ht="16" customHeight="1">
      <c r="A252" s="2131"/>
      <c r="B252" s="2119" t="s">
        <v>4917</v>
      </c>
      <c r="D252" s="2132"/>
      <c r="E252" s="2132"/>
      <c r="L252" s="2176"/>
      <c r="M252" s="2111"/>
      <c r="N252" s="2110"/>
      <c r="O252" s="2121"/>
      <c r="P252" s="2121"/>
      <c r="Q252" s="2143"/>
      <c r="R252" s="2149"/>
      <c r="S252" s="2105"/>
      <c r="T252" s="2105"/>
      <c r="U252" s="2105"/>
      <c r="V252" s="2107"/>
      <c r="W252" s="2107"/>
      <c r="X252" s="2107"/>
      <c r="AM252" s="2494">
        <v>252</v>
      </c>
    </row>
    <row r="253" spans="1:39" s="2108" customFormat="1" ht="30.75" customHeight="1">
      <c r="A253" s="2131"/>
      <c r="B253" s="2401" t="s">
        <v>4988</v>
      </c>
      <c r="C253" s="2107"/>
      <c r="D253" s="2402"/>
      <c r="E253" s="3840" t="s">
        <v>4989</v>
      </c>
      <c r="F253" s="3840"/>
      <c r="G253" s="3840"/>
      <c r="H253" s="2403" t="s">
        <v>4728</v>
      </c>
      <c r="I253" s="3841" t="s">
        <v>4990</v>
      </c>
      <c r="J253" s="3841"/>
      <c r="K253" s="3841"/>
      <c r="L253" s="3841"/>
      <c r="M253" s="3841"/>
      <c r="N253" s="3841"/>
      <c r="O253" s="3841"/>
      <c r="P253" s="3841"/>
      <c r="R253" s="2149"/>
      <c r="S253" s="2105"/>
      <c r="T253" s="2105"/>
      <c r="U253" s="2105"/>
      <c r="V253" s="2107"/>
      <c r="W253" s="2107"/>
      <c r="X253" s="2107"/>
      <c r="AM253" s="2494">
        <v>253</v>
      </c>
    </row>
    <row r="254" spans="1:39" s="2108" customFormat="1" ht="16" customHeight="1">
      <c r="A254" s="2131"/>
      <c r="B254" s="2108" t="s">
        <v>4991</v>
      </c>
      <c r="C254" s="2107"/>
      <c r="D254" s="2402"/>
      <c r="E254" s="3842"/>
      <c r="F254" s="3843"/>
      <c r="G254" s="2446"/>
      <c r="H254" s="2404"/>
      <c r="I254" s="3842"/>
      <c r="J254" s="3843"/>
      <c r="K254" s="3844"/>
      <c r="L254" s="3845"/>
      <c r="M254" s="3842" t="s">
        <v>4992</v>
      </c>
      <c r="N254" s="3846"/>
      <c r="O254" s="3846"/>
      <c r="P254" s="3843"/>
      <c r="R254" s="2149"/>
      <c r="S254" s="2105"/>
      <c r="T254" s="2105"/>
      <c r="U254" s="2105"/>
      <c r="V254" s="2107"/>
      <c r="W254" s="2107"/>
      <c r="X254" s="2107"/>
      <c r="AM254" s="2494">
        <v>254</v>
      </c>
    </row>
    <row r="255" spans="1:39" s="2108" customFormat="1" ht="16" customHeight="1">
      <c r="A255" s="2131"/>
      <c r="B255" s="2108" t="s">
        <v>4993</v>
      </c>
      <c r="C255" s="2107"/>
      <c r="D255" s="2402"/>
      <c r="E255" s="3825"/>
      <c r="F255" s="3826"/>
      <c r="G255" s="2447"/>
      <c r="H255" s="2405"/>
      <c r="I255" s="3825"/>
      <c r="J255" s="3826"/>
      <c r="K255" s="3827"/>
      <c r="L255" s="3828"/>
      <c r="M255" s="3825" t="s">
        <v>4992</v>
      </c>
      <c r="N255" s="3829"/>
      <c r="O255" s="3829"/>
      <c r="P255" s="3826"/>
      <c r="R255" s="2149"/>
      <c r="S255" s="2105"/>
      <c r="T255" s="2105"/>
      <c r="U255" s="2105"/>
      <c r="V255" s="2107"/>
      <c r="W255" s="2107"/>
      <c r="X255" s="2107"/>
      <c r="AM255" s="2493">
        <v>255</v>
      </c>
    </row>
    <row r="256" spans="1:39" s="2108" customFormat="1" ht="16" customHeight="1">
      <c r="A256" s="2131"/>
      <c r="B256" s="2108" t="s">
        <v>4994</v>
      </c>
      <c r="C256" s="2107"/>
      <c r="D256" s="2402"/>
      <c r="E256" s="3825"/>
      <c r="F256" s="3826"/>
      <c r="G256" s="2447"/>
      <c r="H256" s="2405"/>
      <c r="I256" s="3825"/>
      <c r="J256" s="3826"/>
      <c r="K256" s="3827"/>
      <c r="L256" s="3828"/>
      <c r="M256" s="3825" t="s">
        <v>4992</v>
      </c>
      <c r="N256" s="3829"/>
      <c r="O256" s="3829"/>
      <c r="P256" s="3826"/>
      <c r="R256" s="2149"/>
      <c r="S256" s="2105"/>
      <c r="T256" s="2105"/>
      <c r="U256" s="2105"/>
      <c r="V256" s="2107"/>
      <c r="W256" s="2107"/>
      <c r="X256" s="2107"/>
      <c r="AM256" s="2494">
        <v>256</v>
      </c>
    </row>
    <row r="257" spans="1:39" s="2108" customFormat="1" ht="16" customHeight="1">
      <c r="A257" s="2131"/>
      <c r="B257" s="2108" t="s">
        <v>4995</v>
      </c>
      <c r="C257" s="2132"/>
      <c r="D257" s="2132"/>
      <c r="E257" s="3825"/>
      <c r="F257" s="3826"/>
      <c r="G257" s="2447"/>
      <c r="H257" s="2450"/>
      <c r="I257" s="3825"/>
      <c r="J257" s="3826"/>
      <c r="K257" s="3827"/>
      <c r="L257" s="3828"/>
      <c r="M257" s="3825" t="s">
        <v>4992</v>
      </c>
      <c r="N257" s="3829"/>
      <c r="O257" s="3829"/>
      <c r="P257" s="3826"/>
      <c r="R257" s="2149"/>
      <c r="S257" s="2105"/>
      <c r="T257" s="2105"/>
      <c r="U257" s="2105"/>
      <c r="V257" s="2107"/>
      <c r="W257" s="2107"/>
      <c r="X257" s="2107"/>
      <c r="AM257" s="2493">
        <v>257</v>
      </c>
    </row>
    <row r="258" spans="1:39" s="2108" customFormat="1" ht="16" customHeight="1">
      <c r="A258" s="2131"/>
      <c r="B258" s="2108" t="s">
        <v>4117</v>
      </c>
      <c r="C258" s="2132"/>
      <c r="D258" s="2132"/>
      <c r="E258" s="3830"/>
      <c r="F258" s="3831"/>
      <c r="G258" s="2448"/>
      <c r="H258" s="2451"/>
      <c r="I258" s="3830"/>
      <c r="J258" s="3831"/>
      <c r="K258" s="3832"/>
      <c r="L258" s="3833"/>
      <c r="M258" s="3830" t="s">
        <v>4992</v>
      </c>
      <c r="N258" s="3834"/>
      <c r="O258" s="3834"/>
      <c r="P258" s="3831"/>
      <c r="R258" s="2149"/>
      <c r="S258" s="2105"/>
      <c r="T258" s="2105"/>
      <c r="U258" s="2105"/>
      <c r="V258" s="2107"/>
      <c r="W258" s="2107"/>
      <c r="X258" s="2107"/>
      <c r="AM258" s="2493">
        <v>258</v>
      </c>
    </row>
    <row r="259" spans="1:39" ht="16" customHeight="1">
      <c r="A259" s="2108"/>
      <c r="B259" s="2130" t="s">
        <v>4850</v>
      </c>
      <c r="C259" s="2108"/>
      <c r="D259" s="2108"/>
      <c r="E259" s="2108"/>
      <c r="F259" s="2108"/>
      <c r="G259" s="2108"/>
      <c r="H259" s="2108"/>
      <c r="I259" s="2108"/>
      <c r="J259" s="2108"/>
      <c r="K259" s="2108"/>
      <c r="M259" s="2110"/>
      <c r="O259" s="2121"/>
      <c r="AM259" s="2493">
        <v>259</v>
      </c>
    </row>
    <row r="260" spans="1:39" ht="16" customHeight="1">
      <c r="A260" s="3776"/>
      <c r="B260" s="3777"/>
      <c r="C260" s="3777"/>
      <c r="D260" s="3777"/>
      <c r="E260" s="3777"/>
      <c r="F260" s="3777"/>
      <c r="G260" s="3777"/>
      <c r="H260" s="3777"/>
      <c r="I260" s="3777"/>
      <c r="J260" s="3777"/>
      <c r="K260" s="3777"/>
      <c r="L260" s="3777"/>
      <c r="M260" s="3777"/>
      <c r="N260" s="3777"/>
      <c r="O260" s="3777"/>
      <c r="P260" s="3778"/>
      <c r="Q260" s="2191"/>
      <c r="AM260" s="2493">
        <v>260</v>
      </c>
    </row>
    <row r="261" spans="1:39" ht="16" customHeight="1">
      <c r="A261" s="2108"/>
      <c r="B261" s="2169" t="s">
        <v>1725</v>
      </c>
      <c r="C261" s="2108"/>
      <c r="D261" s="2169"/>
      <c r="E261" s="2160"/>
      <c r="F261" s="2160"/>
      <c r="G261" s="2160"/>
      <c r="H261" s="2160"/>
      <c r="I261" s="2160"/>
      <c r="J261" s="2160"/>
      <c r="K261" s="2160"/>
      <c r="L261" s="2160"/>
      <c r="M261" s="2160"/>
      <c r="N261" s="2172"/>
      <c r="O261" s="2173"/>
      <c r="P261" s="2111"/>
      <c r="AM261" s="2494">
        <v>261</v>
      </c>
    </row>
    <row r="262" spans="1:39" ht="16" customHeight="1">
      <c r="A262" s="3756"/>
      <c r="B262" s="3757"/>
      <c r="C262" s="3757"/>
      <c r="D262" s="3757"/>
      <c r="E262" s="3757"/>
      <c r="F262" s="3757"/>
      <c r="G262" s="3757"/>
      <c r="H262" s="3757"/>
      <c r="I262" s="3757"/>
      <c r="J262" s="3757"/>
      <c r="K262" s="3757"/>
      <c r="L262" s="3757"/>
      <c r="M262" s="3757"/>
      <c r="N262" s="3757"/>
      <c r="O262" s="3757"/>
      <c r="P262" s="3758"/>
      <c r="Q262" s="2174"/>
      <c r="AM262" s="2494">
        <v>262</v>
      </c>
    </row>
    <row r="263" spans="1:39" ht="9.75" customHeight="1">
      <c r="AM263" s="2494">
        <v>263</v>
      </c>
    </row>
    <row r="264" spans="1:39" ht="9.75" customHeight="1" thickBot="1">
      <c r="AM264" s="2494">
        <v>264</v>
      </c>
    </row>
    <row r="265" spans="1:39" s="2108" customFormat="1" ht="16" customHeight="1" thickBot="1">
      <c r="A265" s="2131" t="s">
        <v>3284</v>
      </c>
      <c r="B265" s="2132" t="s">
        <v>3256</v>
      </c>
      <c r="D265" s="2132"/>
      <c r="E265" s="2132"/>
      <c r="G265" s="2175"/>
      <c r="J265" s="2176" t="str">
        <f>IF(OR($O$206&gt;0,$O$238&gt;0,$O$303&gt;0),"Points already claimed in another restricted section!","")</f>
        <v/>
      </c>
      <c r="L265" s="2314" t="str">
        <f>IF(AND(O265&gt;0,NOT($F$12="New Affordability")), "Not New Affordability!","")</f>
        <v/>
      </c>
      <c r="M265" s="2111">
        <v>10</v>
      </c>
      <c r="N265" s="2110"/>
      <c r="O265" s="2142">
        <f>IF(AND($F$12="New Affordability",$C$16="Community Designations"),IF(OR(O$206&gt;0,O$238&gt;0,O$303&gt;0),0,IF(OR(O266="Yes",O267="Yes"),$M$265,0)),0)</f>
        <v>0</v>
      </c>
      <c r="P265" s="2142">
        <f>IF(AND($H$12="New Affordability",$H$16="Community Designations"),IF(OR(P$206&gt;0,P$238&gt;0,P$303&gt;0),0,IF(OR(P266="Yes",P267="Yes"),$M$265,0)),0)</f>
        <v>0</v>
      </c>
      <c r="Q265" s="2143" t="s">
        <v>415</v>
      </c>
      <c r="R265" s="2443" t="s">
        <v>5002</v>
      </c>
      <c r="S265" s="2105"/>
      <c r="T265" s="2105"/>
      <c r="U265" s="2105"/>
      <c r="V265" s="2444" t="str">
        <f>$C$16</f>
        <v>Community Designations</v>
      </c>
      <c r="AM265" s="2493">
        <v>265</v>
      </c>
    </row>
    <row r="266" spans="1:39" ht="16" customHeight="1">
      <c r="A266" s="2111" t="s">
        <v>1836</v>
      </c>
      <c r="B266" s="2183" t="s">
        <v>3181</v>
      </c>
      <c r="D266" s="2162"/>
      <c r="E266" s="2162"/>
      <c r="F266" s="2162"/>
      <c r="G266" s="2162"/>
      <c r="H266" s="2162"/>
      <c r="L266" s="2162"/>
      <c r="M266" s="3823" t="str">
        <f>IF(AND(O266="Yes",O267="Yes"),"Only one category can be selected!","")</f>
        <v/>
      </c>
      <c r="N266" s="2146"/>
      <c r="O266" s="2004"/>
      <c r="P266" s="2152"/>
      <c r="Q266" s="2017"/>
      <c r="R266" s="2105"/>
      <c r="S266" s="2105"/>
      <c r="T266" s="2105"/>
      <c r="U266" s="2105"/>
      <c r="V266" s="2105"/>
      <c r="AM266" s="2494">
        <v>266</v>
      </c>
    </row>
    <row r="267" spans="1:39" ht="16" customHeight="1">
      <c r="A267" s="2111" t="s">
        <v>1838</v>
      </c>
      <c r="B267" s="2183" t="s">
        <v>3182</v>
      </c>
      <c r="D267" s="2162"/>
      <c r="L267" s="2162"/>
      <c r="M267" s="3823"/>
      <c r="N267" s="2146"/>
      <c r="O267" s="2003"/>
      <c r="P267" s="2155"/>
      <c r="Q267" s="2017"/>
      <c r="R267" s="2105"/>
      <c r="S267" s="2105"/>
      <c r="T267" s="2105"/>
      <c r="U267" s="2105"/>
      <c r="V267" s="2105"/>
      <c r="AM267" s="2493">
        <v>267</v>
      </c>
    </row>
    <row r="268" spans="1:39" ht="16" customHeight="1">
      <c r="A268" s="2108"/>
      <c r="B268" s="2130" t="s">
        <v>4850</v>
      </c>
      <c r="C268" s="2108"/>
      <c r="D268" s="2108"/>
      <c r="E268" s="2108"/>
      <c r="F268" s="2108"/>
      <c r="G268" s="2108"/>
      <c r="H268" s="2108"/>
      <c r="I268" s="2108"/>
      <c r="J268" s="2108"/>
      <c r="K268" s="2108"/>
      <c r="M268" s="2110"/>
      <c r="O268" s="2121"/>
      <c r="R268" s="2105"/>
      <c r="S268" s="2105"/>
      <c r="T268" s="2105"/>
      <c r="U268" s="2105"/>
      <c r="V268" s="2105"/>
      <c r="AM268" s="2493">
        <v>268</v>
      </c>
    </row>
    <row r="269" spans="1:39" ht="16" customHeight="1">
      <c r="A269" s="3776"/>
      <c r="B269" s="3777"/>
      <c r="C269" s="3777"/>
      <c r="D269" s="3777"/>
      <c r="E269" s="3777"/>
      <c r="F269" s="3777"/>
      <c r="G269" s="3777"/>
      <c r="H269" s="3777"/>
      <c r="I269" s="3777"/>
      <c r="J269" s="3777"/>
      <c r="K269" s="3777"/>
      <c r="L269" s="3777"/>
      <c r="M269" s="3777"/>
      <c r="N269" s="3777"/>
      <c r="O269" s="3777"/>
      <c r="P269" s="3778"/>
      <c r="Q269" s="2191"/>
      <c r="AM269" s="2493">
        <v>269</v>
      </c>
    </row>
    <row r="270" spans="1:39" ht="16" customHeight="1">
      <c r="A270" s="2108"/>
      <c r="B270" s="2169" t="s">
        <v>1725</v>
      </c>
      <c r="C270" s="2108"/>
      <c r="D270" s="2169"/>
      <c r="E270" s="2160"/>
      <c r="F270" s="2160"/>
      <c r="G270" s="2160"/>
      <c r="H270" s="2160"/>
      <c r="I270" s="2160"/>
      <c r="J270" s="2160"/>
      <c r="K270" s="2160"/>
      <c r="L270" s="2160"/>
      <c r="M270" s="2160"/>
      <c r="N270" s="2172"/>
      <c r="O270" s="2173"/>
      <c r="P270" s="2111"/>
      <c r="AM270" s="2494">
        <v>270</v>
      </c>
    </row>
    <row r="271" spans="1:39" ht="16" customHeight="1">
      <c r="A271" s="3756"/>
      <c r="B271" s="3757"/>
      <c r="C271" s="3757"/>
      <c r="D271" s="3757"/>
      <c r="E271" s="3757"/>
      <c r="F271" s="3757"/>
      <c r="G271" s="3757"/>
      <c r="H271" s="3757"/>
      <c r="I271" s="3757"/>
      <c r="J271" s="3757"/>
      <c r="K271" s="3757"/>
      <c r="L271" s="3757"/>
      <c r="M271" s="3757"/>
      <c r="N271" s="3757"/>
      <c r="O271" s="3757"/>
      <c r="P271" s="3758"/>
      <c r="Q271" s="2174"/>
      <c r="AM271" s="2494">
        <v>271</v>
      </c>
    </row>
    <row r="272" spans="1:39" ht="9.75" customHeight="1">
      <c r="AM272" s="2494">
        <v>272</v>
      </c>
    </row>
    <row r="273" spans="1:39" ht="9.75" customHeight="1" thickBot="1">
      <c r="AM273" s="2494">
        <v>273</v>
      </c>
    </row>
    <row r="274" spans="1:39" ht="16" customHeight="1" thickBot="1">
      <c r="A274" s="2131" t="s">
        <v>3285</v>
      </c>
      <c r="B274" s="2132" t="s">
        <v>3912</v>
      </c>
      <c r="E274" s="2149" t="str">
        <f>IF(AND(O274&gt;0,NOT($F$12="New Affordability"),NOT($O$12="9%")), "Ineligible, not New Affordability and 9%!","")</f>
        <v/>
      </c>
      <c r="G274" s="2286" t="str">
        <f>$O$12</f>
        <v/>
      </c>
      <c r="H274" s="2209" t="str">
        <f>$J$12</f>
        <v>&lt;&lt; Select Pool &gt;&gt;</v>
      </c>
      <c r="L274" s="2141" t="s">
        <v>4899</v>
      </c>
      <c r="M274" s="2111">
        <v>4</v>
      </c>
      <c r="N274" s="2110"/>
      <c r="O274" s="2142">
        <f>IF(AND($F$12="New Affordability",O275="Yes",$G$274="9%",OR($J$12="Atlanta Metro",$J$12="Other Metro")),4,IF(AND($F$12="New Affordability",O275="Yes"),3,0))</f>
        <v>0</v>
      </c>
      <c r="P274" s="2142">
        <f>IF(AND($H$12="New Affordability",P275="Yes",$G$274="9%",OR($L$12="Atlanta Metro",$L$12="Other Metro")),4,IF(AND($H$12="New Affordability",P275="Yes"),3,0))</f>
        <v>0</v>
      </c>
      <c r="Q274" s="2143" t="s">
        <v>415</v>
      </c>
      <c r="R274" s="2149"/>
      <c r="S274" s="2105"/>
      <c r="T274" s="2105"/>
      <c r="U274" s="2105"/>
      <c r="V274" s="2105"/>
      <c r="W274" s="2315"/>
      <c r="X274" s="2315"/>
      <c r="AM274" s="2493">
        <v>274</v>
      </c>
    </row>
    <row r="275" spans="1:39" ht="16" customHeight="1">
      <c r="A275" s="2316"/>
      <c r="B275" s="2163" t="s">
        <v>4158</v>
      </c>
      <c r="C275" s="2163"/>
      <c r="D275" s="2163"/>
      <c r="E275" s="2163"/>
      <c r="F275" s="2163"/>
      <c r="N275" s="2165"/>
      <c r="O275" s="2018"/>
      <c r="P275" s="2259"/>
      <c r="Q275" s="2317"/>
      <c r="R275" s="2265"/>
      <c r="S275" s="2265"/>
      <c r="T275" s="2265"/>
      <c r="W275" s="2265"/>
      <c r="X275" s="2265"/>
      <c r="Y275" s="2265"/>
      <c r="Z275" s="2265"/>
      <c r="AA275" s="2265"/>
      <c r="AM275" s="2494">
        <v>275</v>
      </c>
    </row>
    <row r="276" spans="1:39" ht="16" customHeight="1">
      <c r="A276" s="2316"/>
      <c r="B276" s="2163"/>
      <c r="C276" s="2163"/>
      <c r="D276" s="2163"/>
      <c r="E276" s="2163"/>
      <c r="F276" s="2163"/>
      <c r="G276" s="2128" t="s">
        <v>4708</v>
      </c>
      <c r="H276" s="3783" t="s">
        <v>573</v>
      </c>
      <c r="I276" s="3783"/>
      <c r="J276" s="3783"/>
      <c r="K276" s="3824" t="s">
        <v>4746</v>
      </c>
      <c r="L276" s="3824"/>
      <c r="M276" s="3824"/>
      <c r="N276" s="2318"/>
      <c r="O276" s="2318"/>
      <c r="P276" s="2318"/>
      <c r="Q276" s="2265"/>
      <c r="R276" s="2265"/>
      <c r="S276" s="2265"/>
      <c r="T276" s="2265"/>
      <c r="W276" s="2265"/>
      <c r="X276" s="2265"/>
      <c r="Y276" s="2265"/>
      <c r="Z276" s="2265"/>
      <c r="AA276" s="2265"/>
      <c r="AM276" s="2493">
        <v>276</v>
      </c>
    </row>
    <row r="277" spans="1:39" ht="16" customHeight="1">
      <c r="A277" s="2316"/>
      <c r="B277" s="2316"/>
      <c r="D277" s="2254" t="s">
        <v>4159</v>
      </c>
      <c r="G277" s="2019"/>
      <c r="H277" s="3815"/>
      <c r="I277" s="3816"/>
      <c r="J277" s="3817"/>
      <c r="K277" s="3818"/>
      <c r="L277" s="3818"/>
      <c r="M277" s="3818"/>
      <c r="N277" s="2165"/>
      <c r="O277" s="2258"/>
      <c r="P277" s="2258"/>
      <c r="Q277" s="2265"/>
      <c r="R277" s="2265"/>
      <c r="S277" s="2265"/>
      <c r="T277" s="2265"/>
      <c r="W277" s="2265"/>
      <c r="X277" s="2265"/>
      <c r="Y277" s="2265"/>
      <c r="Z277" s="2265"/>
      <c r="AA277" s="2265"/>
      <c r="AM277" s="2493">
        <v>277</v>
      </c>
    </row>
    <row r="278" spans="1:39" s="2108" customFormat="1" ht="16" customHeight="1">
      <c r="A278" s="2195"/>
      <c r="B278" s="2316"/>
      <c r="D278" s="2140" t="s">
        <v>4160</v>
      </c>
      <c r="G278" s="2020"/>
      <c r="H278" s="3819"/>
      <c r="I278" s="3820"/>
      <c r="J278" s="3821"/>
      <c r="K278" s="3822"/>
      <c r="L278" s="3822"/>
      <c r="M278" s="3822"/>
      <c r="AM278" s="2493">
        <v>278</v>
      </c>
    </row>
    <row r="279" spans="1:39" ht="16" hidden="1" customHeight="1">
      <c r="A279" s="2108"/>
      <c r="D279" s="2108"/>
      <c r="E279" s="2108"/>
      <c r="F279" s="2111"/>
      <c r="G279" s="2111"/>
      <c r="H279" s="2111"/>
      <c r="I279" s="2111"/>
      <c r="J279" s="2140"/>
      <c r="K279" s="2140"/>
      <c r="L279" s="2140"/>
      <c r="M279" s="2110"/>
      <c r="N279" s="2111"/>
      <c r="P279" s="2121"/>
      <c r="AM279" s="2493">
        <v>279</v>
      </c>
    </row>
    <row r="280" spans="1:39" ht="16" customHeight="1">
      <c r="A280" s="2108"/>
      <c r="B280" s="2130" t="s">
        <v>4850</v>
      </c>
      <c r="C280" s="2108"/>
      <c r="D280" s="2108"/>
      <c r="E280" s="2108"/>
      <c r="F280" s="2108"/>
      <c r="G280" s="2108"/>
      <c r="H280" s="2108"/>
      <c r="I280" s="2108"/>
      <c r="J280" s="2108"/>
      <c r="K280" s="2108"/>
      <c r="M280" s="2110"/>
      <c r="O280" s="2121"/>
      <c r="AM280" s="2493">
        <v>280</v>
      </c>
    </row>
    <row r="281" spans="1:39" ht="16" customHeight="1">
      <c r="A281" s="3776"/>
      <c r="B281" s="3777"/>
      <c r="C281" s="3777"/>
      <c r="D281" s="3777"/>
      <c r="E281" s="3777"/>
      <c r="F281" s="3777"/>
      <c r="G281" s="3777"/>
      <c r="H281" s="3777"/>
      <c r="I281" s="3777"/>
      <c r="J281" s="3777"/>
      <c r="K281" s="3777"/>
      <c r="L281" s="3777"/>
      <c r="M281" s="3777"/>
      <c r="N281" s="3777"/>
      <c r="O281" s="3777"/>
      <c r="P281" s="3778"/>
      <c r="Q281" s="2191"/>
      <c r="AM281" s="2493">
        <v>281</v>
      </c>
    </row>
    <row r="282" spans="1:39" ht="16" customHeight="1">
      <c r="B282" s="2169" t="s">
        <v>1725</v>
      </c>
      <c r="C282" s="2170"/>
      <c r="D282" s="2169"/>
      <c r="E282" s="2171"/>
      <c r="F282" s="2160"/>
      <c r="G282" s="2160"/>
      <c r="H282" s="2160"/>
      <c r="I282" s="2160"/>
      <c r="J282" s="2160"/>
      <c r="K282" s="2160"/>
      <c r="L282" s="2160"/>
      <c r="M282" s="2160"/>
      <c r="N282" s="2172"/>
      <c r="O282" s="2173"/>
      <c r="P282" s="2111"/>
      <c r="AM282" s="2494">
        <v>282</v>
      </c>
    </row>
    <row r="283" spans="1:39" ht="16" customHeight="1">
      <c r="A283" s="3756"/>
      <c r="B283" s="3757"/>
      <c r="C283" s="3757"/>
      <c r="D283" s="3757"/>
      <c r="E283" s="3757"/>
      <c r="F283" s="3757"/>
      <c r="G283" s="3757"/>
      <c r="H283" s="3757"/>
      <c r="I283" s="3757"/>
      <c r="J283" s="3757"/>
      <c r="K283" s="3757"/>
      <c r="L283" s="3757"/>
      <c r="M283" s="3757"/>
      <c r="N283" s="3757"/>
      <c r="O283" s="3757"/>
      <c r="P283" s="3758"/>
      <c r="Q283" s="2174"/>
      <c r="AM283" s="2494">
        <v>283</v>
      </c>
    </row>
    <row r="284" spans="1:39" ht="9.75" customHeight="1">
      <c r="AM284" s="2494">
        <v>284</v>
      </c>
    </row>
    <row r="285" spans="1:39" ht="9.75" customHeight="1" thickBot="1">
      <c r="AM285" s="2493">
        <v>285</v>
      </c>
    </row>
    <row r="286" spans="1:39" ht="16" customHeight="1" thickBot="1">
      <c r="A286" s="2131" t="s">
        <v>3283</v>
      </c>
      <c r="B286" s="2132" t="s">
        <v>3840</v>
      </c>
      <c r="G286" s="2144"/>
      <c r="I286" s="2176" t="str">
        <f>IF($O$274&gt;0,"Points already claimed in another restricted section!","")</f>
        <v/>
      </c>
      <c r="K286" s="2314" t="str">
        <f>IF(AND(SUM(O288,O291,O294)&gt;0,NOT($F$12="New Affordability"),NOT($O$12="9%")), "Not 9% New Affordability!","")</f>
        <v/>
      </c>
      <c r="L286" s="2141" t="s">
        <v>4899</v>
      </c>
      <c r="M286" s="2111">
        <v>5</v>
      </c>
      <c r="N286" s="2110"/>
      <c r="O286" s="2142">
        <f>IF(AND(O274=0,$F$12="New Affordability",$O$12="9%"),MIN($M286,MAX(O288,O291,O294)),0)</f>
        <v>0</v>
      </c>
      <c r="P286" s="2142">
        <f>IF(AND(P274=0,$H$12="New Affordability",$O$12="9%"),MIN($M286,MAX(P288,P291,P294)),0)</f>
        <v>0</v>
      </c>
      <c r="Q286" s="2143" t="s">
        <v>415</v>
      </c>
      <c r="R286" s="2149"/>
      <c r="S286" s="2105"/>
      <c r="T286" s="2105"/>
      <c r="U286" s="2105"/>
      <c r="V286" s="2105"/>
      <c r="W286" s="2315"/>
      <c r="X286" s="2315"/>
      <c r="AM286" s="2493">
        <v>286</v>
      </c>
    </row>
    <row r="287" spans="1:39" ht="15" customHeight="1">
      <c r="B287" s="2107" t="s">
        <v>4921</v>
      </c>
      <c r="AM287" s="2494">
        <v>287</v>
      </c>
    </row>
    <row r="288" spans="1:39" s="2108" customFormat="1" ht="16" customHeight="1">
      <c r="A288" s="2111" t="s">
        <v>1836</v>
      </c>
      <c r="B288" s="2119" t="s">
        <v>4922</v>
      </c>
      <c r="L288" s="2210" t="s">
        <v>4899</v>
      </c>
      <c r="M288" s="2110">
        <v>5</v>
      </c>
      <c r="N288" s="2146"/>
      <c r="O288" s="2009"/>
      <c r="P288" s="2278"/>
      <c r="Q288" s="2148" t="str">
        <f>IF(OR($O288&lt;=$M288,$O288=""),"","*CHECK!*")</f>
        <v/>
      </c>
      <c r="R288" s="2149"/>
      <c r="S288" s="2105"/>
      <c r="T288" s="2105"/>
      <c r="U288" s="2105"/>
      <c r="V288" s="2105"/>
      <c r="AM288" s="2493">
        <v>288</v>
      </c>
    </row>
    <row r="289" spans="1:39" ht="15.75" customHeight="1">
      <c r="C289" s="2107" t="s">
        <v>4996</v>
      </c>
      <c r="O289" s="2013"/>
      <c r="P289" s="2237"/>
      <c r="AM289" s="2493">
        <v>289</v>
      </c>
    </row>
    <row r="290" spans="1:39" ht="15.75" customHeight="1">
      <c r="C290" s="2107" t="s">
        <v>4997</v>
      </c>
      <c r="O290" s="2016"/>
      <c r="P290" s="2238"/>
      <c r="AM290" s="2494">
        <v>290</v>
      </c>
    </row>
    <row r="291" spans="1:39" s="2108" customFormat="1" ht="16" customHeight="1">
      <c r="A291" s="2111" t="s">
        <v>1838</v>
      </c>
      <c r="B291" s="2119" t="s">
        <v>4923</v>
      </c>
      <c r="L291" s="2210" t="s">
        <v>4899</v>
      </c>
      <c r="M291" s="2110">
        <v>3</v>
      </c>
      <c r="N291" s="2146"/>
      <c r="O291" s="2011"/>
      <c r="P291" s="2228"/>
      <c r="Q291" s="2148" t="str">
        <f>IF(OR($O291&lt;=$M291,$O291=""),"","*CHECK!*")</f>
        <v/>
      </c>
      <c r="R291" s="2149"/>
      <c r="AM291" s="2494">
        <v>291</v>
      </c>
    </row>
    <row r="292" spans="1:39" ht="15.75" customHeight="1">
      <c r="C292" s="2107" t="s">
        <v>4925</v>
      </c>
      <c r="O292" s="2013"/>
      <c r="P292" s="2226"/>
      <c r="AM292" s="2494">
        <v>292</v>
      </c>
    </row>
    <row r="293" spans="1:39" ht="15" customHeight="1">
      <c r="C293" s="2107" t="s">
        <v>5059</v>
      </c>
      <c r="L293" s="2500">
        <f>O179</f>
        <v>0</v>
      </c>
      <c r="O293" s="2016"/>
      <c r="P293" s="2240"/>
      <c r="AM293" s="2494">
        <v>293</v>
      </c>
    </row>
    <row r="294" spans="1:39" ht="16" customHeight="1">
      <c r="A294" s="2111" t="s">
        <v>697</v>
      </c>
      <c r="B294" s="2119" t="s">
        <v>4924</v>
      </c>
      <c r="G294" s="2140"/>
      <c r="I294" s="2144"/>
      <c r="L294" s="2210" t="s">
        <v>4899</v>
      </c>
      <c r="M294" s="2110">
        <v>3</v>
      </c>
      <c r="N294" s="2146"/>
      <c r="O294" s="2013"/>
      <c r="P294" s="2237"/>
      <c r="Q294" s="2148" t="str">
        <f>IF(OR($O294&lt;=$M294,$O294=""),"","*CHECK!*")</f>
        <v/>
      </c>
      <c r="R294" s="2149"/>
      <c r="AM294" s="2493">
        <v>294</v>
      </c>
    </row>
    <row r="295" spans="1:39" ht="15.75" customHeight="1">
      <c r="C295" s="2107" t="s">
        <v>4998</v>
      </c>
      <c r="O295" s="2099"/>
      <c r="P295" s="2100"/>
      <c r="AM295" s="2494">
        <v>295</v>
      </c>
    </row>
    <row r="296" spans="1:39" ht="9.75" customHeight="1">
      <c r="AM296" s="2493">
        <v>296</v>
      </c>
    </row>
    <row r="297" spans="1:39" ht="16" customHeight="1">
      <c r="A297" s="2108"/>
      <c r="B297" s="2130" t="s">
        <v>4850</v>
      </c>
      <c r="C297" s="2108"/>
      <c r="D297" s="2108"/>
      <c r="E297" s="2108"/>
      <c r="F297" s="2108"/>
      <c r="G297" s="2108"/>
      <c r="H297" s="2108"/>
      <c r="I297" s="2108"/>
      <c r="J297" s="2108"/>
      <c r="K297" s="2108"/>
      <c r="M297" s="2110"/>
      <c r="O297" s="2121"/>
      <c r="AM297" s="2493">
        <v>297</v>
      </c>
    </row>
    <row r="298" spans="1:39" ht="16" customHeight="1">
      <c r="A298" s="3776"/>
      <c r="B298" s="3777"/>
      <c r="C298" s="3777"/>
      <c r="D298" s="3777"/>
      <c r="E298" s="3777"/>
      <c r="F298" s="3777"/>
      <c r="G298" s="3777"/>
      <c r="H298" s="3777"/>
      <c r="I298" s="3777"/>
      <c r="J298" s="3777"/>
      <c r="K298" s="3777"/>
      <c r="L298" s="3777"/>
      <c r="M298" s="3777"/>
      <c r="N298" s="3777"/>
      <c r="O298" s="3777"/>
      <c r="P298" s="3778"/>
      <c r="Q298" s="2191"/>
      <c r="AM298" s="2493">
        <v>298</v>
      </c>
    </row>
    <row r="299" spans="1:39" ht="16" customHeight="1">
      <c r="B299" s="2169" t="s">
        <v>1725</v>
      </c>
      <c r="C299" s="2170"/>
      <c r="D299" s="2169"/>
      <c r="E299" s="2171"/>
      <c r="F299" s="2160"/>
      <c r="G299" s="2160"/>
      <c r="H299" s="2160"/>
      <c r="I299" s="2160"/>
      <c r="J299" s="2160"/>
      <c r="K299" s="2160"/>
      <c r="L299" s="2160"/>
      <c r="M299" s="2160"/>
      <c r="N299" s="2172"/>
      <c r="O299" s="2173"/>
      <c r="P299" s="2111"/>
      <c r="AM299" s="2493">
        <v>299</v>
      </c>
    </row>
    <row r="300" spans="1:39" ht="16" customHeight="1">
      <c r="A300" s="3756"/>
      <c r="B300" s="3757"/>
      <c r="C300" s="3757"/>
      <c r="D300" s="3757"/>
      <c r="E300" s="3757"/>
      <c r="F300" s="3757"/>
      <c r="G300" s="3757"/>
      <c r="H300" s="3757"/>
      <c r="I300" s="3757"/>
      <c r="J300" s="3757"/>
      <c r="K300" s="3757"/>
      <c r="L300" s="3757"/>
      <c r="M300" s="3757"/>
      <c r="N300" s="3757"/>
      <c r="O300" s="3757"/>
      <c r="P300" s="3758"/>
      <c r="Q300" s="2174"/>
      <c r="AM300" s="2494">
        <v>300</v>
      </c>
    </row>
    <row r="301" spans="1:39" ht="9.75" customHeight="1">
      <c r="AM301" s="2494">
        <v>301</v>
      </c>
    </row>
    <row r="302" spans="1:39" ht="9.75" customHeight="1" thickBot="1">
      <c r="AM302" s="2494">
        <v>302</v>
      </c>
    </row>
    <row r="303" spans="1:39" s="2108" customFormat="1" ht="16" customHeight="1" thickBot="1">
      <c r="A303" s="2131" t="s">
        <v>3286</v>
      </c>
      <c r="B303" s="2132" t="s">
        <v>4853</v>
      </c>
      <c r="D303" s="2132"/>
      <c r="E303" s="2132"/>
      <c r="G303" s="2175"/>
      <c r="J303" s="2176" t="str">
        <f>IF(OR($O$206&gt;0,$O$238&gt;0,$O$265&gt;0),"Points already claimed in another restricted section!","")</f>
        <v/>
      </c>
      <c r="K303" s="2176" t="str">
        <f>IF(AND(O303&gt;0,NOT($F$12="New Affordability")), "Not New Affordability!","")</f>
        <v/>
      </c>
      <c r="L303" s="2141" t="s">
        <v>4899</v>
      </c>
      <c r="M303" s="2111">
        <v>10</v>
      </c>
      <c r="N303" s="2110"/>
      <c r="O303" s="2142">
        <f>IF(OR($J$12="Atlanta Metro",O$206&gt;0,O$238&gt;0,O$265&gt;0),0,IF(AND($F$12="New Affordability",$O$12="9%",O309+O310&lt;=$M303),O309+O310,0))</f>
        <v>0</v>
      </c>
      <c r="P303" s="2142">
        <f>IF(AND($H$12="New Affordability",NOT($L$12="Atlanta Metro"),$O$12="9%",P309+P310&lt;=$M303),P309+P310,0)</f>
        <v>0</v>
      </c>
      <c r="Q303" s="2143" t="s">
        <v>415</v>
      </c>
      <c r="R303" s="2443" t="s">
        <v>5002</v>
      </c>
      <c r="S303" s="2105"/>
      <c r="T303" s="2105"/>
      <c r="U303" s="2105"/>
      <c r="V303" s="2444" t="str">
        <f>$C$16</f>
        <v>Community Designations</v>
      </c>
      <c r="AM303" s="2494">
        <v>303</v>
      </c>
    </row>
    <row r="304" spans="1:39" s="2108" customFormat="1" ht="3.75" customHeight="1">
      <c r="A304" s="2131"/>
      <c r="B304" s="2132"/>
      <c r="D304" s="2132"/>
      <c r="E304" s="2132"/>
      <c r="L304" s="2176"/>
      <c r="M304" s="2111"/>
      <c r="N304" s="2110"/>
      <c r="O304" s="2121"/>
      <c r="P304" s="2121"/>
      <c r="Q304" s="2143"/>
      <c r="R304" s="2149"/>
      <c r="S304" s="2105"/>
      <c r="T304" s="2105"/>
      <c r="U304" s="2105"/>
      <c r="V304" s="2107"/>
      <c r="W304" s="2107"/>
      <c r="X304" s="2107"/>
      <c r="AM304" s="2493">
        <v>304</v>
      </c>
    </row>
    <row r="305" spans="1:48" s="2108" customFormat="1" ht="16" customHeight="1">
      <c r="A305" s="2131"/>
      <c r="C305" s="2297" t="s">
        <v>4915</v>
      </c>
      <c r="D305" s="2298"/>
      <c r="E305" s="2298"/>
      <c r="F305" s="2299"/>
      <c r="G305" s="2299"/>
      <c r="H305" s="2299"/>
      <c r="I305" s="2299"/>
      <c r="J305" s="2300" t="s">
        <v>2881</v>
      </c>
      <c r="K305" s="2301" t="s">
        <v>245</v>
      </c>
      <c r="L305" s="2302"/>
      <c r="M305" s="2111"/>
      <c r="N305" s="2110"/>
      <c r="O305" s="2121"/>
      <c r="P305" s="2121"/>
      <c r="Q305" s="2143"/>
      <c r="R305" s="2149"/>
      <c r="S305" s="2105"/>
      <c r="T305" s="2105"/>
      <c r="U305" s="2105"/>
      <c r="V305" s="2107"/>
      <c r="W305" s="2107"/>
      <c r="X305" s="2107"/>
      <c r="AM305" s="2494">
        <v>305</v>
      </c>
    </row>
    <row r="306" spans="1:48" s="2108" customFormat="1" ht="16" customHeight="1">
      <c r="A306" s="2131"/>
      <c r="B306" s="2132"/>
      <c r="C306" s="2303"/>
      <c r="D306" s="2108" t="s">
        <v>3309</v>
      </c>
      <c r="E306" s="2132"/>
      <c r="J306" s="2304">
        <f>MAX(O206,O212+O222+O229)</f>
        <v>0</v>
      </c>
      <c r="K306" s="2305">
        <f>MAX(P206,P212+P222+P229)</f>
        <v>0</v>
      </c>
      <c r="L306" s="2306"/>
      <c r="M306" s="3812" t="str">
        <f>$J$12</f>
        <v>&lt;&lt; Select Pool &gt;&gt;</v>
      </c>
      <c r="N306" s="3813"/>
      <c r="O306" s="3813"/>
      <c r="P306" s="3813"/>
      <c r="Q306" s="2143"/>
      <c r="R306" s="2149"/>
      <c r="S306" s="2105"/>
      <c r="T306" s="2105"/>
      <c r="U306" s="2105"/>
      <c r="V306" s="2107"/>
      <c r="W306" s="2107"/>
      <c r="X306" s="2107"/>
      <c r="AM306" s="2493">
        <v>306</v>
      </c>
    </row>
    <row r="307" spans="1:48" s="2108" customFormat="1" ht="16" customHeight="1">
      <c r="A307" s="2131"/>
      <c r="B307" s="2132"/>
      <c r="C307" s="2303"/>
      <c r="D307" s="2108" t="s">
        <v>3914</v>
      </c>
      <c r="E307" s="2132"/>
      <c r="J307" s="2307">
        <f>MAX($J$251,$O$238)</f>
        <v>0</v>
      </c>
      <c r="K307" s="2308">
        <f>MAX($K$251,$P$238)</f>
        <v>0</v>
      </c>
      <c r="L307" s="2306"/>
      <c r="M307" s="2111"/>
      <c r="N307" s="2110"/>
      <c r="O307" s="2121"/>
      <c r="P307" s="2121"/>
      <c r="Q307" s="2143"/>
      <c r="R307" s="2149"/>
      <c r="S307" s="2105"/>
      <c r="T307" s="2105"/>
      <c r="U307" s="2105"/>
      <c r="V307" s="2107"/>
      <c r="W307" s="2107"/>
      <c r="X307" s="2107"/>
      <c r="AM307" s="2493">
        <v>307</v>
      </c>
    </row>
    <row r="308" spans="1:48" s="2108" customFormat="1" ht="3.75" customHeight="1">
      <c r="A308" s="2131"/>
      <c r="B308" s="2132"/>
      <c r="C308" s="2309"/>
      <c r="D308" s="2310"/>
      <c r="E308" s="2310"/>
      <c r="F308" s="2311"/>
      <c r="G308" s="2311"/>
      <c r="H308" s="2311"/>
      <c r="I308" s="2311"/>
      <c r="J308" s="2311"/>
      <c r="K308" s="2311"/>
      <c r="L308" s="2312"/>
      <c r="M308" s="2111"/>
      <c r="N308" s="2110"/>
      <c r="O308" s="2121"/>
      <c r="P308" s="2121"/>
      <c r="Q308" s="2143"/>
      <c r="R308" s="2149"/>
      <c r="S308" s="2105"/>
      <c r="T308" s="2105"/>
      <c r="U308" s="2105"/>
      <c r="V308" s="2107"/>
      <c r="W308" s="2107"/>
      <c r="X308" s="2107"/>
      <c r="AM308" s="2493">
        <v>308</v>
      </c>
    </row>
    <row r="309" spans="1:48" ht="16" customHeight="1">
      <c r="A309" s="2111" t="s">
        <v>1836</v>
      </c>
      <c r="B309" s="2183" t="s">
        <v>4926</v>
      </c>
      <c r="D309" s="2162"/>
      <c r="E309" s="2162"/>
      <c r="F309" s="2162"/>
      <c r="G309" s="2162"/>
      <c r="H309" s="2162"/>
      <c r="L309" s="2145" t="str">
        <f t="shared" ref="L309:L310" si="8">IF(OR($O309=$M309,$O309=0,$O309=""),"","* * Check Score! * *")</f>
        <v/>
      </c>
      <c r="M309" s="2136">
        <v>5</v>
      </c>
      <c r="N309" s="2146"/>
      <c r="O309" s="2009"/>
      <c r="P309" s="2278"/>
      <c r="Q309" s="2017"/>
      <c r="R309" s="2105"/>
      <c r="S309" s="2105"/>
      <c r="T309" s="2105"/>
      <c r="U309" s="2105"/>
      <c r="V309" s="2105"/>
      <c r="AM309" s="2493">
        <v>309</v>
      </c>
    </row>
    <row r="310" spans="1:48" ht="16" customHeight="1">
      <c r="A310" s="2111" t="s">
        <v>1838</v>
      </c>
      <c r="B310" s="2183" t="s">
        <v>4927</v>
      </c>
      <c r="D310" s="2162"/>
      <c r="J310" s="2319" t="str">
        <f>IF(AND(O309=$M309,OR((O207+O222+O229)&gt;=5,J251&gt;=5)),"Eligible","Currently not eligible")</f>
        <v>Currently not eligible</v>
      </c>
      <c r="L310" s="2145" t="str">
        <f t="shared" si="8"/>
        <v/>
      </c>
      <c r="M310" s="2136">
        <v>5</v>
      </c>
      <c r="N310" s="2146"/>
      <c r="O310" s="2156">
        <f>IF(AND($C$16="Housing Needs Characteristics + Stable Communities Characteristics",O309=$M309,J251&gt;=5),MIN(J251,$M$310),IF(AND($C$16="Housing Needs Characteristics + Revitalization Characteristics",O309=$M309,O207+O222+O23&gt;=5),MIN(O207+O222+O229,$M$310),0))</f>
        <v>0</v>
      </c>
      <c r="P310" s="2156">
        <f>IF(AND($H$16="Housing Needs Characteristics + Stable Communities Characteristics",P309=$M309,K251&gt;=5),MIN(K251,$M$310),IF(AND($H$16="Housing Needs Characteristics + Revitalization Characteristics",P309=$M309,P207+P222+P23&gt;=5),MIN(P207+P222+P229,$M$310),0))</f>
        <v>0</v>
      </c>
      <c r="Q310" s="2017"/>
      <c r="R310" s="2105"/>
      <c r="S310" s="2105"/>
      <c r="T310" s="2105"/>
      <c r="U310" s="2105"/>
      <c r="V310" s="2105"/>
      <c r="AM310" s="2494">
        <v>310</v>
      </c>
    </row>
    <row r="311" spans="1:48" ht="16" customHeight="1">
      <c r="A311" s="2108"/>
      <c r="B311" s="2130" t="s">
        <v>4850</v>
      </c>
      <c r="C311" s="2108"/>
      <c r="D311" s="2108"/>
      <c r="E311" s="2108"/>
      <c r="F311" s="2108"/>
      <c r="G311" s="2108"/>
      <c r="H311" s="2108"/>
      <c r="I311" s="2108"/>
      <c r="J311" s="2108"/>
      <c r="K311" s="2108"/>
      <c r="M311" s="2110"/>
      <c r="O311" s="2121"/>
      <c r="R311" s="2105"/>
      <c r="S311" s="2105"/>
      <c r="T311" s="2105"/>
      <c r="U311" s="2105"/>
      <c r="V311" s="2105"/>
      <c r="AM311" s="2494">
        <v>311</v>
      </c>
    </row>
    <row r="312" spans="1:48" ht="16" customHeight="1">
      <c r="A312" s="3776"/>
      <c r="B312" s="3777"/>
      <c r="C312" s="3777"/>
      <c r="D312" s="3777"/>
      <c r="E312" s="3777"/>
      <c r="F312" s="3777"/>
      <c r="G312" s="3777"/>
      <c r="H312" s="3777"/>
      <c r="I312" s="3777"/>
      <c r="J312" s="3777"/>
      <c r="K312" s="3777"/>
      <c r="L312" s="3777"/>
      <c r="M312" s="3777"/>
      <c r="N312" s="3777"/>
      <c r="O312" s="3777"/>
      <c r="P312" s="3778"/>
      <c r="Q312" s="2191"/>
      <c r="AM312" s="2494">
        <v>312</v>
      </c>
    </row>
    <row r="313" spans="1:48" ht="16" customHeight="1">
      <c r="A313" s="2108"/>
      <c r="B313" s="2169" t="s">
        <v>1725</v>
      </c>
      <c r="C313" s="2108"/>
      <c r="D313" s="2169"/>
      <c r="E313" s="2160"/>
      <c r="F313" s="2160"/>
      <c r="G313" s="2160"/>
      <c r="H313" s="2160"/>
      <c r="I313" s="2160"/>
      <c r="J313" s="2160"/>
      <c r="K313" s="2160"/>
      <c r="L313" s="2160"/>
      <c r="M313" s="2160"/>
      <c r="N313" s="2172"/>
      <c r="O313" s="2173"/>
      <c r="P313" s="2111"/>
      <c r="AM313" s="2494">
        <v>313</v>
      </c>
    </row>
    <row r="314" spans="1:48" ht="16" customHeight="1">
      <c r="A314" s="3756"/>
      <c r="B314" s="3757"/>
      <c r="C314" s="3757"/>
      <c r="D314" s="3757"/>
      <c r="E314" s="3757"/>
      <c r="F314" s="3757"/>
      <c r="G314" s="3757"/>
      <c r="H314" s="3757"/>
      <c r="I314" s="3757"/>
      <c r="J314" s="3757"/>
      <c r="K314" s="3757"/>
      <c r="L314" s="3757"/>
      <c r="M314" s="3757"/>
      <c r="N314" s="3757"/>
      <c r="O314" s="3757"/>
      <c r="P314" s="3758"/>
      <c r="Q314" s="2174"/>
      <c r="AM314" s="2493">
        <v>314</v>
      </c>
    </row>
    <row r="315" spans="1:48" ht="9.75" customHeight="1">
      <c r="AM315" s="2493">
        <v>315</v>
      </c>
    </row>
    <row r="316" spans="1:48" ht="9.75" customHeight="1" thickBot="1">
      <c r="AM316" s="2494">
        <v>316</v>
      </c>
      <c r="AO316" s="2303"/>
    </row>
    <row r="317" spans="1:48" s="2108" customFormat="1" ht="16" customHeight="1" thickBot="1">
      <c r="A317" s="2131" t="s">
        <v>3287</v>
      </c>
      <c r="B317" s="2132" t="s">
        <v>4854</v>
      </c>
      <c r="D317" s="2132"/>
      <c r="E317" s="2132"/>
      <c r="G317" s="2108" t="str">
        <f>$J$12</f>
        <v>&lt;&lt; Select Pool &gt;&gt;</v>
      </c>
      <c r="J317" s="2145" t="str">
        <f t="shared" ref="J317" si="9">IF(OR($O317=$M317,$O317=0,$O317=""),"","* * Check Score! * *")</f>
        <v/>
      </c>
      <c r="L317" s="2176" t="str">
        <f>IF(AND(O317&gt;0,$J$12="Atlanta Metro"), "Atlanta Metro is ineligible to score in this section!","")</f>
        <v/>
      </c>
      <c r="M317" s="2111">
        <v>1</v>
      </c>
      <c r="N317" s="2110"/>
      <c r="O317" s="2046"/>
      <c r="P317" s="2283"/>
      <c r="Q317" s="2143" t="s">
        <v>415</v>
      </c>
      <c r="R317" s="2105"/>
      <c r="S317" s="2105"/>
      <c r="T317" s="2105"/>
      <c r="U317" s="2105"/>
      <c r="V317" s="2105"/>
      <c r="AM317" s="2494">
        <v>317</v>
      </c>
    </row>
    <row r="318" spans="1:48" s="2108" customFormat="1" ht="16" hidden="1" customHeight="1">
      <c r="A318" s="2131"/>
      <c r="B318" s="2132"/>
      <c r="D318" s="2132"/>
      <c r="E318" s="2132"/>
      <c r="M318" s="2178"/>
      <c r="Q318" s="2143"/>
      <c r="R318" s="2105"/>
      <c r="S318" s="2105"/>
      <c r="T318" s="2105"/>
      <c r="U318" s="2105"/>
      <c r="V318" s="2105"/>
      <c r="W318" s="2107"/>
      <c r="X318" s="2107"/>
      <c r="AM318" s="2494">
        <v>318</v>
      </c>
    </row>
    <row r="319" spans="1:48" s="2108" customFormat="1" ht="16" customHeight="1">
      <c r="A319" s="2131"/>
      <c r="B319" s="2132"/>
      <c r="C319" s="2108" t="s">
        <v>4936</v>
      </c>
      <c r="D319" s="2132"/>
      <c r="E319" s="2132"/>
      <c r="L319" s="3814" t="s">
        <v>4938</v>
      </c>
      <c r="M319" s="3814"/>
      <c r="O319" s="3814" t="s">
        <v>4939</v>
      </c>
      <c r="P319" s="3814"/>
      <c r="Q319" s="2143"/>
      <c r="R319" s="2105"/>
      <c r="S319" s="2105"/>
      <c r="T319" s="2105"/>
      <c r="U319" s="2105"/>
      <c r="V319" s="2105"/>
      <c r="W319" s="2107"/>
      <c r="X319" s="2107"/>
      <c r="AM319" s="2494">
        <v>319</v>
      </c>
    </row>
    <row r="320" spans="1:48" s="2108" customFormat="1" ht="16" customHeight="1">
      <c r="A320" s="2131"/>
      <c r="C320" s="2108" t="s">
        <v>4937</v>
      </c>
      <c r="D320" s="2132"/>
      <c r="E320" s="2132"/>
      <c r="F320" s="2108" t="s">
        <v>4124</v>
      </c>
      <c r="I320" s="2108" t="s">
        <v>574</v>
      </c>
      <c r="K320" s="2110" t="s">
        <v>4748</v>
      </c>
      <c r="L320" s="3814"/>
      <c r="M320" s="3814"/>
      <c r="O320" s="3814"/>
      <c r="P320" s="3814"/>
      <c r="Q320" s="2143"/>
      <c r="R320" s="2105"/>
      <c r="S320" s="2105"/>
      <c r="T320" s="2105"/>
      <c r="U320" s="2105"/>
      <c r="V320" s="2105"/>
      <c r="W320" s="2107"/>
      <c r="X320" s="2107"/>
      <c r="AM320" s="2493">
        <v>320</v>
      </c>
      <c r="AV320" s="2303"/>
    </row>
    <row r="321" spans="1:39" s="2108" customFormat="1" ht="16" customHeight="1">
      <c r="A321" s="2131"/>
      <c r="B321" s="2291" t="s">
        <v>1839</v>
      </c>
      <c r="C321" s="3808"/>
      <c r="D321" s="3808"/>
      <c r="E321" s="3808"/>
      <c r="F321" s="3808"/>
      <c r="G321" s="3808"/>
      <c r="H321" s="3808"/>
      <c r="I321" s="3809"/>
      <c r="J321" s="3809"/>
      <c r="K321" s="2384"/>
      <c r="L321" s="3810"/>
      <c r="M321" s="3810"/>
      <c r="N321" s="2288"/>
      <c r="O321" s="3811"/>
      <c r="P321" s="3811"/>
      <c r="Q321" s="2143"/>
      <c r="R321" s="2105"/>
      <c r="S321" s="2105"/>
      <c r="T321" s="2105"/>
      <c r="U321" s="2105"/>
      <c r="V321" s="2105"/>
      <c r="W321" s="2107"/>
      <c r="X321" s="2107"/>
      <c r="AM321" s="2494">
        <v>321</v>
      </c>
    </row>
    <row r="322" spans="1:39" s="2108" customFormat="1" ht="16" customHeight="1">
      <c r="A322" s="2131"/>
      <c r="B322" s="2150" t="s">
        <v>1841</v>
      </c>
      <c r="C322" s="3800"/>
      <c r="D322" s="3800"/>
      <c r="E322" s="3800"/>
      <c r="F322" s="3800"/>
      <c r="G322" s="3800"/>
      <c r="H322" s="3800"/>
      <c r="I322" s="3801"/>
      <c r="J322" s="3801"/>
      <c r="K322" s="2385"/>
      <c r="L322" s="3802"/>
      <c r="M322" s="3802"/>
      <c r="N322" s="2288"/>
      <c r="O322" s="3803"/>
      <c r="P322" s="3803"/>
      <c r="Q322" s="2143"/>
      <c r="R322" s="2105"/>
      <c r="S322" s="2105"/>
      <c r="T322" s="2105"/>
      <c r="U322" s="2105"/>
      <c r="V322" s="2105"/>
      <c r="W322" s="2107"/>
      <c r="X322" s="2107"/>
      <c r="AM322" s="2493">
        <v>322</v>
      </c>
    </row>
    <row r="323" spans="1:39" s="2108" customFormat="1" ht="16" customHeight="1">
      <c r="A323" s="2131"/>
      <c r="B323" s="2150" t="s">
        <v>2326</v>
      </c>
      <c r="C323" s="3800"/>
      <c r="D323" s="3800"/>
      <c r="E323" s="3800"/>
      <c r="F323" s="3800"/>
      <c r="G323" s="3800"/>
      <c r="H323" s="3800"/>
      <c r="I323" s="3801"/>
      <c r="J323" s="3801"/>
      <c r="K323" s="2385"/>
      <c r="L323" s="3802"/>
      <c r="M323" s="3802"/>
      <c r="N323" s="2288"/>
      <c r="O323" s="3803"/>
      <c r="P323" s="3803"/>
      <c r="Q323" s="2143"/>
      <c r="R323" s="2105"/>
      <c r="S323" s="2105"/>
      <c r="T323" s="2105"/>
      <c r="U323" s="2105"/>
      <c r="V323" s="2105"/>
      <c r="W323" s="2107"/>
      <c r="X323" s="2107"/>
      <c r="AM323" s="2493">
        <v>323</v>
      </c>
    </row>
    <row r="324" spans="1:39" s="2108" customFormat="1" ht="16" customHeight="1">
      <c r="A324" s="2131"/>
      <c r="B324" s="2150" t="s">
        <v>1149</v>
      </c>
      <c r="C324" s="3804"/>
      <c r="D324" s="3804"/>
      <c r="E324" s="3804"/>
      <c r="F324" s="3804"/>
      <c r="G324" s="3804"/>
      <c r="H324" s="3804"/>
      <c r="I324" s="3805"/>
      <c r="J324" s="3805"/>
      <c r="K324" s="2386"/>
      <c r="L324" s="3806"/>
      <c r="M324" s="3806"/>
      <c r="N324" s="2288"/>
      <c r="O324" s="3807"/>
      <c r="P324" s="3807"/>
      <c r="Q324" s="2143"/>
      <c r="R324" s="2105"/>
      <c r="S324" s="2105"/>
      <c r="T324" s="2105"/>
      <c r="U324" s="2105"/>
      <c r="V324" s="2105"/>
      <c r="W324" s="2107"/>
      <c r="X324" s="2107"/>
      <c r="AM324" s="2493">
        <v>324</v>
      </c>
    </row>
    <row r="325" spans="1:39" ht="16" customHeight="1">
      <c r="A325" s="2108"/>
      <c r="B325" s="2130" t="s">
        <v>4850</v>
      </c>
      <c r="C325" s="2108"/>
      <c r="D325" s="2108"/>
      <c r="E325" s="2108"/>
      <c r="F325" s="2108"/>
      <c r="G325" s="2108"/>
      <c r="H325" s="2108"/>
      <c r="I325" s="2108"/>
      <c r="J325" s="2108"/>
      <c r="K325" s="2108"/>
      <c r="M325" s="2110"/>
      <c r="O325" s="2121"/>
      <c r="R325" s="2105"/>
      <c r="S325" s="2105"/>
      <c r="T325" s="2105"/>
      <c r="U325" s="2105"/>
      <c r="V325" s="2105"/>
      <c r="AM325" s="2493">
        <v>325</v>
      </c>
    </row>
    <row r="326" spans="1:39" ht="16" customHeight="1">
      <c r="A326" s="3776"/>
      <c r="B326" s="3777"/>
      <c r="C326" s="3777"/>
      <c r="D326" s="3777"/>
      <c r="E326" s="3777"/>
      <c r="F326" s="3777"/>
      <c r="G326" s="3777"/>
      <c r="H326" s="3777"/>
      <c r="I326" s="3777"/>
      <c r="J326" s="3777"/>
      <c r="K326" s="3777"/>
      <c r="L326" s="3777"/>
      <c r="M326" s="3777"/>
      <c r="N326" s="3777"/>
      <c r="O326" s="3777"/>
      <c r="P326" s="3778"/>
      <c r="Q326" s="2191"/>
      <c r="AM326" s="2493">
        <v>326</v>
      </c>
    </row>
    <row r="327" spans="1:39" ht="16" customHeight="1">
      <c r="A327" s="2108"/>
      <c r="B327" s="2169" t="s">
        <v>1725</v>
      </c>
      <c r="C327" s="2108"/>
      <c r="D327" s="2169"/>
      <c r="E327" s="2160"/>
      <c r="F327" s="2160"/>
      <c r="G327" s="2160"/>
      <c r="H327" s="2160"/>
      <c r="I327" s="2160"/>
      <c r="J327" s="2160"/>
      <c r="K327" s="2160"/>
      <c r="L327" s="2160"/>
      <c r="M327" s="2160"/>
      <c r="N327" s="2172"/>
      <c r="O327" s="2173"/>
      <c r="P327" s="2111"/>
      <c r="AM327" s="2493">
        <v>327</v>
      </c>
    </row>
    <row r="328" spans="1:39" ht="16" customHeight="1">
      <c r="A328" s="3756"/>
      <c r="B328" s="3757"/>
      <c r="C328" s="3757"/>
      <c r="D328" s="3757"/>
      <c r="E328" s="3757"/>
      <c r="F328" s="3757"/>
      <c r="G328" s="3757"/>
      <c r="H328" s="3757"/>
      <c r="I328" s="3757"/>
      <c r="J328" s="3757"/>
      <c r="K328" s="3757"/>
      <c r="L328" s="3757"/>
      <c r="M328" s="3757"/>
      <c r="N328" s="3757"/>
      <c r="O328" s="3757"/>
      <c r="P328" s="3758"/>
      <c r="Q328" s="2174"/>
      <c r="AM328" s="2494">
        <v>328</v>
      </c>
    </row>
    <row r="329" spans="1:39" ht="9.75" customHeight="1">
      <c r="A329" s="2108"/>
      <c r="D329" s="2108"/>
      <c r="E329" s="2108"/>
      <c r="F329" s="2111"/>
      <c r="G329" s="2111"/>
      <c r="H329" s="2111"/>
      <c r="I329" s="2111"/>
      <c r="J329" s="2140"/>
      <c r="K329" s="2140"/>
      <c r="L329" s="2140"/>
      <c r="M329" s="2110"/>
      <c r="N329" s="2111"/>
      <c r="P329" s="2121"/>
      <c r="AM329" s="2494">
        <v>329</v>
      </c>
    </row>
    <row r="330" spans="1:39" ht="9.75" customHeight="1" thickBot="1">
      <c r="A330" s="2108"/>
      <c r="D330" s="2108"/>
      <c r="E330" s="2108"/>
      <c r="F330" s="2111"/>
      <c r="G330" s="2111"/>
      <c r="H330" s="2111"/>
      <c r="I330" s="2111"/>
      <c r="J330" s="2140"/>
      <c r="K330" s="2140"/>
      <c r="L330" s="2140"/>
      <c r="M330" s="2110"/>
      <c r="N330" s="2111"/>
      <c r="P330" s="2121"/>
      <c r="AM330" s="2494">
        <v>330</v>
      </c>
    </row>
    <row r="331" spans="1:39" ht="16" customHeight="1" thickBot="1">
      <c r="A331" s="2131" t="s">
        <v>3290</v>
      </c>
      <c r="B331" s="2222" t="s">
        <v>3910</v>
      </c>
      <c r="M331" s="2111">
        <v>1</v>
      </c>
      <c r="O331" s="2142">
        <f>IF(AND($F$12="New Affordability",$O$12="9%"),IF(O332+O333&gt;$M331,"Choose",MIN($M331,SUM(O332:O333))),0)</f>
        <v>0</v>
      </c>
      <c r="P331" s="2142">
        <f>IF(AND($H$12="New Affordability",$O$12="9%"),IF(P332+P333&gt;$M331,"Choose",MIN($M331,SUM(P332:P333))),0)</f>
        <v>0</v>
      </c>
      <c r="Q331" s="2143" t="s">
        <v>415</v>
      </c>
      <c r="R331" s="2149" t="str">
        <f>IF(AND(O331&gt;0,NOT($F$12="New Affordability")), "Ineligible to score in this section, not New Affordability!","")</f>
        <v/>
      </c>
      <c r="AM331" s="2493">
        <v>331</v>
      </c>
    </row>
    <row r="332" spans="1:39" ht="16" customHeight="1">
      <c r="A332" s="2111" t="s">
        <v>1836</v>
      </c>
      <c r="B332" s="2192" t="s">
        <v>4929</v>
      </c>
      <c r="G332" s="2213" t="s">
        <v>3069</v>
      </c>
      <c r="H332" s="2320">
        <f>IF('Part V-Revenues &amp; Expenses'!$P$67=0,0,'Part V-Revenues &amp; Expenses'!$P$64/'Part V-Revenues &amp; Expenses'!$P$67)</f>
        <v>0</v>
      </c>
      <c r="L332" s="2145" t="str">
        <f t="shared" ref="L332:L333" si="10">IF(OR($O332=$M332,$O332=0,$O332=""),"","* * Check Score! * *")</f>
        <v/>
      </c>
      <c r="M332" s="2110">
        <v>1</v>
      </c>
      <c r="N332" s="2146"/>
      <c r="O332" s="2013"/>
      <c r="P332" s="2237"/>
      <c r="Q332" s="2148" t="str">
        <f>IF(OR($O332=$M332,$O332=0,$O332=""),"","*CHECK!*")</f>
        <v/>
      </c>
      <c r="R332" s="2149"/>
      <c r="AM332" s="2493">
        <v>332</v>
      </c>
    </row>
    <row r="333" spans="1:39" ht="16" customHeight="1">
      <c r="A333" s="2111" t="s">
        <v>1838</v>
      </c>
      <c r="B333" s="2192" t="s">
        <v>3692</v>
      </c>
      <c r="G333" s="3798" t="str">
        <f>'Part V-Revenues &amp; Expenses'!$O$53</f>
        <v>&lt;&lt; Select LIHTC Election &gt;&gt;</v>
      </c>
      <c r="H333" s="3799"/>
      <c r="L333" s="2145" t="str">
        <f t="shared" si="10"/>
        <v/>
      </c>
      <c r="M333" s="2128">
        <v>1</v>
      </c>
      <c r="N333" s="2146"/>
      <c r="O333" s="2002"/>
      <c r="P333" s="2238"/>
      <c r="Q333" s="2148" t="str">
        <f>IF(OR($O333=$M333,$O333=0,$O333=""),"","*CHECK!*")</f>
        <v/>
      </c>
      <c r="R333" s="2149"/>
      <c r="AM333" s="2494">
        <v>333</v>
      </c>
    </row>
    <row r="334" spans="1:39" ht="16" hidden="1" customHeight="1">
      <c r="A334" s="2192"/>
      <c r="B334" s="2150"/>
      <c r="M334" s="2110"/>
      <c r="O334" s="2111"/>
      <c r="P334" s="2111"/>
      <c r="AM334" s="2493">
        <v>334</v>
      </c>
    </row>
    <row r="335" spans="1:39" ht="16" customHeight="1">
      <c r="A335" s="2108"/>
      <c r="B335" s="2169" t="s">
        <v>1725</v>
      </c>
      <c r="C335" s="2108"/>
      <c r="D335" s="2169"/>
      <c r="E335" s="2160"/>
      <c r="F335" s="2160"/>
      <c r="G335" s="2160"/>
      <c r="H335" s="2160"/>
      <c r="I335" s="2160"/>
      <c r="J335" s="2160"/>
      <c r="K335" s="2160"/>
      <c r="L335" s="2160"/>
      <c r="M335" s="2160"/>
      <c r="N335" s="2172"/>
      <c r="O335" s="2173"/>
      <c r="P335" s="2111"/>
      <c r="AM335" s="2493">
        <v>335</v>
      </c>
    </row>
    <row r="336" spans="1:39" ht="16" customHeight="1">
      <c r="A336" s="3756"/>
      <c r="B336" s="3757"/>
      <c r="C336" s="3757"/>
      <c r="D336" s="3757"/>
      <c r="E336" s="3757"/>
      <c r="F336" s="3757"/>
      <c r="G336" s="3757"/>
      <c r="H336" s="3757"/>
      <c r="I336" s="3757"/>
      <c r="J336" s="3757"/>
      <c r="K336" s="3757"/>
      <c r="L336" s="3757"/>
      <c r="M336" s="3757"/>
      <c r="N336" s="3757"/>
      <c r="O336" s="3757"/>
      <c r="P336" s="3758"/>
      <c r="Q336" s="2174"/>
      <c r="AM336" s="2494">
        <v>336</v>
      </c>
    </row>
    <row r="337" spans="1:39" ht="9.75" customHeight="1">
      <c r="A337" s="2108"/>
      <c r="D337" s="2108"/>
      <c r="E337" s="2108"/>
      <c r="F337" s="2111"/>
      <c r="G337" s="2111"/>
      <c r="H337" s="2111"/>
      <c r="I337" s="2111"/>
      <c r="J337" s="2140"/>
      <c r="K337" s="2140"/>
      <c r="L337" s="2140"/>
      <c r="M337" s="2110"/>
      <c r="N337" s="2111"/>
      <c r="P337" s="2121"/>
      <c r="AM337" s="2494">
        <v>337</v>
      </c>
    </row>
    <row r="338" spans="1:39" ht="9.75" customHeight="1" thickBot="1">
      <c r="A338" s="2108"/>
      <c r="B338" s="2108"/>
      <c r="C338" s="2160"/>
      <c r="D338" s="2160"/>
      <c r="E338" s="2160"/>
      <c r="F338" s="2160"/>
      <c r="G338" s="2160"/>
      <c r="H338" s="2160"/>
      <c r="I338" s="2160"/>
      <c r="J338" s="2160"/>
      <c r="K338" s="2160"/>
      <c r="L338" s="2160"/>
      <c r="M338" s="2160"/>
      <c r="N338" s="2172"/>
      <c r="O338" s="2173"/>
      <c r="P338" s="2111"/>
      <c r="AM338" s="2494">
        <v>338</v>
      </c>
    </row>
    <row r="339" spans="1:39" ht="16" customHeight="1" thickBot="1">
      <c r="A339" s="2131" t="s">
        <v>3291</v>
      </c>
      <c r="B339" s="2132" t="s">
        <v>2463</v>
      </c>
      <c r="D339" s="2140"/>
      <c r="G339" s="2160"/>
      <c r="H339" s="2160"/>
      <c r="I339" s="2160"/>
      <c r="J339" s="2160"/>
      <c r="K339" s="2160"/>
      <c r="L339" s="2160"/>
      <c r="M339" s="2111">
        <v>2</v>
      </c>
      <c r="N339" s="2146"/>
      <c r="O339" s="2142">
        <f>IF(AND($F$12="New Affordability",$O$12="9%"),MIN($M339,O341+O343),0)</f>
        <v>0</v>
      </c>
      <c r="P339" s="2142">
        <f>IF(AND($H$12="New Affordability",$O$12="9%"),MIN($M339,P341+P343),0)</f>
        <v>0</v>
      </c>
      <c r="Q339" s="2143" t="s">
        <v>415</v>
      </c>
      <c r="R339" s="2149" t="str">
        <f>IF(AND(O339&gt;0,NOT($F$12="New Affordability")), "Ineligible to score in this section, not New Affordability!","")</f>
        <v/>
      </c>
      <c r="AM339" s="2494">
        <v>339</v>
      </c>
    </row>
    <row r="340" spans="1:39" s="2163" customFormat="1" ht="16" customHeight="1">
      <c r="A340" s="2222"/>
      <c r="E340" s="2313" t="s">
        <v>2989</v>
      </c>
      <c r="G340" s="3791" t="s">
        <v>3765</v>
      </c>
      <c r="H340" s="3792"/>
      <c r="I340" s="3792"/>
      <c r="J340" s="3792"/>
      <c r="K340" s="3792"/>
      <c r="L340" s="3793"/>
      <c r="M340" s="2164"/>
      <c r="N340" s="2164"/>
      <c r="O340" s="2164"/>
      <c r="P340" s="2164"/>
      <c r="Q340" s="2108"/>
      <c r="AM340" s="2493">
        <v>340</v>
      </c>
    </row>
    <row r="341" spans="1:39" s="2163" customFormat="1" ht="16" customHeight="1">
      <c r="A341" s="2195" t="s">
        <v>1836</v>
      </c>
      <c r="B341" s="2119" t="s">
        <v>3834</v>
      </c>
      <c r="L341" s="2145" t="str">
        <f t="shared" ref="L341" si="11">IF(OR($O341=$M341,$O341=0,$O341=""),"","* * Check Score! * *")</f>
        <v/>
      </c>
      <c r="M341" s="2164">
        <v>2</v>
      </c>
      <c r="N341" s="2165"/>
      <c r="O341" s="2013"/>
      <c r="P341" s="2237"/>
      <c r="Q341" s="2148" t="str">
        <f>IF(OR($O341=$M341,$O341=0,$O341=""),"","*CHECK!*")</f>
        <v/>
      </c>
      <c r="R341" s="2149"/>
      <c r="AM341" s="2494">
        <v>341</v>
      </c>
    </row>
    <row r="342" spans="1:39" ht="16" customHeight="1">
      <c r="A342" s="2184"/>
      <c r="B342" s="3762" t="s">
        <v>3329</v>
      </c>
      <c r="C342" s="3763"/>
      <c r="D342" s="3763"/>
      <c r="E342" s="3763"/>
      <c r="F342" s="3763"/>
      <c r="G342" s="3763"/>
      <c r="H342" s="3763"/>
      <c r="I342" s="3763"/>
      <c r="J342" s="3763"/>
      <c r="K342" s="3763"/>
      <c r="L342" s="3763"/>
      <c r="M342" s="3763"/>
      <c r="N342" s="3763"/>
      <c r="O342" s="3763"/>
      <c r="P342" s="3764"/>
      <c r="Q342" s="2174"/>
      <c r="R342" s="2191"/>
      <c r="S342" s="2191"/>
      <c r="AM342" s="2493">
        <v>342</v>
      </c>
    </row>
    <row r="343" spans="1:39" s="2163" customFormat="1" ht="16" customHeight="1">
      <c r="A343" s="2316" t="s">
        <v>1838</v>
      </c>
      <c r="B343" s="2273" t="s">
        <v>3835</v>
      </c>
      <c r="L343" s="2145" t="str">
        <f t="shared" ref="L343" si="12">IF(OR($O343=$M343,$O343=0,$O343=""),"","* * Check Score! * *")</f>
        <v/>
      </c>
      <c r="M343" s="2164">
        <v>2</v>
      </c>
      <c r="N343" s="2165"/>
      <c r="O343" s="2002"/>
      <c r="P343" s="2238"/>
      <c r="Q343" s="2148" t="str">
        <f>IF(OR($O343=$M343,$O343=0,$O343=""),"","*CHECK!*")</f>
        <v/>
      </c>
      <c r="R343" s="2149"/>
      <c r="AM343" s="2493">
        <v>343</v>
      </c>
    </row>
    <row r="344" spans="1:39" ht="16" customHeight="1">
      <c r="A344" s="2108"/>
      <c r="B344" s="2130" t="s">
        <v>4850</v>
      </c>
      <c r="C344" s="2108"/>
      <c r="D344" s="2108"/>
      <c r="E344" s="2108"/>
      <c r="F344" s="2108"/>
      <c r="G344" s="2108"/>
      <c r="H344" s="2108"/>
      <c r="I344" s="2108"/>
      <c r="J344" s="2108"/>
      <c r="K344" s="2108"/>
      <c r="M344" s="2110"/>
      <c r="O344" s="2121"/>
      <c r="AM344" s="2493">
        <v>344</v>
      </c>
    </row>
    <row r="345" spans="1:39" ht="16" customHeight="1">
      <c r="A345" s="3776"/>
      <c r="B345" s="3777"/>
      <c r="C345" s="3777"/>
      <c r="D345" s="3777"/>
      <c r="E345" s="3777"/>
      <c r="F345" s="3777"/>
      <c r="G345" s="3777"/>
      <c r="H345" s="3777"/>
      <c r="I345" s="3777"/>
      <c r="J345" s="3777"/>
      <c r="K345" s="3777"/>
      <c r="L345" s="3777"/>
      <c r="M345" s="3777"/>
      <c r="N345" s="3777"/>
      <c r="O345" s="3777"/>
      <c r="P345" s="3778"/>
      <c r="Q345" s="2191"/>
      <c r="R345" s="2191"/>
      <c r="AM345" s="2493">
        <v>345</v>
      </c>
    </row>
    <row r="346" spans="1:39" ht="16" customHeight="1">
      <c r="B346" s="2169" t="s">
        <v>1725</v>
      </c>
      <c r="C346" s="2170"/>
      <c r="D346" s="2169"/>
      <c r="E346" s="2171"/>
      <c r="F346" s="2160"/>
      <c r="G346" s="2160"/>
      <c r="H346" s="2160"/>
      <c r="I346" s="2160"/>
      <c r="J346" s="2160"/>
      <c r="K346" s="2160"/>
      <c r="L346" s="2160"/>
      <c r="M346" s="2160"/>
      <c r="N346" s="2172"/>
      <c r="O346" s="2173"/>
      <c r="P346" s="2111"/>
      <c r="AM346" s="2494">
        <v>346</v>
      </c>
    </row>
    <row r="347" spans="1:39" ht="16" customHeight="1">
      <c r="A347" s="3756"/>
      <c r="B347" s="3757"/>
      <c r="C347" s="3757"/>
      <c r="D347" s="3757"/>
      <c r="E347" s="3757"/>
      <c r="F347" s="3757"/>
      <c r="G347" s="3757"/>
      <c r="H347" s="3757"/>
      <c r="I347" s="3757"/>
      <c r="J347" s="3757"/>
      <c r="K347" s="3757"/>
      <c r="L347" s="3757"/>
      <c r="M347" s="3757"/>
      <c r="N347" s="3757"/>
      <c r="O347" s="3757"/>
      <c r="P347" s="3758"/>
      <c r="Q347" s="2174"/>
      <c r="AM347" s="2494">
        <v>347</v>
      </c>
    </row>
    <row r="348" spans="1:39" ht="9.75" customHeight="1">
      <c r="A348" s="2108"/>
      <c r="B348" s="2108"/>
      <c r="C348" s="2160"/>
      <c r="D348" s="2160"/>
      <c r="E348" s="2160"/>
      <c r="F348" s="2160"/>
      <c r="G348" s="2160"/>
      <c r="H348" s="2160"/>
      <c r="I348" s="2160"/>
      <c r="J348" s="2160"/>
      <c r="K348" s="2160"/>
      <c r="L348" s="2160"/>
      <c r="M348" s="2160"/>
      <c r="N348" s="2172"/>
      <c r="O348" s="2173"/>
      <c r="P348" s="2111"/>
      <c r="AM348" s="2494">
        <v>348</v>
      </c>
    </row>
    <row r="349" spans="1:39" ht="9.75" customHeight="1" thickBot="1">
      <c r="A349" s="2108"/>
      <c r="D349" s="2108"/>
      <c r="E349" s="2108"/>
      <c r="F349" s="2111"/>
      <c r="G349" s="2111"/>
      <c r="H349" s="2111"/>
      <c r="I349" s="2111"/>
      <c r="J349" s="2140"/>
      <c r="K349" s="2140"/>
      <c r="L349" s="2140"/>
      <c r="M349" s="2110"/>
      <c r="N349" s="2111"/>
      <c r="P349" s="2121"/>
      <c r="AM349" s="2494">
        <v>349</v>
      </c>
    </row>
    <row r="350" spans="1:39" s="2108" customFormat="1" ht="16" customHeight="1" thickBot="1">
      <c r="A350" s="2131" t="s">
        <v>3292</v>
      </c>
      <c r="B350" s="2132" t="s">
        <v>4483</v>
      </c>
      <c r="D350" s="2132"/>
      <c r="E350" s="2132"/>
      <c r="G350" s="2175"/>
      <c r="M350" s="2111">
        <v>2</v>
      </c>
      <c r="N350" s="2110"/>
      <c r="O350" s="2142">
        <f>IF($O$12="9%",IF(OR(O351=$M351,O352=$M352),$M$350,0),0)</f>
        <v>0</v>
      </c>
      <c r="P350" s="2142">
        <f>IF($O$12="9%",IF(OR(P351=$M351,P352=$M352),$M$350,0),0)</f>
        <v>0</v>
      </c>
      <c r="Q350" s="2143" t="s">
        <v>415</v>
      </c>
      <c r="R350" s="2105"/>
      <c r="S350" s="2105"/>
      <c r="T350" s="2105"/>
      <c r="U350" s="2105"/>
      <c r="V350" s="2105"/>
      <c r="AM350" s="2493">
        <v>350</v>
      </c>
    </row>
    <row r="351" spans="1:39" ht="16" customHeight="1">
      <c r="A351" s="2111" t="s">
        <v>1836</v>
      </c>
      <c r="B351" s="2183" t="s">
        <v>4484</v>
      </c>
      <c r="D351" s="2162"/>
      <c r="E351" s="2212" t="s">
        <v>4495</v>
      </c>
      <c r="F351" s="2162"/>
      <c r="G351" s="2162"/>
      <c r="H351" s="3788"/>
      <c r="I351" s="3789"/>
      <c r="J351" s="3789"/>
      <c r="K351" s="3790"/>
      <c r="L351" s="2145" t="str">
        <f t="shared" ref="L351:L352" si="13">IF(OR($O351=$M351,$O351=0,$O351=""),"","* * Check Score! * *")</f>
        <v/>
      </c>
      <c r="M351" s="2128">
        <v>2</v>
      </c>
      <c r="N351" s="2146"/>
      <c r="O351" s="2013"/>
      <c r="P351" s="2237"/>
      <c r="Q351" s="2184" t="str">
        <f>IF(OR(O351=0,O351="",O351=$M351),"","Check!")</f>
        <v/>
      </c>
      <c r="R351" s="2149"/>
      <c r="S351" s="2105"/>
      <c r="T351" s="2105"/>
      <c r="U351" s="2105"/>
      <c r="V351" s="2105"/>
      <c r="AM351" s="2494">
        <v>351</v>
      </c>
    </row>
    <row r="352" spans="1:39" ht="16" customHeight="1">
      <c r="A352" s="2111" t="s">
        <v>1838</v>
      </c>
      <c r="B352" s="2183" t="s">
        <v>4485</v>
      </c>
      <c r="L352" s="2145" t="str">
        <f t="shared" si="13"/>
        <v/>
      </c>
      <c r="M352" s="2128">
        <v>2</v>
      </c>
      <c r="N352" s="2146"/>
      <c r="O352" s="2002"/>
      <c r="P352" s="2238"/>
      <c r="Q352" s="2184" t="str">
        <f>IF(OR(O352=0,O352="",O352=$M352),"","Check!")</f>
        <v/>
      </c>
      <c r="R352" s="2149"/>
      <c r="S352" s="2105"/>
      <c r="T352" s="2105"/>
      <c r="U352" s="2105"/>
      <c r="V352" s="2105"/>
      <c r="AM352" s="2493">
        <v>352</v>
      </c>
    </row>
    <row r="353" spans="1:39" ht="16" customHeight="1">
      <c r="A353" s="2108"/>
      <c r="B353" s="2130" t="s">
        <v>4850</v>
      </c>
      <c r="C353" s="2108"/>
      <c r="D353" s="2108"/>
      <c r="E353" s="2108"/>
      <c r="F353" s="2108"/>
      <c r="G353" s="2108"/>
      <c r="H353" s="2108"/>
      <c r="I353" s="2108"/>
      <c r="J353" s="2108"/>
      <c r="K353" s="2108"/>
      <c r="M353" s="2110"/>
      <c r="O353" s="2121"/>
      <c r="R353" s="2105"/>
      <c r="S353" s="2105"/>
      <c r="T353" s="2105"/>
      <c r="U353" s="2105"/>
      <c r="V353" s="2105"/>
      <c r="AM353" s="2493">
        <v>353</v>
      </c>
    </row>
    <row r="354" spans="1:39" ht="16" customHeight="1">
      <c r="A354" s="3776"/>
      <c r="B354" s="3777"/>
      <c r="C354" s="3777"/>
      <c r="D354" s="3777"/>
      <c r="E354" s="3777"/>
      <c r="F354" s="3777"/>
      <c r="G354" s="3777"/>
      <c r="H354" s="3777"/>
      <c r="I354" s="3777"/>
      <c r="J354" s="3777"/>
      <c r="K354" s="3777"/>
      <c r="L354" s="3777"/>
      <c r="M354" s="3777"/>
      <c r="N354" s="3777"/>
      <c r="O354" s="3777"/>
      <c r="P354" s="3778"/>
      <c r="Q354" s="2191"/>
      <c r="AM354" s="2493">
        <v>354</v>
      </c>
    </row>
    <row r="355" spans="1:39" ht="16" customHeight="1">
      <c r="A355" s="2108"/>
      <c r="B355" s="2169" t="s">
        <v>1725</v>
      </c>
      <c r="C355" s="2108"/>
      <c r="D355" s="2169"/>
      <c r="E355" s="2160"/>
      <c r="F355" s="2160"/>
      <c r="G355" s="2160"/>
      <c r="H355" s="2160"/>
      <c r="I355" s="2160"/>
      <c r="J355" s="2160"/>
      <c r="K355" s="2160"/>
      <c r="L355" s="2160"/>
      <c r="M355" s="2160"/>
      <c r="N355" s="2172"/>
      <c r="O355" s="2173"/>
      <c r="P355" s="2111"/>
      <c r="AM355" s="2493">
        <v>355</v>
      </c>
    </row>
    <row r="356" spans="1:39" ht="16" customHeight="1">
      <c r="A356" s="3756"/>
      <c r="B356" s="3757"/>
      <c r="C356" s="3757"/>
      <c r="D356" s="3757"/>
      <c r="E356" s="3757"/>
      <c r="F356" s="3757"/>
      <c r="G356" s="3757"/>
      <c r="H356" s="3757"/>
      <c r="I356" s="3757"/>
      <c r="J356" s="3757"/>
      <c r="K356" s="3757"/>
      <c r="L356" s="3757"/>
      <c r="M356" s="3757"/>
      <c r="N356" s="3757"/>
      <c r="O356" s="3757"/>
      <c r="P356" s="3758"/>
      <c r="Q356" s="2174"/>
      <c r="AM356" s="2494">
        <v>356</v>
      </c>
    </row>
    <row r="357" spans="1:39" ht="9.75" customHeight="1">
      <c r="A357" s="2108"/>
      <c r="D357" s="2108"/>
      <c r="E357" s="2108"/>
      <c r="F357" s="2111"/>
      <c r="G357" s="2111"/>
      <c r="H357" s="2111"/>
      <c r="I357" s="2111"/>
      <c r="J357" s="2140"/>
      <c r="K357" s="2140"/>
      <c r="L357" s="2140"/>
      <c r="M357" s="2110"/>
      <c r="N357" s="2111"/>
      <c r="P357" s="2121"/>
      <c r="AM357" s="2494">
        <v>357</v>
      </c>
    </row>
    <row r="358" spans="1:39" ht="9.75" customHeight="1" thickBot="1">
      <c r="AM358" s="2494">
        <v>358</v>
      </c>
    </row>
    <row r="359" spans="1:39" ht="16" customHeight="1" thickBot="1">
      <c r="A359" s="2222" t="s">
        <v>3293</v>
      </c>
      <c r="B359" s="2132" t="s">
        <v>1553</v>
      </c>
      <c r="D359" s="2192"/>
      <c r="E359" s="2192"/>
      <c r="G359" s="2108"/>
      <c r="L359" s="2257" t="str">
        <f>IF(AND(O359&gt;0,NOT($O$12="9%")),"Ineligible, not 9%!","")</f>
        <v/>
      </c>
      <c r="M359" s="2111">
        <v>2</v>
      </c>
      <c r="N359" s="2145"/>
      <c r="O359" s="2046"/>
      <c r="P359" s="2283"/>
      <c r="Q359" s="2143" t="s">
        <v>415</v>
      </c>
      <c r="R359" s="2321"/>
      <c r="S359" s="2321"/>
      <c r="AM359" s="2494">
        <v>359</v>
      </c>
    </row>
    <row r="360" spans="1:39" ht="16" customHeight="1">
      <c r="A360" s="2127"/>
      <c r="B360" s="2239" t="s">
        <v>3070</v>
      </c>
      <c r="D360" s="2192"/>
      <c r="E360" s="2192"/>
      <c r="G360" s="2108"/>
      <c r="I360" s="3791" t="s">
        <v>3965</v>
      </c>
      <c r="J360" s="3792"/>
      <c r="K360" s="3792"/>
      <c r="L360" s="3793"/>
      <c r="M360" s="2110"/>
      <c r="N360" s="2110"/>
      <c r="O360" s="2128"/>
      <c r="P360" s="2128"/>
      <c r="Q360" s="2148"/>
      <c r="R360" s="2321"/>
      <c r="S360" s="2321"/>
      <c r="AM360" s="2493">
        <v>360</v>
      </c>
    </row>
    <row r="361" spans="1:39" ht="16" hidden="1" customHeight="1">
      <c r="B361" s="2239"/>
      <c r="D361" s="2108"/>
      <c r="E361" s="2108"/>
      <c r="F361" s="2108"/>
      <c r="G361" s="2108"/>
      <c r="H361" s="2108"/>
      <c r="I361" s="2108"/>
      <c r="J361" s="2108"/>
      <c r="K361" s="2108"/>
      <c r="L361" s="2108"/>
      <c r="M361" s="2108"/>
      <c r="N361" s="2146"/>
      <c r="O361" s="2146"/>
      <c r="P361" s="2146"/>
      <c r="AM361" s="2494">
        <v>361</v>
      </c>
    </row>
    <row r="362" spans="1:39" s="2108" customFormat="1" ht="16" customHeight="1">
      <c r="B362" s="2130" t="s">
        <v>4850</v>
      </c>
      <c r="L362" s="2107"/>
      <c r="M362" s="2110"/>
      <c r="N362" s="2128"/>
      <c r="O362" s="2121"/>
      <c r="P362" s="2120"/>
      <c r="AM362" s="2493">
        <v>362</v>
      </c>
    </row>
    <row r="363" spans="1:39" ht="16" customHeight="1">
      <c r="A363" s="3776"/>
      <c r="B363" s="3777"/>
      <c r="C363" s="3777"/>
      <c r="D363" s="3777"/>
      <c r="E363" s="3777"/>
      <c r="F363" s="3777"/>
      <c r="G363" s="3777"/>
      <c r="H363" s="3777"/>
      <c r="I363" s="3777"/>
      <c r="J363" s="3777"/>
      <c r="K363" s="3777"/>
      <c r="L363" s="3777"/>
      <c r="M363" s="3777"/>
      <c r="N363" s="3777"/>
      <c r="O363" s="3777"/>
      <c r="P363" s="3778"/>
      <c r="Q363" s="2191"/>
      <c r="AM363" s="2493">
        <v>363</v>
      </c>
    </row>
    <row r="364" spans="1:39" s="2108" customFormat="1" ht="16" customHeight="1">
      <c r="B364" s="2219" t="s">
        <v>1725</v>
      </c>
      <c r="D364" s="2219"/>
      <c r="E364" s="2158"/>
      <c r="F364" s="2158"/>
      <c r="G364" s="2158"/>
      <c r="H364" s="2158"/>
      <c r="I364" s="2158"/>
      <c r="J364" s="2158"/>
      <c r="K364" s="2158"/>
      <c r="L364" s="2158"/>
      <c r="M364" s="2158"/>
      <c r="N364" s="2221"/>
      <c r="O364" s="2136"/>
      <c r="P364" s="2111"/>
      <c r="Q364" s="2107"/>
      <c r="AM364" s="2493">
        <v>364</v>
      </c>
    </row>
    <row r="365" spans="1:39" ht="16" customHeight="1">
      <c r="A365" s="3756"/>
      <c r="B365" s="3757"/>
      <c r="C365" s="3757"/>
      <c r="D365" s="3757"/>
      <c r="E365" s="3757"/>
      <c r="F365" s="3757"/>
      <c r="G365" s="3757"/>
      <c r="H365" s="3757"/>
      <c r="I365" s="3757"/>
      <c r="J365" s="3757"/>
      <c r="K365" s="3757"/>
      <c r="L365" s="3757"/>
      <c r="M365" s="3757"/>
      <c r="N365" s="3757"/>
      <c r="O365" s="3757"/>
      <c r="P365" s="3758"/>
      <c r="Q365" s="2174"/>
      <c r="AM365" s="2493">
        <v>365</v>
      </c>
    </row>
    <row r="366" spans="1:39" ht="9.75" customHeight="1">
      <c r="AM366" s="2493">
        <v>366</v>
      </c>
    </row>
    <row r="367" spans="1:39" ht="9.75" customHeight="1" thickBot="1">
      <c r="A367" s="2222"/>
      <c r="B367" s="2108"/>
      <c r="C367" s="2160"/>
      <c r="D367" s="2160"/>
      <c r="E367" s="2160"/>
      <c r="F367" s="2160"/>
      <c r="G367" s="2160"/>
      <c r="H367" s="2160"/>
      <c r="I367" s="2160"/>
      <c r="J367" s="2160"/>
      <c r="K367" s="2160"/>
      <c r="L367" s="2160"/>
      <c r="M367" s="2160"/>
      <c r="N367" s="2172"/>
      <c r="O367" s="2173"/>
      <c r="P367" s="2111"/>
      <c r="AM367" s="2493">
        <v>367</v>
      </c>
    </row>
    <row r="368" spans="1:39" s="2108" customFormat="1" ht="16" customHeight="1" thickBot="1">
      <c r="A368" s="2222" t="s">
        <v>3294</v>
      </c>
      <c r="B368" s="2132" t="s">
        <v>4855</v>
      </c>
      <c r="D368" s="2132"/>
      <c r="E368" s="2132"/>
      <c r="I368" s="2257" t="str">
        <f>IF(AND($O368&gt;0,NOT($F$12="Preservation")),"Ineligible, not Preservation!","")</f>
        <v/>
      </c>
      <c r="M368" s="2111"/>
      <c r="N368" s="2110"/>
      <c r="O368" s="2322">
        <f>IF(AND(O373&gt;0, O374&gt;0),IF(AND(O373&gt;O374, $O$12="9%",$F$12="Preservation"),O370+O371+O373+O375+O384,IF(AND(O374&gt;O373, $O$12="9%",$F$12="Preservation"),O370+O371+O374+O375+O384)),
IF(AND(O373&gt;O374, $O$12="4%",$F$12="Preservation"),O370+O371+O373+O375+O384,IF(AND(O374&gt;O373, $O$12="4%",$F$12="Preservation"),O370+O371+O374+O375+O384,
O370+O371+O373+O374+O375+O384)))</f>
        <v>0</v>
      </c>
      <c r="P368" s="2322">
        <f>IF(AND(P373&gt;0, P374&gt;0),IF(AND(P373&gt;P374, $O$12="9%",$F$12="Preservation"),P370+P371+P373 +P375+P384,IF(AND(P374&gt;P373, $O$12="9%",$F$12="Preservation"),P370+P371+P374+P375+P384)),
IF(AND(P373&gt;P374, $O$12="4%",$F$12="Preservation"),P370+P371+P373 +P375+P384,IF(AND(P374&gt;P373, $O$12="4%",$F$12="Preservation"),P370+P371+P374+P375+P384,
P370+P371+P373+P374+P375+P384)))</f>
        <v>0</v>
      </c>
      <c r="Q368" s="2143" t="s">
        <v>415</v>
      </c>
      <c r="R368" s="2149"/>
      <c r="AM368" s="2494">
        <v>368</v>
      </c>
    </row>
    <row r="369" spans="1:39" ht="7.5" customHeight="1">
      <c r="A369" s="2222"/>
      <c r="B369" s="2108"/>
      <c r="C369" s="2160"/>
      <c r="D369" s="2160"/>
      <c r="E369" s="2160"/>
      <c r="F369" s="2160"/>
      <c r="G369" s="2160"/>
      <c r="H369" s="2160"/>
      <c r="J369" s="2160"/>
      <c r="K369" s="2160"/>
      <c r="L369" s="2160"/>
      <c r="M369" s="2160"/>
      <c r="N369" s="2172"/>
      <c r="O369" s="2173"/>
      <c r="P369" s="2173"/>
      <c r="AM369" s="2494">
        <v>369</v>
      </c>
    </row>
    <row r="370" spans="1:39" s="2108" customFormat="1" ht="16" customHeight="1">
      <c r="A370" s="2111" t="s">
        <v>1836</v>
      </c>
      <c r="B370" s="2119" t="s">
        <v>4037</v>
      </c>
      <c r="D370" s="2132"/>
      <c r="E370" s="2132"/>
      <c r="L370" s="2210" t="s">
        <v>4899</v>
      </c>
      <c r="M370" s="2111">
        <v>6</v>
      </c>
      <c r="N370" s="2110"/>
      <c r="O370" s="2011"/>
      <c r="P370" s="2228"/>
      <c r="Q370" s="2143"/>
      <c r="R370" s="2149"/>
      <c r="AM370" s="2493">
        <v>370</v>
      </c>
    </row>
    <row r="371" spans="1:39" s="2108" customFormat="1" ht="16" customHeight="1">
      <c r="A371" s="2258" t="s">
        <v>1838</v>
      </c>
      <c r="B371" s="2119" t="s">
        <v>4742</v>
      </c>
      <c r="D371" s="2132"/>
      <c r="E371" s="2132"/>
      <c r="F371" s="2233" t="s">
        <v>4949</v>
      </c>
      <c r="J371" s="2233"/>
      <c r="K371" s="2148" t="str">
        <f>IF(OR($O371=$M371,$O371=0,$O371=""),"","*CHECK!*")</f>
        <v/>
      </c>
      <c r="L371" s="2210" t="s">
        <v>4899</v>
      </c>
      <c r="M371" s="2111">
        <v>6</v>
      </c>
      <c r="N371" s="2110"/>
      <c r="O371" s="2110"/>
      <c r="P371" s="2237"/>
      <c r="Q371" s="2143"/>
      <c r="R371" s="2149"/>
      <c r="AM371" s="2493">
        <v>371</v>
      </c>
    </row>
    <row r="372" spans="1:39" s="2108" customFormat="1" ht="16" customHeight="1">
      <c r="A372" s="2222"/>
      <c r="B372" s="2108" t="s">
        <v>4714</v>
      </c>
      <c r="D372" s="2132"/>
      <c r="E372" s="2132"/>
      <c r="F372" s="2124"/>
      <c r="L372" s="2148"/>
      <c r="M372" s="2111"/>
      <c r="N372" s="2110"/>
      <c r="O372" s="2015"/>
      <c r="P372" s="2155"/>
      <c r="Q372" s="2143"/>
      <c r="R372" s="2149"/>
      <c r="AM372" s="2494">
        <v>372</v>
      </c>
    </row>
    <row r="373" spans="1:39" s="2163" customFormat="1" ht="16" customHeight="1">
      <c r="A373" s="2111" t="s">
        <v>697</v>
      </c>
      <c r="B373" s="2273" t="s">
        <v>4039</v>
      </c>
      <c r="C373" s="2265"/>
      <c r="D373" s="2265"/>
      <c r="E373" s="2265"/>
      <c r="F373" s="3794" t="s">
        <v>5060</v>
      </c>
      <c r="G373" s="3795"/>
      <c r="H373" s="2501"/>
      <c r="I373" s="2265"/>
      <c r="J373" s="2126"/>
      <c r="K373" s="2176" t="str">
        <f>IF(AND(O373&gt;0, O374&gt;0), "You must choose EITHER C OR D, not both!","")</f>
        <v/>
      </c>
      <c r="L373" s="2210" t="s">
        <v>4899</v>
      </c>
      <c r="M373" s="2110">
        <v>4</v>
      </c>
      <c r="N373" s="2230"/>
      <c r="O373" s="2011"/>
      <c r="P373" s="2228"/>
      <c r="Q373" s="2148"/>
      <c r="R373" s="2149"/>
      <c r="AM373" s="2494">
        <v>373</v>
      </c>
    </row>
    <row r="374" spans="1:39" ht="16" customHeight="1">
      <c r="A374" s="2111" t="s">
        <v>1957</v>
      </c>
      <c r="B374" s="2119" t="s">
        <v>4038</v>
      </c>
      <c r="E374" s="2192"/>
      <c r="F374" s="3796"/>
      <c r="G374" s="3797"/>
      <c r="H374" s="2501"/>
      <c r="K374" s="2176" t="str">
        <f>IF(AND(O373&gt;0, O374&gt;0), "You must choose EITHER C OR D, not both!","")</f>
        <v/>
      </c>
      <c r="L374" s="2210" t="s">
        <v>4899</v>
      </c>
      <c r="M374" s="2110">
        <v>4</v>
      </c>
      <c r="N374" s="2230"/>
      <c r="O374" s="2011"/>
      <c r="P374" s="2228"/>
      <c r="Q374" s="2148"/>
      <c r="R374" s="2149"/>
      <c r="AM374" s="2494">
        <v>374</v>
      </c>
    </row>
    <row r="375" spans="1:39" s="2108" customFormat="1" ht="16" customHeight="1">
      <c r="A375" s="2111" t="s">
        <v>1609</v>
      </c>
      <c r="B375" s="2119" t="s">
        <v>4856</v>
      </c>
      <c r="D375" s="2132"/>
      <c r="F375" s="2233" t="s">
        <v>4949</v>
      </c>
      <c r="J375" s="2233"/>
      <c r="K375" s="1827" t="str">
        <f>IF(AND($O375&gt;0,NOT($F$12="Preservation")),"Ineligible, not Preservation!","")</f>
        <v/>
      </c>
      <c r="L375" s="2210" t="s">
        <v>4899</v>
      </c>
      <c r="M375" s="2111">
        <v>20</v>
      </c>
      <c r="N375" s="2110"/>
      <c r="O375" s="2156">
        <f>IF($F$12="Preservation",MIN($M375,(J377+J378+J379+J380)),0)</f>
        <v>0</v>
      </c>
      <c r="P375" s="2156">
        <f>IF($H$12="Preservation",MIN($M375,(K377+K378+K379+K380)),0)</f>
        <v>0</v>
      </c>
      <c r="Q375" s="2143"/>
      <c r="R375" s="2149"/>
      <c r="AM375" s="2494">
        <v>375</v>
      </c>
    </row>
    <row r="376" spans="1:39" s="2108" customFormat="1" ht="16" customHeight="1">
      <c r="A376" s="2111"/>
      <c r="B376" s="2119"/>
      <c r="C376" s="2297" t="s">
        <v>4999</v>
      </c>
      <c r="D376" s="2298"/>
      <c r="E376" s="2298"/>
      <c r="F376" s="2299"/>
      <c r="G376" s="2299"/>
      <c r="H376" s="2299"/>
      <c r="I376" s="2299"/>
      <c r="J376" s="2300" t="s">
        <v>2881</v>
      </c>
      <c r="K376" s="2301" t="s">
        <v>245</v>
      </c>
      <c r="L376" s="2432"/>
      <c r="M376" s="2111"/>
      <c r="N376" s="2110"/>
      <c r="O376" s="2431"/>
      <c r="P376" s="2121"/>
      <c r="Q376" s="2143"/>
      <c r="R376" s="2143"/>
      <c r="S376" s="2143"/>
      <c r="T376" s="2143"/>
      <c r="U376" s="2143"/>
      <c r="V376" s="2143"/>
      <c r="W376" s="2143"/>
      <c r="X376" s="2143"/>
      <c r="Y376" s="2143"/>
      <c r="Z376" s="2143"/>
      <c r="AA376" s="2143"/>
      <c r="AM376" s="2493">
        <v>376</v>
      </c>
    </row>
    <row r="377" spans="1:39" s="2108" customFormat="1" ht="16" customHeight="1">
      <c r="A377" s="2111"/>
      <c r="B377" s="2119"/>
      <c r="C377" s="2303"/>
      <c r="D377" s="2108" t="s">
        <v>3308</v>
      </c>
      <c r="E377" s="2132"/>
      <c r="J377" s="2304">
        <f>MAX(O160,O161-O162)</f>
        <v>0</v>
      </c>
      <c r="K377" s="2305">
        <f>MAX(P160,P161-P162)</f>
        <v>0</v>
      </c>
      <c r="L377" s="2433"/>
      <c r="M377" s="2111"/>
      <c r="N377" s="2110"/>
      <c r="O377" s="2431"/>
      <c r="P377" s="2121"/>
      <c r="Q377" s="2143"/>
      <c r="R377" s="2143"/>
      <c r="S377" s="2143"/>
      <c r="T377" s="2143"/>
      <c r="U377" s="2143"/>
      <c r="V377" s="2143"/>
      <c r="W377" s="2143"/>
      <c r="X377" s="2143"/>
      <c r="Y377" s="2143"/>
      <c r="Z377" s="2143"/>
      <c r="AA377" s="2143"/>
      <c r="AM377" s="2494">
        <v>377</v>
      </c>
    </row>
    <row r="378" spans="1:39" s="2108" customFormat="1" ht="16" customHeight="1">
      <c r="A378" s="2111"/>
      <c r="B378" s="2119"/>
      <c r="C378" s="2303"/>
      <c r="D378" s="2108" t="s">
        <v>3913</v>
      </c>
      <c r="E378" s="2132"/>
      <c r="J378" s="2304">
        <f>MAX(O169,O178+O179+O181+O182+O183)</f>
        <v>0</v>
      </c>
      <c r="K378" s="2305">
        <f>MAX(P169,P178+P179+P181+P182+P183)</f>
        <v>0</v>
      </c>
      <c r="L378" s="2433"/>
      <c r="M378" s="2111"/>
      <c r="N378" s="2110"/>
      <c r="O378" s="2431"/>
      <c r="P378" s="2121"/>
      <c r="Q378" s="2143"/>
      <c r="R378" s="2143"/>
      <c r="S378" s="2143"/>
      <c r="T378" s="2143"/>
      <c r="U378" s="2143"/>
      <c r="V378" s="2143"/>
      <c r="W378" s="2143"/>
      <c r="X378" s="2143"/>
      <c r="Y378" s="2143"/>
      <c r="Z378" s="2143"/>
      <c r="AA378" s="2143"/>
      <c r="AM378" s="2493">
        <v>378</v>
      </c>
    </row>
    <row r="379" spans="1:39" s="2108" customFormat="1" ht="16" customHeight="1">
      <c r="A379" s="2111"/>
      <c r="B379" s="2119"/>
      <c r="C379" s="2303"/>
      <c r="D379" s="2108" t="s">
        <v>3253</v>
      </c>
      <c r="F379" s="2233"/>
      <c r="J379" s="2434">
        <f>$O$190</f>
        <v>0</v>
      </c>
      <c r="K379" s="2435">
        <f>$P$190</f>
        <v>0</v>
      </c>
      <c r="L379" s="2433"/>
      <c r="M379" s="2111"/>
      <c r="N379" s="2110"/>
      <c r="O379" s="2431"/>
      <c r="P379" s="2121"/>
      <c r="Q379" s="2143"/>
      <c r="R379" s="2143"/>
      <c r="S379" s="2143"/>
      <c r="T379" s="2143"/>
      <c r="U379" s="2143"/>
      <c r="V379" s="2143"/>
      <c r="W379" s="2143"/>
      <c r="X379" s="2143"/>
      <c r="Y379" s="2143"/>
      <c r="Z379" s="2143"/>
      <c r="AA379" s="2143"/>
      <c r="AM379" s="2493">
        <v>379</v>
      </c>
    </row>
    <row r="380" spans="1:39" s="2108" customFormat="1" ht="16" customHeight="1">
      <c r="A380" s="2111"/>
      <c r="B380" s="2119"/>
      <c r="C380" s="2436" t="s">
        <v>5000</v>
      </c>
      <c r="F380" s="2233"/>
      <c r="I380" s="2247" t="s">
        <v>5001</v>
      </c>
      <c r="J380" s="2441">
        <f>MAX(J381:J383)</f>
        <v>0</v>
      </c>
      <c r="K380" s="2442">
        <f>MAX(K381:K383)</f>
        <v>0</v>
      </c>
      <c r="L380" s="2433"/>
      <c r="M380" s="2111"/>
      <c r="N380" s="2110"/>
      <c r="O380" s="2431"/>
      <c r="P380" s="2121"/>
      <c r="Q380" s="2143"/>
      <c r="R380" s="2143"/>
      <c r="S380" s="2143"/>
      <c r="T380" s="2143"/>
      <c r="U380" s="2143"/>
      <c r="V380" s="2143"/>
      <c r="W380" s="2143"/>
      <c r="X380" s="2143"/>
      <c r="Y380" s="2143"/>
      <c r="Z380" s="2143"/>
      <c r="AA380" s="2143"/>
      <c r="AM380" s="2493">
        <v>380</v>
      </c>
    </row>
    <row r="381" spans="1:39" s="2108" customFormat="1" ht="16" customHeight="1">
      <c r="A381" s="2111"/>
      <c r="B381" s="2119"/>
      <c r="C381" s="2303"/>
      <c r="D381" s="2108" t="s">
        <v>3309</v>
      </c>
      <c r="F381" s="2233"/>
      <c r="J381" s="2304">
        <f>O207</f>
        <v>0</v>
      </c>
      <c r="K381" s="2305">
        <f>P207</f>
        <v>0</v>
      </c>
      <c r="L381" s="2433"/>
      <c r="M381" s="2111"/>
      <c r="N381" s="2110"/>
      <c r="O381" s="2431"/>
      <c r="P381" s="2121"/>
      <c r="Q381" s="2143"/>
      <c r="R381" s="2143"/>
      <c r="S381" s="2143"/>
      <c r="T381" s="2143"/>
      <c r="U381" s="2143"/>
      <c r="V381" s="2143"/>
      <c r="W381" s="2143"/>
      <c r="X381" s="2143"/>
      <c r="Y381" s="2143"/>
      <c r="Z381" s="2143"/>
      <c r="AA381" s="2143"/>
      <c r="AM381" s="2493">
        <v>381</v>
      </c>
    </row>
    <row r="382" spans="1:39" s="2108" customFormat="1" ht="16" customHeight="1">
      <c r="A382" s="2111"/>
      <c r="B382" s="2119"/>
      <c r="C382" s="2303"/>
      <c r="D382" s="2108" t="s">
        <v>3914</v>
      </c>
      <c r="F382" s="2233"/>
      <c r="J382" s="2307">
        <f>MAX($J$251,$O$238)</f>
        <v>0</v>
      </c>
      <c r="K382" s="2308">
        <f>MAX($K$251,$P$238)</f>
        <v>0</v>
      </c>
      <c r="L382" s="2433"/>
      <c r="M382" s="2111"/>
      <c r="N382" s="2110"/>
      <c r="O382" s="2431"/>
      <c r="P382" s="2121"/>
      <c r="Q382" s="2143"/>
      <c r="R382" s="2143"/>
      <c r="S382" s="2143"/>
      <c r="T382" s="2143"/>
      <c r="U382" s="2143"/>
      <c r="V382" s="2143"/>
      <c r="W382" s="2143"/>
      <c r="X382" s="2143"/>
      <c r="Y382" s="2143"/>
      <c r="Z382" s="2143"/>
      <c r="AA382" s="2143"/>
      <c r="AM382" s="2493">
        <v>382</v>
      </c>
    </row>
    <row r="383" spans="1:39" s="2108" customFormat="1" ht="16" customHeight="1">
      <c r="A383" s="2111"/>
      <c r="B383" s="2119"/>
      <c r="C383" s="2309"/>
      <c r="D383" s="2311" t="s">
        <v>3180</v>
      </c>
      <c r="E383" s="2311"/>
      <c r="F383" s="2437"/>
      <c r="G383" s="2311"/>
      <c r="H383" s="2311"/>
      <c r="I383" s="2311"/>
      <c r="J383" s="2438">
        <f>MAX(O266,O267)</f>
        <v>0</v>
      </c>
      <c r="K383" s="2439">
        <f>MAX(P266,P267)</f>
        <v>0</v>
      </c>
      <c r="L383" s="2440"/>
      <c r="M383" s="2111"/>
      <c r="N383" s="2110"/>
      <c r="O383" s="2431"/>
      <c r="P383" s="2121"/>
      <c r="Q383" s="2143"/>
      <c r="R383" s="2143"/>
      <c r="S383" s="2143"/>
      <c r="T383" s="2143"/>
      <c r="U383" s="2143"/>
      <c r="V383" s="2143"/>
      <c r="W383" s="2143"/>
      <c r="X383" s="2143"/>
      <c r="Y383" s="2143"/>
      <c r="Z383" s="2143"/>
      <c r="AA383" s="2143"/>
      <c r="AM383" s="2493">
        <v>383</v>
      </c>
    </row>
    <row r="384" spans="1:39" s="2108" customFormat="1" ht="16" customHeight="1">
      <c r="A384" s="2111" t="s">
        <v>1610</v>
      </c>
      <c r="B384" s="2119" t="s">
        <v>4857</v>
      </c>
      <c r="D384" s="2132"/>
      <c r="G384" s="2144"/>
      <c r="K384" s="2148" t="str">
        <f>IF(OR($O384&lt;=$M384,$O384=0,$O384=""),"","*CHECK!*")</f>
        <v/>
      </c>
      <c r="L384" s="2146" t="s">
        <v>4899</v>
      </c>
      <c r="M384" s="2111">
        <v>22</v>
      </c>
      <c r="N384" s="2110"/>
      <c r="O384" s="2156">
        <f>IF(AND($O$12="4%",$F$12="Preservation"),IF(O385+O386+O387+O399&gt;$M384,"Check",O385+O386+O387+O399),IF(AND($O$12="9%",$F$12="Preservation"),IF((O385+O386)&gt;($M385+$M386),"Check",O385+O386),0))</f>
        <v>0</v>
      </c>
      <c r="P384" s="2156">
        <f>IF(AND($O$12="4%",$F$12="Preservation"),IF(P385+P386+P387+P399&gt;$M384,"Check",P385+P386+P387+P399),IF(AND($O$12="9%",$F$12="Preservation"),IF((P385+P386)&gt;($M385+$M386),"Check",P385+P386),0))</f>
        <v>0</v>
      </c>
      <c r="Q384" s="2143" t="s">
        <v>415</v>
      </c>
      <c r="R384" s="2149"/>
      <c r="AM384" s="2494">
        <v>384</v>
      </c>
    </row>
    <row r="385" spans="1:39" s="2108" customFormat="1" ht="16" customHeight="1">
      <c r="A385" s="2111"/>
      <c r="B385" s="2150"/>
      <c r="C385" s="2140" t="s">
        <v>4930</v>
      </c>
      <c r="H385" s="2323" t="s">
        <v>4942</v>
      </c>
      <c r="I385" s="2111"/>
      <c r="J385" s="2101"/>
      <c r="K385" s="2140"/>
      <c r="L385" s="2210" t="s">
        <v>4899</v>
      </c>
      <c r="M385" s="2213">
        <v>3</v>
      </c>
      <c r="N385" s="2146"/>
      <c r="O385" s="2013"/>
      <c r="P385" s="2237"/>
      <c r="Q385" s="2149"/>
      <c r="V385" s="2139"/>
      <c r="AM385" s="2494">
        <v>385</v>
      </c>
    </row>
    <row r="386" spans="1:39" s="2108" customFormat="1" ht="15" customHeight="1">
      <c r="A386" s="2111"/>
      <c r="B386" s="2153"/>
      <c r="C386" s="2163" t="s">
        <v>4931</v>
      </c>
      <c r="D386" s="2163"/>
      <c r="E386" s="2163"/>
      <c r="H386" s="2233" t="s">
        <v>4941</v>
      </c>
      <c r="I386" s="2163"/>
      <c r="J386" s="2102"/>
      <c r="K386" s="2163"/>
      <c r="L386" s="2210" t="s">
        <v>4899</v>
      </c>
      <c r="M386" s="2213">
        <v>3</v>
      </c>
      <c r="N386" s="2146"/>
      <c r="O386" s="2001"/>
      <c r="P386" s="2240"/>
      <c r="Q386" s="2146"/>
      <c r="V386" s="2139"/>
      <c r="AM386" s="2494">
        <v>386</v>
      </c>
    </row>
    <row r="387" spans="1:39" ht="16" customHeight="1">
      <c r="B387" s="2150"/>
      <c r="C387" s="2108" t="s">
        <v>4743</v>
      </c>
      <c r="F387" s="2233" t="s">
        <v>4932</v>
      </c>
      <c r="K387" s="2324" t="str">
        <f>IF(OR($O387="",$O$12="4%"),"","Ineligible!")</f>
        <v/>
      </c>
      <c r="L387" s="2210" t="s">
        <v>4899</v>
      </c>
      <c r="M387" s="2110">
        <v>10</v>
      </c>
      <c r="N387" s="2230"/>
      <c r="O387" s="2050"/>
      <c r="P387" s="2325"/>
      <c r="Q387" s="2148" t="str">
        <f>IF(OR($O387&lt;=$M387,$O387=0,$O387=""),"","*CHECK!*")</f>
        <v/>
      </c>
      <c r="R387" s="2149"/>
      <c r="AM387" s="2493">
        <v>387</v>
      </c>
    </row>
    <row r="388" spans="1:39" ht="16" customHeight="1">
      <c r="A388" s="2111"/>
      <c r="B388" s="2107" t="s">
        <v>1132</v>
      </c>
      <c r="D388" s="2107" t="s">
        <v>4747</v>
      </c>
      <c r="E388" s="2108"/>
      <c r="F388" s="2108"/>
      <c r="G388" s="2108" t="s">
        <v>4124</v>
      </c>
      <c r="H388" s="2108"/>
      <c r="I388" s="2108"/>
      <c r="J388" s="2108" t="s">
        <v>574</v>
      </c>
      <c r="L388" s="2128" t="s">
        <v>4748</v>
      </c>
      <c r="M388" s="3783" t="s">
        <v>4752</v>
      </c>
      <c r="N388" s="3783"/>
      <c r="O388" s="3783"/>
      <c r="P388" s="3783"/>
      <c r="Q388" s="2148"/>
      <c r="AM388" s="2493">
        <v>388</v>
      </c>
    </row>
    <row r="389" spans="1:39" ht="16" customHeight="1">
      <c r="A389" s="2151" t="s">
        <v>1958</v>
      </c>
      <c r="B389" s="3784"/>
      <c r="C389" s="3784"/>
      <c r="D389" s="3784"/>
      <c r="E389" s="3784"/>
      <c r="F389" s="3784"/>
      <c r="G389" s="3784"/>
      <c r="H389" s="3784"/>
      <c r="I389" s="3784"/>
      <c r="J389" s="3784"/>
      <c r="K389" s="3784"/>
      <c r="L389" s="2047"/>
      <c r="M389" s="3785"/>
      <c r="N389" s="3786"/>
      <c r="O389" s="3786"/>
      <c r="P389" s="3787"/>
      <c r="Q389" s="2148"/>
      <c r="AM389" s="2494">
        <v>389</v>
      </c>
    </row>
    <row r="390" spans="1:39" ht="16" customHeight="1">
      <c r="A390" s="2151" t="s">
        <v>1959</v>
      </c>
      <c r="B390" s="3779"/>
      <c r="C390" s="3779"/>
      <c r="D390" s="3779"/>
      <c r="E390" s="3779"/>
      <c r="F390" s="3779"/>
      <c r="G390" s="3779"/>
      <c r="H390" s="3779"/>
      <c r="I390" s="3779"/>
      <c r="J390" s="3779"/>
      <c r="K390" s="3779"/>
      <c r="L390" s="2048"/>
      <c r="M390" s="3780"/>
      <c r="N390" s="3781"/>
      <c r="O390" s="3781"/>
      <c r="P390" s="3782"/>
      <c r="Q390" s="2148"/>
      <c r="AM390" s="2493">
        <v>390</v>
      </c>
    </row>
    <row r="391" spans="1:39" ht="16" customHeight="1">
      <c r="A391" s="2151" t="s">
        <v>1608</v>
      </c>
      <c r="B391" s="3779"/>
      <c r="C391" s="3779"/>
      <c r="D391" s="3779"/>
      <c r="E391" s="3779"/>
      <c r="F391" s="3779"/>
      <c r="G391" s="3779"/>
      <c r="H391" s="3779"/>
      <c r="I391" s="3779"/>
      <c r="J391" s="3779"/>
      <c r="K391" s="3779"/>
      <c r="L391" s="2048"/>
      <c r="M391" s="3780"/>
      <c r="N391" s="3781"/>
      <c r="O391" s="3781"/>
      <c r="P391" s="3782"/>
      <c r="Q391" s="2148"/>
      <c r="AM391" s="2493">
        <v>391</v>
      </c>
    </row>
    <row r="392" spans="1:39" ht="16" customHeight="1">
      <c r="A392" s="2151" t="s">
        <v>3744</v>
      </c>
      <c r="B392" s="3779"/>
      <c r="C392" s="3779"/>
      <c r="D392" s="3779"/>
      <c r="E392" s="3779"/>
      <c r="F392" s="3779"/>
      <c r="G392" s="3779"/>
      <c r="H392" s="3779"/>
      <c r="I392" s="3779"/>
      <c r="J392" s="3779"/>
      <c r="K392" s="3779"/>
      <c r="L392" s="2048"/>
      <c r="M392" s="3780"/>
      <c r="N392" s="3781"/>
      <c r="O392" s="3781"/>
      <c r="P392" s="3782"/>
      <c r="Q392" s="2148"/>
      <c r="AM392" s="2494">
        <v>392</v>
      </c>
    </row>
    <row r="393" spans="1:39" ht="16" customHeight="1">
      <c r="A393" s="2151" t="s">
        <v>4694</v>
      </c>
      <c r="B393" s="3779"/>
      <c r="C393" s="3779"/>
      <c r="D393" s="3779"/>
      <c r="E393" s="3779"/>
      <c r="F393" s="3779"/>
      <c r="G393" s="3779"/>
      <c r="H393" s="3779"/>
      <c r="I393" s="3779"/>
      <c r="J393" s="3779"/>
      <c r="K393" s="3779"/>
      <c r="L393" s="2048"/>
      <c r="M393" s="3780"/>
      <c r="N393" s="3781"/>
      <c r="O393" s="3781"/>
      <c r="P393" s="3782"/>
      <c r="Q393" s="2148"/>
      <c r="AM393" s="2494">
        <v>393</v>
      </c>
    </row>
    <row r="394" spans="1:39" ht="16" customHeight="1">
      <c r="A394" s="2151" t="s">
        <v>4695</v>
      </c>
      <c r="B394" s="3779"/>
      <c r="C394" s="3779"/>
      <c r="D394" s="3779"/>
      <c r="E394" s="3779"/>
      <c r="F394" s="3779"/>
      <c r="G394" s="3779"/>
      <c r="H394" s="3779"/>
      <c r="I394" s="3779"/>
      <c r="J394" s="3779"/>
      <c r="K394" s="3779"/>
      <c r="L394" s="2048"/>
      <c r="M394" s="3780"/>
      <c r="N394" s="3781"/>
      <c r="O394" s="3781"/>
      <c r="P394" s="3782"/>
      <c r="Q394" s="2148"/>
      <c r="AM394" s="2494">
        <v>394</v>
      </c>
    </row>
    <row r="395" spans="1:39" ht="16" customHeight="1">
      <c r="A395" s="2151" t="s">
        <v>4933</v>
      </c>
      <c r="B395" s="3779"/>
      <c r="C395" s="3779"/>
      <c r="D395" s="3779"/>
      <c r="E395" s="3779"/>
      <c r="F395" s="3779"/>
      <c r="G395" s="3779"/>
      <c r="H395" s="3779"/>
      <c r="I395" s="3779"/>
      <c r="J395" s="3779"/>
      <c r="K395" s="3779"/>
      <c r="L395" s="2048"/>
      <c r="M395" s="3780"/>
      <c r="N395" s="3781"/>
      <c r="O395" s="3781"/>
      <c r="P395" s="3782"/>
      <c r="Q395" s="2148"/>
      <c r="AM395" s="2494">
        <v>395</v>
      </c>
    </row>
    <row r="396" spans="1:39" ht="16" customHeight="1">
      <c r="A396" s="2151" t="s">
        <v>4934</v>
      </c>
      <c r="B396" s="3779"/>
      <c r="C396" s="3779"/>
      <c r="D396" s="3779"/>
      <c r="E396" s="3779"/>
      <c r="F396" s="3779"/>
      <c r="G396" s="3779"/>
      <c r="H396" s="3779"/>
      <c r="I396" s="3779"/>
      <c r="J396" s="3779"/>
      <c r="K396" s="3779"/>
      <c r="L396" s="2048"/>
      <c r="M396" s="3780"/>
      <c r="N396" s="3781"/>
      <c r="O396" s="3781"/>
      <c r="P396" s="3782"/>
      <c r="Q396" s="2148"/>
      <c r="AM396" s="2493">
        <v>396</v>
      </c>
    </row>
    <row r="397" spans="1:39">
      <c r="A397" s="2151" t="s">
        <v>4907</v>
      </c>
      <c r="B397" s="3779"/>
      <c r="C397" s="3779"/>
      <c r="D397" s="3779"/>
      <c r="E397" s="3779"/>
      <c r="F397" s="3779"/>
      <c r="G397" s="3779"/>
      <c r="H397" s="3779"/>
      <c r="I397" s="3779"/>
      <c r="J397" s="3779"/>
      <c r="K397" s="3779"/>
      <c r="L397" s="2048"/>
      <c r="M397" s="3780"/>
      <c r="N397" s="3781"/>
      <c r="O397" s="3781"/>
      <c r="P397" s="3782"/>
      <c r="AM397" s="2494">
        <v>397</v>
      </c>
    </row>
    <row r="398" spans="1:39" ht="16" customHeight="1">
      <c r="A398" s="2151" t="s">
        <v>4935</v>
      </c>
      <c r="B398" s="3772"/>
      <c r="C398" s="3772"/>
      <c r="D398" s="3772"/>
      <c r="E398" s="3772"/>
      <c r="F398" s="3772"/>
      <c r="G398" s="3772"/>
      <c r="H398" s="3772"/>
      <c r="I398" s="3772"/>
      <c r="J398" s="3772"/>
      <c r="K398" s="3772"/>
      <c r="L398" s="2049"/>
      <c r="M398" s="3773"/>
      <c r="N398" s="3774"/>
      <c r="O398" s="3774"/>
      <c r="P398" s="3775"/>
      <c r="Q398" s="2148"/>
      <c r="AM398" s="2493">
        <v>398</v>
      </c>
    </row>
    <row r="399" spans="1:39" s="2163" customFormat="1" ht="16" customHeight="1">
      <c r="A399" s="2258"/>
      <c r="B399" s="2153"/>
      <c r="C399" s="2163" t="s">
        <v>4744</v>
      </c>
      <c r="D399" s="2265"/>
      <c r="E399" s="2265"/>
      <c r="F399" s="2233" t="s">
        <v>4932</v>
      </c>
      <c r="H399" s="2233" t="s">
        <v>4940</v>
      </c>
      <c r="I399" s="2265"/>
      <c r="J399" s="2101"/>
      <c r="K399" s="2324" t="str">
        <f>IF(OR($O399="",$O$12="4%"),"","Ineligible!")</f>
        <v/>
      </c>
      <c r="L399" s="2210" t="s">
        <v>4899</v>
      </c>
      <c r="M399" s="2110">
        <v>6</v>
      </c>
      <c r="N399" s="2230"/>
      <c r="O399" s="2050"/>
      <c r="P399" s="2325"/>
      <c r="Q399" s="2148" t="str">
        <f>IF(OR($O399&lt;=$M399,$O399=0,$O399=""),"","*CHECK!*")</f>
        <v/>
      </c>
      <c r="AM399" s="2493">
        <v>399</v>
      </c>
    </row>
    <row r="400" spans="1:39" ht="16" customHeight="1">
      <c r="A400" s="2108"/>
      <c r="B400" s="2130" t="s">
        <v>4850</v>
      </c>
      <c r="C400" s="2108"/>
      <c r="D400" s="2108"/>
      <c r="E400" s="2108"/>
      <c r="F400" s="2108"/>
      <c r="G400" s="2108"/>
      <c r="H400" s="2108"/>
      <c r="I400" s="2108"/>
      <c r="J400" s="2108"/>
      <c r="K400" s="2108"/>
      <c r="M400" s="2110"/>
      <c r="O400" s="2121"/>
      <c r="AM400" s="2493">
        <v>400</v>
      </c>
    </row>
    <row r="401" spans="1:39" ht="16" customHeight="1">
      <c r="A401" s="3776"/>
      <c r="B401" s="3777"/>
      <c r="C401" s="3777"/>
      <c r="D401" s="3777"/>
      <c r="E401" s="3777"/>
      <c r="F401" s="3777"/>
      <c r="G401" s="3777"/>
      <c r="H401" s="3777"/>
      <c r="I401" s="3777"/>
      <c r="J401" s="3777"/>
      <c r="K401" s="3777"/>
      <c r="L401" s="3777"/>
      <c r="M401" s="3777"/>
      <c r="N401" s="3777"/>
      <c r="O401" s="3777"/>
      <c r="P401" s="3778"/>
      <c r="Q401" s="2191"/>
      <c r="R401" s="2191"/>
      <c r="AM401" s="2493">
        <v>401</v>
      </c>
    </row>
    <row r="402" spans="1:39" s="2108" customFormat="1" ht="16" customHeight="1">
      <c r="A402" s="2130"/>
      <c r="B402" s="2130" t="s">
        <v>1725</v>
      </c>
      <c r="D402" s="2130"/>
      <c r="E402" s="2158"/>
      <c r="F402" s="2158"/>
      <c r="G402" s="2158"/>
      <c r="H402" s="2158"/>
      <c r="I402" s="2158"/>
      <c r="J402" s="2158"/>
      <c r="K402" s="2158"/>
      <c r="L402" s="2158"/>
      <c r="M402" s="2158"/>
      <c r="N402" s="2221"/>
      <c r="O402" s="2136"/>
      <c r="P402" s="2111"/>
      <c r="AM402" s="2494">
        <v>402</v>
      </c>
    </row>
    <row r="403" spans="1:39" ht="16" customHeight="1">
      <c r="A403" s="3756"/>
      <c r="B403" s="3757"/>
      <c r="C403" s="3757"/>
      <c r="D403" s="3757"/>
      <c r="E403" s="3757"/>
      <c r="F403" s="3757"/>
      <c r="G403" s="3757"/>
      <c r="H403" s="3757"/>
      <c r="I403" s="3757"/>
      <c r="J403" s="3757"/>
      <c r="K403" s="3757"/>
      <c r="L403" s="3757"/>
      <c r="M403" s="3757"/>
      <c r="N403" s="3757"/>
      <c r="O403" s="3757"/>
      <c r="P403" s="3758"/>
      <c r="Q403" s="2191"/>
      <c r="R403" s="2191"/>
      <c r="AM403" s="2494">
        <v>403</v>
      </c>
    </row>
    <row r="404" spans="1:39" ht="10.5" customHeight="1">
      <c r="A404" s="2108"/>
      <c r="B404" s="2108"/>
      <c r="C404" s="2160"/>
      <c r="D404" s="2160"/>
      <c r="E404" s="2160"/>
      <c r="F404" s="2160"/>
      <c r="G404" s="2160"/>
      <c r="H404" s="2160"/>
      <c r="I404" s="2160"/>
      <c r="J404" s="2160"/>
      <c r="K404" s="2160"/>
      <c r="L404" s="2160"/>
      <c r="M404" s="2160"/>
      <c r="N404" s="2172"/>
      <c r="O404" s="2173"/>
      <c r="P404" s="2111"/>
      <c r="Q404" s="3759" t="s">
        <v>5003</v>
      </c>
      <c r="R404" s="3760"/>
      <c r="S404" s="3760"/>
      <c r="T404" s="3760"/>
      <c r="U404" s="3760"/>
      <c r="V404" s="3760"/>
      <c r="W404" s="3760"/>
      <c r="X404" s="3760"/>
      <c r="Y404" s="3760"/>
      <c r="Z404" s="3760"/>
      <c r="AA404" s="3760"/>
      <c r="AB404" s="3760"/>
      <c r="AC404" s="3760"/>
      <c r="AD404" s="3760"/>
      <c r="AE404" s="3760"/>
      <c r="AF404" s="3760"/>
      <c r="AM404" s="2494">
        <v>404</v>
      </c>
    </row>
    <row r="405" spans="1:39" ht="10.5" customHeight="1">
      <c r="A405" s="2108"/>
      <c r="B405" s="2108"/>
      <c r="C405" s="2160"/>
      <c r="D405" s="2160"/>
      <c r="E405" s="2160"/>
      <c r="F405" s="2160"/>
      <c r="G405" s="2160"/>
      <c r="H405" s="2160"/>
      <c r="I405" s="2160"/>
      <c r="J405" s="2160"/>
      <c r="K405" s="2160"/>
      <c r="L405" s="2160"/>
      <c r="M405" s="2160"/>
      <c r="N405" s="2172"/>
      <c r="O405" s="2173"/>
      <c r="P405" s="2111"/>
      <c r="Q405" s="3759"/>
      <c r="R405" s="3760"/>
      <c r="S405" s="3760"/>
      <c r="T405" s="3760"/>
      <c r="U405" s="3760"/>
      <c r="V405" s="3760"/>
      <c r="W405" s="3760"/>
      <c r="X405" s="3760"/>
      <c r="Y405" s="3760"/>
      <c r="Z405" s="3760"/>
      <c r="AA405" s="3760"/>
      <c r="AB405" s="3760"/>
      <c r="AC405" s="3760"/>
      <c r="AD405" s="3760"/>
      <c r="AE405" s="3760"/>
      <c r="AF405" s="3760"/>
      <c r="AM405" s="2494">
        <v>405</v>
      </c>
    </row>
    <row r="406" spans="1:39" ht="16" customHeight="1" thickBot="1">
      <c r="Q406" s="3759"/>
      <c r="R406" s="3760"/>
      <c r="S406" s="3760"/>
      <c r="T406" s="3760"/>
      <c r="U406" s="3760"/>
      <c r="V406" s="3760"/>
      <c r="W406" s="3760"/>
      <c r="X406" s="3760"/>
      <c r="Y406" s="3760"/>
      <c r="Z406" s="3760"/>
      <c r="AA406" s="3760"/>
      <c r="AB406" s="3760"/>
      <c r="AC406" s="3760"/>
      <c r="AD406" s="3760"/>
      <c r="AE406" s="3760"/>
      <c r="AF406" s="3760"/>
      <c r="AM406" s="2493">
        <v>406</v>
      </c>
    </row>
    <row r="407" spans="1:39" s="2108" customFormat="1" ht="16" customHeight="1" thickTop="1" thickBot="1">
      <c r="A407" s="2119" t="s">
        <v>401</v>
      </c>
      <c r="B407" s="2107"/>
      <c r="D407" s="2107"/>
      <c r="E407" s="2107"/>
      <c r="F407" s="2107"/>
      <c r="M407" s="2027"/>
      <c r="N407" s="2122"/>
      <c r="O407" s="2123">
        <f>IF(AND($F$12="New Affordability",$O$12="9%"),$AV$449,IF(AND($F$12="New Affordability",$O$12="4%"),$AW$449,IF(AND($F$12="Preservation",$O$12="9%"),$AX$449,IF(AND($F$12="Preservation",$O$12="4%"),$AY$449,0))))</f>
        <v>0</v>
      </c>
      <c r="P407" s="2445">
        <f>IF(AND($F$12="New Affordability",$O$12="9%"),$AZ$449,IF(AND($F$12="New Affordability",$O$12="4%"),$BA$449,IF(AND($F$12="Preservation",$O$12="9%"),$BB$449,IF(AND($F$12="Preservation",$O$12="4%"),$BC$449,0))))</f>
        <v>0</v>
      </c>
      <c r="Q407" s="3759"/>
      <c r="R407" s="3760"/>
      <c r="S407" s="3760"/>
      <c r="T407" s="3760"/>
      <c r="U407" s="3760"/>
      <c r="V407" s="3760"/>
      <c r="W407" s="3760"/>
      <c r="X407" s="3760"/>
      <c r="Y407" s="3760"/>
      <c r="Z407" s="3760"/>
      <c r="AA407" s="3760"/>
      <c r="AB407" s="3760"/>
      <c r="AC407" s="3760"/>
      <c r="AD407" s="3760"/>
      <c r="AE407" s="3760"/>
      <c r="AF407" s="3760"/>
      <c r="AM407" s="2494">
        <v>407</v>
      </c>
    </row>
    <row r="408" spans="1:39" ht="7.5" customHeight="1" thickTop="1">
      <c r="A408" s="2108"/>
      <c r="C408" s="2160"/>
      <c r="D408" s="2160"/>
      <c r="E408" s="2160"/>
      <c r="F408" s="2160"/>
      <c r="G408" s="2160"/>
      <c r="H408" s="2160"/>
      <c r="I408" s="2160"/>
      <c r="J408" s="2160"/>
      <c r="K408" s="2160"/>
      <c r="L408" s="2160"/>
      <c r="M408" s="2160"/>
      <c r="N408" s="2160"/>
      <c r="O408" s="2160"/>
      <c r="P408" s="2160"/>
      <c r="Q408" s="3759"/>
      <c r="R408" s="3760"/>
      <c r="S408" s="3760"/>
      <c r="T408" s="3760"/>
      <c r="U408" s="3760"/>
      <c r="V408" s="3760"/>
      <c r="W408" s="3760"/>
      <c r="X408" s="3760"/>
      <c r="Y408" s="3760"/>
      <c r="Z408" s="3760"/>
      <c r="AA408" s="3760"/>
      <c r="AB408" s="3760"/>
      <c r="AC408" s="3760"/>
      <c r="AD408" s="3760"/>
      <c r="AE408" s="3760"/>
      <c r="AF408" s="3760"/>
      <c r="AM408" s="2493">
        <v>408</v>
      </c>
    </row>
    <row r="409" spans="1:39" ht="7.5" customHeight="1">
      <c r="F409" s="2140"/>
      <c r="G409" s="2140"/>
      <c r="H409" s="2111"/>
      <c r="I409" s="2111"/>
      <c r="N409" s="2111"/>
      <c r="O409" s="2111"/>
      <c r="P409" s="2121"/>
      <c r="Q409" s="3759"/>
      <c r="R409" s="3760"/>
      <c r="S409" s="3760"/>
      <c r="T409" s="3760"/>
      <c r="U409" s="3760"/>
      <c r="V409" s="3760"/>
      <c r="W409" s="3760"/>
      <c r="X409" s="3760"/>
      <c r="Y409" s="3760"/>
      <c r="Z409" s="3760"/>
      <c r="AA409" s="3760"/>
      <c r="AB409" s="3760"/>
      <c r="AC409" s="3760"/>
      <c r="AD409" s="3760"/>
      <c r="AE409" s="3760"/>
      <c r="AF409" s="3760"/>
      <c r="AM409" s="2493">
        <v>409</v>
      </c>
    </row>
    <row r="410" spans="1:39" ht="34" customHeight="1">
      <c r="A410" s="3761" t="s">
        <v>5038</v>
      </c>
      <c r="B410" s="3761"/>
      <c r="C410" s="3761"/>
      <c r="D410" s="3761"/>
      <c r="E410" s="3761"/>
      <c r="F410" s="3761"/>
      <c r="G410" s="3761"/>
      <c r="H410" s="3761"/>
      <c r="I410" s="3761"/>
      <c r="J410" s="3761"/>
      <c r="K410" s="3761"/>
      <c r="L410" s="3761"/>
      <c r="M410" s="3761"/>
      <c r="N410" s="3761"/>
      <c r="O410" s="3761"/>
      <c r="P410" s="3761"/>
      <c r="Q410" s="3759"/>
      <c r="R410" s="3760"/>
      <c r="S410" s="3760"/>
      <c r="T410" s="3760"/>
      <c r="U410" s="3760"/>
      <c r="V410" s="3760"/>
      <c r="W410" s="3760"/>
      <c r="X410" s="3760"/>
      <c r="Y410" s="3760"/>
      <c r="Z410" s="3760"/>
      <c r="AA410" s="3760"/>
      <c r="AB410" s="3760"/>
      <c r="AC410" s="3760"/>
      <c r="AD410" s="3760"/>
      <c r="AE410" s="3760"/>
      <c r="AF410" s="3760"/>
      <c r="AM410" s="2493">
        <v>410</v>
      </c>
    </row>
    <row r="411" spans="1:39" ht="409.15" customHeight="1">
      <c r="A411" s="3762"/>
      <c r="B411" s="3763"/>
      <c r="C411" s="3763"/>
      <c r="D411" s="3763"/>
      <c r="E411" s="3763"/>
      <c r="F411" s="3763"/>
      <c r="G411" s="3763"/>
      <c r="H411" s="3763"/>
      <c r="I411" s="3763"/>
      <c r="J411" s="3763"/>
      <c r="K411" s="3763"/>
      <c r="L411" s="3763"/>
      <c r="M411" s="3763"/>
      <c r="N411" s="3763"/>
      <c r="O411" s="3763"/>
      <c r="P411" s="3764"/>
      <c r="Q411" s="2125"/>
      <c r="R411" s="2125"/>
      <c r="S411" s="2125"/>
      <c r="T411" s="2125"/>
      <c r="U411" s="2125"/>
      <c r="V411" s="2125"/>
      <c r="W411" s="2125"/>
      <c r="X411" s="2125"/>
      <c r="Y411" s="2125"/>
      <c r="AM411" s="2495">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6"/>
      <c r="U412" s="2126"/>
      <c r="V412" s="2126"/>
      <c r="W412" s="2126"/>
      <c r="X412" s="2126"/>
      <c r="Y412" s="2126"/>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4"/>
      <c r="AT418" s="2114"/>
      <c r="AU418" s="2108"/>
      <c r="AV418" s="3765" t="s">
        <v>4462</v>
      </c>
      <c r="AW418" s="3765"/>
      <c r="AX418" s="3765"/>
      <c r="AY418" s="3765"/>
      <c r="AZ418" s="3765"/>
      <c r="BA418" s="3765"/>
      <c r="BB418" s="3765"/>
      <c r="BC418" s="3765"/>
      <c r="BD418" s="2108"/>
      <c r="BE418" s="2108"/>
      <c r="BF418" s="2108"/>
    </row>
    <row r="419" spans="2:58" ht="14.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4"/>
      <c r="AQ419" s="2114"/>
      <c r="AR419" s="2108"/>
      <c r="AS419" s="2108"/>
      <c r="AT419" s="2108"/>
      <c r="AU419" s="2108"/>
      <c r="AV419" s="3766" t="s">
        <v>4463</v>
      </c>
      <c r="AW419" s="3767"/>
      <c r="AX419" s="3767"/>
      <c r="AY419" s="3768"/>
      <c r="AZ419" s="3769" t="s">
        <v>4464</v>
      </c>
      <c r="BA419" s="3770"/>
      <c r="BB419" s="3770"/>
      <c r="BC419" s="377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2" t="s">
        <v>688</v>
      </c>
      <c r="AB420" s="2463" t="s">
        <v>4042</v>
      </c>
      <c r="AC420" s="2028"/>
      <c r="AD420" s="2028"/>
      <c r="AE420" s="2028"/>
      <c r="AF420" s="2028"/>
      <c r="AG420" s="2028"/>
      <c r="AH420" s="2028"/>
      <c r="AI420" s="2028"/>
      <c r="AJ420" s="2028"/>
      <c r="AK420" s="2028"/>
      <c r="AL420" s="2028"/>
      <c r="AM420" s="2017"/>
      <c r="AN420" s="2028"/>
      <c r="AV420" s="2326"/>
      <c r="AW420" s="2326"/>
      <c r="AX420" s="2326"/>
      <c r="AY420" s="2326"/>
      <c r="AZ420" s="2326"/>
      <c r="BA420" s="2326"/>
      <c r="BB420" s="2326"/>
      <c r="BC420" s="2326"/>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9" t="s">
        <v>4770</v>
      </c>
      <c r="AH421" s="3749"/>
      <c r="AI421" s="3749" t="s">
        <v>4407</v>
      </c>
      <c r="AJ421" s="3749"/>
      <c r="AK421" s="3752" t="s">
        <v>4043</v>
      </c>
      <c r="AL421" s="3752"/>
      <c r="AM421" s="3752"/>
      <c r="AN421" s="3752"/>
      <c r="AP421" s="2133"/>
      <c r="AQ421" s="2132" t="s">
        <v>4042</v>
      </c>
      <c r="AR421" s="2133"/>
      <c r="AS421" s="2133"/>
      <c r="AT421" s="2133"/>
      <c r="AV421" s="3753" t="s">
        <v>4770</v>
      </c>
      <c r="AW421" s="3754"/>
      <c r="AX421" s="3753" t="s">
        <v>4407</v>
      </c>
      <c r="AY421" s="3754"/>
      <c r="AZ421" s="3755" t="s">
        <v>4770</v>
      </c>
      <c r="BA421" s="3755"/>
      <c r="BB421" s="3747" t="s">
        <v>4407</v>
      </c>
      <c r="BC421" s="3748"/>
    </row>
    <row r="422" spans="2:58" ht="29">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4">
        <v>0.09</v>
      </c>
      <c r="AH422" s="2464" t="s">
        <v>4753</v>
      </c>
      <c r="AI422" s="2464">
        <v>0.09</v>
      </c>
      <c r="AJ422" s="2464" t="s">
        <v>4753</v>
      </c>
      <c r="AK422" s="3749" t="str">
        <f>'Part I-Project Identification'!F12</f>
        <v>&lt;&lt; Select an Application Type &gt;&gt;</v>
      </c>
      <c r="AL422" s="3749"/>
      <c r="AM422" s="3749"/>
      <c r="AN422" s="3749"/>
      <c r="AQ422" s="2108"/>
      <c r="AV422" s="2327">
        <v>0.09</v>
      </c>
      <c r="AW422" s="2327" t="s">
        <v>4753</v>
      </c>
      <c r="AX422" s="2327">
        <v>0.09</v>
      </c>
      <c r="AY422" s="2327" t="s">
        <v>4753</v>
      </c>
      <c r="AZ422" s="2328">
        <v>0.09</v>
      </c>
      <c r="BA422" s="2328" t="s">
        <v>4753</v>
      </c>
      <c r="BB422" s="2328">
        <v>0.09</v>
      </c>
      <c r="BC422" s="2328" t="s">
        <v>4753</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5"/>
      <c r="AB423" s="1998"/>
      <c r="AC423" s="2028"/>
      <c r="AD423" s="2028"/>
      <c r="AE423" s="2028"/>
      <c r="AF423" s="2028"/>
      <c r="AG423" s="2466"/>
      <c r="AH423" s="2466"/>
      <c r="AI423" s="2466"/>
      <c r="AJ423" s="2466"/>
      <c r="AK423" s="2028"/>
      <c r="AL423" s="2028"/>
      <c r="AM423" s="2017"/>
      <c r="AN423" s="2028"/>
      <c r="AP423" s="2146"/>
      <c r="AQ423" s="2311"/>
      <c r="AR423" s="2311"/>
      <c r="AS423" s="2311"/>
      <c r="AT423" s="2311"/>
      <c r="AU423" s="2311"/>
      <c r="AV423" s="2330"/>
      <c r="AW423" s="2331"/>
      <c r="AX423" s="2332"/>
      <c r="AY423" s="2333"/>
      <c r="AZ423" s="2334"/>
      <c r="BA423" s="2335"/>
      <c r="BB423" s="2336"/>
      <c r="BC423" s="2335"/>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5" t="s">
        <v>690</v>
      </c>
      <c r="AB424" s="1998" t="s">
        <v>3683</v>
      </c>
      <c r="AC424" s="2028"/>
      <c r="AD424" s="2028"/>
      <c r="AE424" s="2028"/>
      <c r="AF424" s="2028"/>
      <c r="AG424" s="2466">
        <f>$M$20</f>
        <v>6</v>
      </c>
      <c r="AH424" s="2466">
        <f>$M$20</f>
        <v>6</v>
      </c>
      <c r="AI424" s="2466">
        <f>$M$20</f>
        <v>6</v>
      </c>
      <c r="AJ424" s="2466">
        <f>$M$20</f>
        <v>6</v>
      </c>
      <c r="AK424" s="2028"/>
      <c r="AL424" s="2028"/>
      <c r="AM424" s="2017"/>
      <c r="AN424" s="2028"/>
      <c r="AP424" s="2146" t="s">
        <v>690</v>
      </c>
      <c r="AQ424" s="2337" t="s">
        <v>3683</v>
      </c>
      <c r="AR424" s="2329"/>
      <c r="AS424" s="2329"/>
      <c r="AT424" s="2329"/>
      <c r="AU424" s="2329"/>
      <c r="AV424" s="2330">
        <f>$O$20</f>
        <v>0</v>
      </c>
      <c r="AW424" s="2331">
        <f>$O$20</f>
        <v>0</v>
      </c>
      <c r="AX424" s="2338">
        <f>$O$20</f>
        <v>0</v>
      </c>
      <c r="AY424" s="2339">
        <f>$O$20</f>
        <v>0</v>
      </c>
      <c r="AZ424" s="2340">
        <f>$P$20</f>
        <v>0</v>
      </c>
      <c r="BA424" s="2341">
        <f>$P$20</f>
        <v>0</v>
      </c>
      <c r="BB424" s="2342">
        <f>$P$20</f>
        <v>0</v>
      </c>
      <c r="BC424" s="2341">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5" t="s">
        <v>1661</v>
      </c>
      <c r="AB425" s="1998" t="s">
        <v>4449</v>
      </c>
      <c r="AC425" s="2028"/>
      <c r="AD425" s="2028"/>
      <c r="AE425" s="2028"/>
      <c r="AF425" s="2028"/>
      <c r="AG425" s="2466">
        <f>$M$37</f>
        <v>2</v>
      </c>
      <c r="AH425" s="2466">
        <f>$M$37</f>
        <v>2</v>
      </c>
      <c r="AI425" s="2466">
        <f>$M$37</f>
        <v>2</v>
      </c>
      <c r="AJ425" s="2466">
        <f>$M$37</f>
        <v>2</v>
      </c>
      <c r="AK425" s="1997" t="s">
        <v>4044</v>
      </c>
      <c r="AL425" s="2028"/>
      <c r="AM425" s="2017"/>
      <c r="AN425" s="2467" t="str">
        <f>IF(OR($AK$422="9% Credit Competitive Round only", $AK$422="9% Credit &amp; HOME"),"9%",IF(OR($AK$422="4% Credit/TE Bond", $AK$422="4% Credit/TE Bond &amp; HOME", $AK$422="4% Credit/TE Bond &amp; HOME NOFA", $AK$422="4% Credit &amp; NHTF", $AK$422="4% Credit &amp; NHTF &amp; HOME"),"4%",""))</f>
        <v/>
      </c>
      <c r="AP425" s="2146" t="s">
        <v>1661</v>
      </c>
      <c r="AQ425" s="2337" t="s">
        <v>4449</v>
      </c>
      <c r="AR425" s="2343"/>
      <c r="AS425" s="2343"/>
      <c r="AT425" s="2343"/>
      <c r="AU425" s="2343"/>
      <c r="AV425" s="2338">
        <f>$O$37</f>
        <v>0</v>
      </c>
      <c r="AW425" s="2345">
        <f>$O$37</f>
        <v>0</v>
      </c>
      <c r="AX425" s="2338">
        <f>$O$37</f>
        <v>0</v>
      </c>
      <c r="AY425" s="2339">
        <f>$O$37</f>
        <v>0</v>
      </c>
      <c r="AZ425" s="2340">
        <f>$P$37</f>
        <v>0</v>
      </c>
      <c r="BA425" s="2341">
        <f>$P$37</f>
        <v>0</v>
      </c>
      <c r="BB425" s="2342">
        <f>$P$37</f>
        <v>0</v>
      </c>
      <c r="BC425" s="2341">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5" t="s">
        <v>1663</v>
      </c>
      <c r="AB426" s="1998" t="s">
        <v>3312</v>
      </c>
      <c r="AC426" s="2028"/>
      <c r="AD426" s="2028"/>
      <c r="AE426" s="2028"/>
      <c r="AF426" s="2028"/>
      <c r="AG426" s="2468">
        <f>$M$55</f>
        <v>5</v>
      </c>
      <c r="AH426" s="2466">
        <f>$M$55</f>
        <v>5</v>
      </c>
      <c r="AI426" s="2466">
        <f>$M$55</f>
        <v>5</v>
      </c>
      <c r="AJ426" s="2466">
        <f>$M$55</f>
        <v>5</v>
      </c>
      <c r="AK426" s="2028"/>
      <c r="AL426" s="2028"/>
      <c r="AM426" s="2017"/>
      <c r="AN426" s="2028"/>
      <c r="AP426" s="2146" t="s">
        <v>1663</v>
      </c>
      <c r="AQ426" s="2337" t="s">
        <v>3312</v>
      </c>
      <c r="AR426" s="2343"/>
      <c r="AS426" s="2343"/>
      <c r="AT426" s="2343"/>
      <c r="AU426" s="2343"/>
      <c r="AV426" s="2346">
        <f>$O$55</f>
        <v>0</v>
      </c>
      <c r="AW426" s="2347">
        <f>$O$55</f>
        <v>0</v>
      </c>
      <c r="AX426" s="2348">
        <f>$O$55</f>
        <v>0</v>
      </c>
      <c r="AY426" s="2349">
        <f>$O$55</f>
        <v>0</v>
      </c>
      <c r="AZ426" s="2350">
        <f>$P$55</f>
        <v>0</v>
      </c>
      <c r="BA426" s="2351">
        <f>$P$55</f>
        <v>0</v>
      </c>
      <c r="BB426" s="2352">
        <f>$P$55</f>
        <v>0</v>
      </c>
      <c r="BC426" s="2353">
        <f>$P$55</f>
        <v>0</v>
      </c>
    </row>
    <row r="427" spans="2:58">
      <c r="B427" s="2028"/>
      <c r="C427" s="2031" t="s">
        <v>1974</v>
      </c>
      <c r="D427" s="2028"/>
      <c r="E427" s="2028"/>
      <c r="F427" s="2028"/>
      <c r="G427" s="2028"/>
      <c r="H427" s="2028"/>
      <c r="I427" s="2028"/>
      <c r="J427" s="2032" t="s">
        <v>2955</v>
      </c>
      <c r="K427" s="2028"/>
      <c r="L427" s="2028"/>
      <c r="M427" s="2028"/>
      <c r="N427" s="2017"/>
      <c r="O427" s="2032" t="s">
        <v>3170</v>
      </c>
      <c r="P427" s="2030"/>
      <c r="Q427" s="2028"/>
      <c r="R427" s="2028"/>
      <c r="S427" s="2028"/>
      <c r="AA427" s="2465" t="s">
        <v>495</v>
      </c>
      <c r="AB427" s="1998" t="s">
        <v>4036</v>
      </c>
      <c r="AC427" s="2028"/>
      <c r="AD427" s="2028"/>
      <c r="AE427" s="2028"/>
      <c r="AF427" s="2028"/>
      <c r="AG427" s="2466">
        <f>$M$89</f>
        <v>10</v>
      </c>
      <c r="AH427" s="2466">
        <f>$M$89</f>
        <v>10</v>
      </c>
      <c r="AI427" s="2466">
        <f>$M$89</f>
        <v>10</v>
      </c>
      <c r="AJ427" s="2466">
        <f>$M$89</f>
        <v>10</v>
      </c>
      <c r="AK427" s="2028"/>
      <c r="AL427" s="2028"/>
      <c r="AM427" s="2017"/>
      <c r="AN427" s="2028"/>
      <c r="AP427" s="2146" t="s">
        <v>495</v>
      </c>
      <c r="AQ427" s="2337" t="s">
        <v>4036</v>
      </c>
      <c r="AR427" s="2343"/>
      <c r="AS427" s="2343"/>
      <c r="AT427" s="2343"/>
      <c r="AU427" s="2343"/>
      <c r="AV427" s="2338">
        <f>$O$89</f>
        <v>10</v>
      </c>
      <c r="AW427" s="2345">
        <f>$O$89</f>
        <v>10</v>
      </c>
      <c r="AX427" s="2338">
        <f>$O$89</f>
        <v>10</v>
      </c>
      <c r="AY427" s="2339">
        <f>$O$89</f>
        <v>10</v>
      </c>
      <c r="AZ427" s="2340">
        <f>$P$89</f>
        <v>10</v>
      </c>
      <c r="BA427" s="2341">
        <f>$P$89</f>
        <v>10</v>
      </c>
      <c r="BB427" s="2352">
        <f>$P$89</f>
        <v>10</v>
      </c>
      <c r="BC427" s="2353">
        <f>$P$89</f>
        <v>10</v>
      </c>
    </row>
    <row r="428" spans="2:58">
      <c r="B428" s="2028"/>
      <c r="C428" s="2031" t="s">
        <v>1309</v>
      </c>
      <c r="D428" s="2028"/>
      <c r="E428" s="2028"/>
      <c r="F428" s="2028"/>
      <c r="G428" s="2028"/>
      <c r="H428" s="2028"/>
      <c r="I428" s="2028"/>
      <c r="J428" s="2029" t="s">
        <v>2956</v>
      </c>
      <c r="K428" s="2028"/>
      <c r="L428" s="2028"/>
      <c r="M428" s="2028"/>
      <c r="N428" s="2017"/>
      <c r="O428" s="2030"/>
      <c r="P428" s="2030"/>
      <c r="Q428" s="2028"/>
      <c r="R428" s="2028"/>
      <c r="S428" s="2028"/>
      <c r="AA428" s="2465" t="s">
        <v>719</v>
      </c>
      <c r="AB428" s="1998" t="s">
        <v>4450</v>
      </c>
      <c r="AC428" s="2028"/>
      <c r="AD428" s="2028"/>
      <c r="AE428" s="2028"/>
      <c r="AF428" s="2028"/>
      <c r="AG428" s="2466">
        <f>$M$100</f>
        <v>5</v>
      </c>
      <c r="AH428" s="2466">
        <f>$M$100</f>
        <v>5</v>
      </c>
      <c r="AI428" s="2466">
        <f>$M$100</f>
        <v>5</v>
      </c>
      <c r="AJ428" s="2466">
        <f>$M$100</f>
        <v>5</v>
      </c>
      <c r="AK428" s="3750" t="s">
        <v>4461</v>
      </c>
      <c r="AL428" s="3750"/>
      <c r="AM428" s="3750"/>
      <c r="AN428" s="3750"/>
      <c r="AP428" s="2146" t="s">
        <v>719</v>
      </c>
      <c r="AQ428" s="2337" t="s">
        <v>4450</v>
      </c>
      <c r="AR428" s="2343"/>
      <c r="AS428" s="2343"/>
      <c r="AT428" s="2343"/>
      <c r="AU428" s="2343"/>
      <c r="AV428" s="2338">
        <f>$O$100</f>
        <v>2</v>
      </c>
      <c r="AW428" s="2354">
        <f>$O$100</f>
        <v>2</v>
      </c>
      <c r="AX428" s="2348">
        <f>$O$100</f>
        <v>2</v>
      </c>
      <c r="AY428" s="2349">
        <f>$O$100</f>
        <v>2</v>
      </c>
      <c r="AZ428" s="2340">
        <f>$P$100</f>
        <v>2</v>
      </c>
      <c r="BA428" s="2353">
        <f>$P$100</f>
        <v>2</v>
      </c>
      <c r="BB428" s="2352">
        <f>$P$100</f>
        <v>2</v>
      </c>
      <c r="BC428" s="2353">
        <f>$P$100</f>
        <v>2</v>
      </c>
    </row>
    <row r="429" spans="2:58">
      <c r="B429" s="2028"/>
      <c r="C429" s="2031" t="s">
        <v>2103</v>
      </c>
      <c r="D429" s="2028"/>
      <c r="E429" s="2028"/>
      <c r="F429" s="2028"/>
      <c r="G429" s="2028"/>
      <c r="H429" s="2028"/>
      <c r="I429" s="2028"/>
      <c r="J429" s="2028" t="s">
        <v>2940</v>
      </c>
      <c r="K429" s="2028"/>
      <c r="L429" s="2028"/>
      <c r="M429" s="2028"/>
      <c r="N429" s="2017"/>
      <c r="O429" s="2030">
        <v>2</v>
      </c>
      <c r="P429" s="2030"/>
      <c r="Q429" s="2028"/>
      <c r="R429" s="2028"/>
      <c r="S429" s="2028"/>
      <c r="AA429" s="2465" t="s">
        <v>280</v>
      </c>
      <c r="AB429" s="2028" t="s">
        <v>4839</v>
      </c>
      <c r="AC429" s="2028"/>
      <c r="AD429" s="2028"/>
      <c r="AE429" s="2028"/>
      <c r="AF429" s="2028"/>
      <c r="AG429" s="2466">
        <f>$M$117</f>
        <v>13</v>
      </c>
      <c r="AH429" s="2466">
        <f>$M$117</f>
        <v>13</v>
      </c>
      <c r="AI429" s="2466">
        <f>$M$117</f>
        <v>13</v>
      </c>
      <c r="AJ429" s="2466">
        <f>$M$117</f>
        <v>13</v>
      </c>
      <c r="AK429" s="3750"/>
      <c r="AL429" s="3750"/>
      <c r="AM429" s="3750"/>
      <c r="AN429" s="3750"/>
      <c r="AP429" s="2146" t="s">
        <v>280</v>
      </c>
      <c r="AQ429" s="2337" t="s">
        <v>4839</v>
      </c>
      <c r="AR429" s="2343"/>
      <c r="AS429" s="2343"/>
      <c r="AT429" s="2343"/>
      <c r="AU429" s="2343"/>
      <c r="AV429" s="2338">
        <f>$O$117</f>
        <v>0</v>
      </c>
      <c r="AW429" s="2345">
        <f>$O$117</f>
        <v>0</v>
      </c>
      <c r="AX429" s="2338">
        <f>$O$117</f>
        <v>0</v>
      </c>
      <c r="AY429" s="2339">
        <f>$O$117</f>
        <v>0</v>
      </c>
      <c r="AZ429" s="2340">
        <f>$P$117</f>
        <v>0</v>
      </c>
      <c r="BA429" s="2341">
        <f>$P$117</f>
        <v>0</v>
      </c>
      <c r="BB429" s="2352">
        <f>$P$117</f>
        <v>0</v>
      </c>
      <c r="BC429" s="2353">
        <f>$P$117</f>
        <v>0</v>
      </c>
    </row>
    <row r="430" spans="2:58">
      <c r="B430" s="2028"/>
      <c r="C430" s="2028"/>
      <c r="D430" s="2028"/>
      <c r="E430" s="2028"/>
      <c r="F430" s="2028"/>
      <c r="G430" s="2028"/>
      <c r="H430" s="2028"/>
      <c r="I430" s="2028"/>
      <c r="J430" s="2028" t="s">
        <v>2941</v>
      </c>
      <c r="K430" s="2028"/>
      <c r="L430" s="2028"/>
      <c r="M430" s="2028"/>
      <c r="N430" s="2017"/>
      <c r="O430" s="2030">
        <v>2</v>
      </c>
      <c r="P430" s="2030"/>
      <c r="Q430" s="2028"/>
      <c r="R430" s="2028"/>
      <c r="S430" s="2028"/>
      <c r="AA430" s="2465" t="s">
        <v>400</v>
      </c>
      <c r="AB430" s="1998" t="s">
        <v>4032</v>
      </c>
      <c r="AC430" s="2028"/>
      <c r="AD430" s="2028"/>
      <c r="AE430" s="2028"/>
      <c r="AF430" s="2028"/>
      <c r="AG430" s="2466">
        <f>$M$141</f>
        <v>3</v>
      </c>
      <c r="AH430" s="2466">
        <f>$M$141</f>
        <v>3</v>
      </c>
      <c r="AI430" s="2466">
        <f>$M$141</f>
        <v>3</v>
      </c>
      <c r="AJ430" s="2466">
        <f>$M$141</f>
        <v>3</v>
      </c>
      <c r="AK430" s="1998" t="s">
        <v>4456</v>
      </c>
      <c r="AL430" s="1998"/>
      <c r="AM430" s="2012"/>
      <c r="AN430" s="2012"/>
      <c r="AP430" s="2146" t="s">
        <v>400</v>
      </c>
      <c r="AQ430" s="2337" t="s">
        <v>4032</v>
      </c>
      <c r="AR430" s="2343"/>
      <c r="AS430" s="2343"/>
      <c r="AT430" s="2343"/>
      <c r="AU430" s="2343"/>
      <c r="AV430" s="2338">
        <f>$O$141</f>
        <v>0</v>
      </c>
      <c r="AW430" s="2354">
        <f>$O$141</f>
        <v>0</v>
      </c>
      <c r="AX430" s="2348">
        <f>$O$141</f>
        <v>0</v>
      </c>
      <c r="AY430" s="2349">
        <f>$O$141</f>
        <v>0</v>
      </c>
      <c r="AZ430" s="2340">
        <f>$P$141</f>
        <v>0</v>
      </c>
      <c r="BA430" s="2353">
        <f>$P$141</f>
        <v>0</v>
      </c>
      <c r="BB430" s="2352">
        <f>$P$141</f>
        <v>0</v>
      </c>
      <c r="BC430" s="2353">
        <f>$P$141</f>
        <v>0</v>
      </c>
    </row>
    <row r="431" spans="2:58">
      <c r="B431" s="2028"/>
      <c r="C431" s="2028"/>
      <c r="D431" s="2028"/>
      <c r="E431" s="2028"/>
      <c r="F431" s="2028"/>
      <c r="G431" s="3751" t="s">
        <v>1405</v>
      </c>
      <c r="H431" s="3751"/>
      <c r="I431" s="3751"/>
      <c r="J431" s="2028" t="s">
        <v>2942</v>
      </c>
      <c r="K431" s="2028"/>
      <c r="L431" s="2028"/>
      <c r="M431" s="2028"/>
      <c r="N431" s="2017"/>
      <c r="O431" s="2030">
        <v>2</v>
      </c>
      <c r="P431" s="2030"/>
      <c r="Q431" s="2028"/>
      <c r="R431" s="2028"/>
      <c r="S431" s="2028"/>
      <c r="AA431" s="2465" t="s">
        <v>342</v>
      </c>
      <c r="AB431" s="1998" t="s">
        <v>4840</v>
      </c>
      <c r="AC431" s="2028"/>
      <c r="AD431" s="2028"/>
      <c r="AE431" s="2028"/>
      <c r="AF431" s="2028"/>
      <c r="AG431" s="2466">
        <f>$M$152</f>
        <v>2</v>
      </c>
      <c r="AH431" s="2466">
        <f>$M$152</f>
        <v>2</v>
      </c>
      <c r="AI431" s="2466">
        <f>$M$152</f>
        <v>2</v>
      </c>
      <c r="AJ431" s="2466">
        <f>$M$152</f>
        <v>2</v>
      </c>
      <c r="AK431" s="1998" t="s">
        <v>3225</v>
      </c>
      <c r="AL431" s="1998"/>
      <c r="AM431" s="2012"/>
      <c r="AN431" s="2012"/>
      <c r="AP431" s="2146" t="s">
        <v>342</v>
      </c>
      <c r="AQ431" s="2337" t="s">
        <v>4840</v>
      </c>
      <c r="AR431" s="2343"/>
      <c r="AS431" s="2343"/>
      <c r="AT431" s="2343"/>
      <c r="AU431" s="2343"/>
      <c r="AV431" s="2338">
        <f>$O$152</f>
        <v>0</v>
      </c>
      <c r="AW431" s="2345">
        <f>$O$152</f>
        <v>0</v>
      </c>
      <c r="AX431" s="2348">
        <f>$O$152</f>
        <v>0</v>
      </c>
      <c r="AY431" s="2349">
        <f>$O$152</f>
        <v>0</v>
      </c>
      <c r="AZ431" s="2340">
        <f>$P$152</f>
        <v>0</v>
      </c>
      <c r="BA431" s="2341">
        <f>$P$152</f>
        <v>0</v>
      </c>
      <c r="BB431" s="2352">
        <f>$P$152</f>
        <v>0</v>
      </c>
      <c r="BC431" s="2353">
        <f>$P$152</f>
        <v>0</v>
      </c>
    </row>
    <row r="432" spans="2:58">
      <c r="B432" s="2028"/>
      <c r="C432" s="2028"/>
      <c r="D432" s="2028"/>
      <c r="E432" s="2028"/>
      <c r="F432" s="2028"/>
      <c r="G432" s="2033" t="s">
        <v>3937</v>
      </c>
      <c r="H432" s="2028" t="s">
        <v>3938</v>
      </c>
      <c r="I432" s="2033" t="s">
        <v>3936</v>
      </c>
      <c r="J432" s="2028" t="s">
        <v>2943</v>
      </c>
      <c r="K432" s="2028"/>
      <c r="L432" s="2033"/>
      <c r="M432" s="2028"/>
      <c r="N432" s="2017"/>
      <c r="O432" s="2030">
        <v>2</v>
      </c>
      <c r="P432" s="2030"/>
      <c r="Q432" s="2028"/>
      <c r="R432" s="2028"/>
      <c r="S432" s="2028"/>
      <c r="AA432" s="2465" t="s">
        <v>343</v>
      </c>
      <c r="AB432" s="1998" t="s">
        <v>3308</v>
      </c>
      <c r="AC432" s="2028"/>
      <c r="AD432" s="2028"/>
      <c r="AE432" s="2028"/>
      <c r="AF432" s="2028"/>
      <c r="AG432" s="2466">
        <f>$M$160</f>
        <v>20</v>
      </c>
      <c r="AH432" s="2466">
        <f>$M$160</f>
        <v>20</v>
      </c>
      <c r="AI432" s="2466"/>
      <c r="AJ432" s="2466"/>
      <c r="AK432" s="1998" t="s">
        <v>4048</v>
      </c>
      <c r="AL432" s="1998"/>
      <c r="AM432" s="2012"/>
      <c r="AN432" s="2012"/>
      <c r="AP432" s="2146" t="s">
        <v>343</v>
      </c>
      <c r="AQ432" s="2337" t="s">
        <v>3308</v>
      </c>
      <c r="AR432" s="2343"/>
      <c r="AS432" s="2343"/>
      <c r="AT432" s="2343"/>
      <c r="AU432" s="2343"/>
      <c r="AV432" s="2346">
        <f>$O$160</f>
        <v>0</v>
      </c>
      <c r="AW432" s="2347">
        <f>$O$160</f>
        <v>0</v>
      </c>
      <c r="AX432" s="2356"/>
      <c r="AY432" s="2357"/>
      <c r="AZ432" s="2350">
        <f>$P$160</f>
        <v>0</v>
      </c>
      <c r="BA432" s="2351">
        <f>$P$160</f>
        <v>0</v>
      </c>
      <c r="BB432" s="2358"/>
      <c r="BC432" s="2359"/>
    </row>
    <row r="433" spans="1:55">
      <c r="B433" s="2028"/>
      <c r="C433" s="2034"/>
      <c r="D433" s="2028"/>
      <c r="E433" s="2028"/>
      <c r="F433" s="2028"/>
      <c r="G433" s="2035" t="s">
        <v>2314</v>
      </c>
      <c r="H433" s="2028"/>
      <c r="I433" s="2035"/>
      <c r="J433" s="2028" t="s">
        <v>3168</v>
      </c>
      <c r="K433" s="2028"/>
      <c r="L433" s="2035"/>
      <c r="M433" s="2028"/>
      <c r="N433" s="2017"/>
      <c r="O433" s="2030">
        <v>2</v>
      </c>
      <c r="P433" s="2030"/>
      <c r="Q433" s="2028"/>
      <c r="R433" s="2028"/>
      <c r="S433" s="2028"/>
      <c r="AA433" s="2465" t="s">
        <v>344</v>
      </c>
      <c r="AB433" s="1998" t="s">
        <v>3913</v>
      </c>
      <c r="AC433" s="2028"/>
      <c r="AD433" s="2028"/>
      <c r="AE433" s="2028"/>
      <c r="AF433" s="2028"/>
      <c r="AG433" s="2469">
        <f>$M$169</f>
        <v>6</v>
      </c>
      <c r="AH433" s="2469">
        <f>$M$169</f>
        <v>6</v>
      </c>
      <c r="AI433" s="2469"/>
      <c r="AJ433" s="2469"/>
      <c r="AK433" s="1998" t="s">
        <v>4411</v>
      </c>
      <c r="AL433" s="1998"/>
      <c r="AM433" s="2012" t="s">
        <v>4754</v>
      </c>
      <c r="AN433" s="2012" t="str">
        <f>IF('Part VII-Threshold Criteria'!$P$227="Agree","Yes","")</f>
        <v/>
      </c>
      <c r="AP433" s="2146" t="s">
        <v>344</v>
      </c>
      <c r="AQ433" s="2337" t="s">
        <v>3913</v>
      </c>
      <c r="AR433" s="2343"/>
      <c r="AS433" s="2343"/>
      <c r="AT433" s="2343"/>
      <c r="AU433" s="2343"/>
      <c r="AV433" s="2346">
        <f>$O$169</f>
        <v>0</v>
      </c>
      <c r="AW433" s="2347">
        <f>$O$169</f>
        <v>0</v>
      </c>
      <c r="AX433" s="2356"/>
      <c r="AY433" s="2357"/>
      <c r="AZ433" s="2350">
        <f>$P$169</f>
        <v>0</v>
      </c>
      <c r="BA433" s="2351">
        <f>$P$169</f>
        <v>0</v>
      </c>
      <c r="BB433" s="2358"/>
      <c r="BC433" s="2359"/>
    </row>
    <row r="434" spans="1:55">
      <c r="B434" s="2028"/>
      <c r="C434" s="2034"/>
      <c r="D434" s="2028"/>
      <c r="E434" s="2028"/>
      <c r="F434" s="2028"/>
      <c r="G434" s="2035" t="s">
        <v>435</v>
      </c>
      <c r="H434" s="2017" t="s">
        <v>3940</v>
      </c>
      <c r="I434" s="2033" t="s">
        <v>2447</v>
      </c>
      <c r="J434" s="2028" t="s">
        <v>2944</v>
      </c>
      <c r="K434" s="2028"/>
      <c r="L434" s="2034"/>
      <c r="M434" s="2028"/>
      <c r="N434" s="2017"/>
      <c r="O434" s="2030">
        <v>1</v>
      </c>
      <c r="P434" s="2030"/>
      <c r="Q434" s="2028"/>
      <c r="R434" s="2028"/>
      <c r="S434" s="2028"/>
      <c r="AA434" s="2465" t="s">
        <v>1602</v>
      </c>
      <c r="AB434" s="1998" t="s">
        <v>3253</v>
      </c>
      <c r="AC434" s="2028"/>
      <c r="AD434" s="2028"/>
      <c r="AE434" s="2028"/>
      <c r="AF434" s="2028"/>
      <c r="AG434" s="2466">
        <f>$M$190</f>
        <v>3</v>
      </c>
      <c r="AH434" s="2466">
        <f>$M$190</f>
        <v>3</v>
      </c>
      <c r="AI434" s="2466"/>
      <c r="AJ434" s="2466"/>
      <c r="AK434" s="2028"/>
      <c r="AL434" s="1998"/>
      <c r="AM434" s="2012" t="s">
        <v>4047</v>
      </c>
      <c r="AN434" s="2012" t="str">
        <f>IF('Part VII-Threshold Criteria'!$P$230="Agree","Yes","")</f>
        <v/>
      </c>
      <c r="AP434" s="2146" t="s">
        <v>1602</v>
      </c>
      <c r="AQ434" s="2337" t="s">
        <v>3253</v>
      </c>
      <c r="AR434" s="2343"/>
      <c r="AS434" s="2343"/>
      <c r="AT434" s="2343"/>
      <c r="AU434" s="2343"/>
      <c r="AV434" s="2346">
        <f>$O$190</f>
        <v>0</v>
      </c>
      <c r="AW434" s="2347">
        <f>$O$190</f>
        <v>0</v>
      </c>
      <c r="AX434" s="2356"/>
      <c r="AY434" s="2357"/>
      <c r="AZ434" s="2350">
        <f>$P$190</f>
        <v>0</v>
      </c>
      <c r="BA434" s="2351">
        <f>$P$190</f>
        <v>0</v>
      </c>
      <c r="BB434" s="2358"/>
      <c r="BC434" s="2359"/>
    </row>
    <row r="435" spans="1:55">
      <c r="B435" s="2028"/>
      <c r="C435" s="2034"/>
      <c r="D435" s="2028"/>
      <c r="E435" s="2028"/>
      <c r="F435" s="2028"/>
      <c r="G435" s="2035" t="s">
        <v>1652</v>
      </c>
      <c r="H435" s="2017">
        <v>2020</v>
      </c>
      <c r="I435" s="2017" t="s">
        <v>3939</v>
      </c>
      <c r="J435" s="2028" t="s">
        <v>2945</v>
      </c>
      <c r="K435" s="2028"/>
      <c r="L435" s="2034"/>
      <c r="M435" s="2028"/>
      <c r="N435" s="2017"/>
      <c r="O435" s="2030">
        <v>1</v>
      </c>
      <c r="P435" s="2030"/>
      <c r="Q435" s="2028"/>
      <c r="R435" s="2028"/>
      <c r="S435" s="2028"/>
      <c r="AA435" s="2465" t="s">
        <v>3284</v>
      </c>
      <c r="AB435" s="1998" t="s">
        <v>3309</v>
      </c>
      <c r="AC435" s="2028"/>
      <c r="AD435" s="2028"/>
      <c r="AE435" s="2028"/>
      <c r="AF435" s="2028"/>
      <c r="AG435" s="2466">
        <f>$M$206</f>
        <v>10</v>
      </c>
      <c r="AH435" s="2466">
        <f>$M$206</f>
        <v>10</v>
      </c>
      <c r="AI435" s="2466"/>
      <c r="AJ435" s="2466"/>
      <c r="AK435" s="1998"/>
      <c r="AL435" s="1998"/>
      <c r="AM435" s="2012" t="s">
        <v>4457</v>
      </c>
      <c r="AN435" s="2012" t="str">
        <f>IF('Part VII-Threshold Criteria'!$P$231="Agree","Yes","")</f>
        <v/>
      </c>
      <c r="AP435" s="2146" t="s">
        <v>3284</v>
      </c>
      <c r="AQ435" s="2337" t="s">
        <v>3309</v>
      </c>
      <c r="AR435" s="2343"/>
      <c r="AS435" s="2343"/>
      <c r="AT435" s="2343"/>
      <c r="AU435" s="2343"/>
      <c r="AV435" s="2346">
        <f>$O$206</f>
        <v>0</v>
      </c>
      <c r="AW435" s="2347">
        <f>$O$206</f>
        <v>0</v>
      </c>
      <c r="AX435" s="2356"/>
      <c r="AY435" s="2357"/>
      <c r="AZ435" s="2350">
        <f>$P$206</f>
        <v>0</v>
      </c>
      <c r="BA435" s="2351">
        <f>$P$206</f>
        <v>0</v>
      </c>
      <c r="BB435" s="2358"/>
      <c r="BC435" s="2359"/>
    </row>
    <row r="436" spans="1:55">
      <c r="B436" s="2028"/>
      <c r="C436" s="2034"/>
      <c r="D436" s="2028"/>
      <c r="E436" s="2028"/>
      <c r="F436" s="2028"/>
      <c r="G436" s="2035" t="s">
        <v>2345</v>
      </c>
      <c r="H436" s="2017" t="s">
        <v>1607</v>
      </c>
      <c r="I436" s="2033" t="s">
        <v>2447</v>
      </c>
      <c r="J436" s="2028" t="s">
        <v>2946</v>
      </c>
      <c r="K436" s="2028"/>
      <c r="L436" s="2034"/>
      <c r="M436" s="2028"/>
      <c r="N436" s="2017"/>
      <c r="O436" s="2030">
        <v>1</v>
      </c>
      <c r="P436" s="2030"/>
      <c r="Q436" s="2028"/>
      <c r="R436" s="2028"/>
      <c r="S436" s="2028"/>
      <c r="AA436" s="2465" t="s">
        <v>2075</v>
      </c>
      <c r="AB436" s="1998" t="s">
        <v>3914</v>
      </c>
      <c r="AC436" s="2028"/>
      <c r="AD436" s="2028"/>
      <c r="AE436" s="2028"/>
      <c r="AF436" s="2028"/>
      <c r="AG436" s="2466">
        <f>$M$238</f>
        <v>10</v>
      </c>
      <c r="AH436" s="2466">
        <f>$M$238</f>
        <v>10</v>
      </c>
      <c r="AI436" s="2466"/>
      <c r="AJ436" s="2466"/>
      <c r="AK436" s="1998"/>
      <c r="AL436" s="1998"/>
      <c r="AM436" s="2012" t="s">
        <v>4458</v>
      </c>
      <c r="AN436" s="2012" t="str">
        <f>IF('Part VII-Threshold Criteria'!$P$232="Agree","Yes","")</f>
        <v/>
      </c>
      <c r="AP436" s="2146" t="s">
        <v>2075</v>
      </c>
      <c r="AQ436" s="2337" t="s">
        <v>3914</v>
      </c>
      <c r="AR436" s="2343"/>
      <c r="AS436" s="2343"/>
      <c r="AT436" s="2343"/>
      <c r="AU436" s="2343"/>
      <c r="AV436" s="2338">
        <f>$O$238</f>
        <v>0</v>
      </c>
      <c r="AW436" s="2345">
        <f>$O$238</f>
        <v>0</v>
      </c>
      <c r="AX436" s="2360"/>
      <c r="AY436" s="2361"/>
      <c r="AZ436" s="2340">
        <f>$P$238</f>
        <v>0</v>
      </c>
      <c r="BA436" s="2341">
        <f>$P$238</f>
        <v>0</v>
      </c>
      <c r="BB436" s="2362"/>
      <c r="BC436" s="2363"/>
    </row>
    <row r="437" spans="1:55">
      <c r="B437" s="2028"/>
      <c r="C437" s="2034"/>
      <c r="D437" s="2028"/>
      <c r="E437" s="2028"/>
      <c r="F437" s="2028"/>
      <c r="G437" s="2035" t="s">
        <v>970</v>
      </c>
      <c r="H437" s="2017">
        <v>2020</v>
      </c>
      <c r="I437" s="2017" t="s">
        <v>3939</v>
      </c>
      <c r="J437" s="2028" t="s">
        <v>3169</v>
      </c>
      <c r="K437" s="2028"/>
      <c r="L437" s="2034"/>
      <c r="M437" s="2028"/>
      <c r="N437" s="2017"/>
      <c r="O437" s="2030">
        <v>1</v>
      </c>
      <c r="P437" s="2030"/>
      <c r="Q437" s="2028"/>
      <c r="R437" s="2028"/>
      <c r="S437" s="2028"/>
      <c r="AA437" s="2465" t="s">
        <v>3284</v>
      </c>
      <c r="AB437" s="1998" t="s">
        <v>3180</v>
      </c>
      <c r="AC437" s="2028"/>
      <c r="AD437" s="2028"/>
      <c r="AE437" s="2028"/>
      <c r="AF437" s="2028"/>
      <c r="AG437" s="2466">
        <f>$M$265</f>
        <v>10</v>
      </c>
      <c r="AH437" s="2466">
        <f>$M$265</f>
        <v>10</v>
      </c>
      <c r="AI437" s="2466"/>
      <c r="AJ437" s="2466"/>
      <c r="AK437" s="1998" t="s">
        <v>2437</v>
      </c>
      <c r="AL437" s="1998"/>
      <c r="AM437" s="2012"/>
      <c r="AN437" s="2012"/>
      <c r="AP437" s="2146" t="s">
        <v>3284</v>
      </c>
      <c r="AQ437" s="2337" t="s">
        <v>3180</v>
      </c>
      <c r="AR437" s="2343"/>
      <c r="AS437" s="2343"/>
      <c r="AT437" s="2343"/>
      <c r="AU437" s="2343"/>
      <c r="AV437" s="2338">
        <f>$O$265</f>
        <v>0</v>
      </c>
      <c r="AW437" s="2345">
        <f>$O$265</f>
        <v>0</v>
      </c>
      <c r="AX437" s="2360"/>
      <c r="AY437" s="2361"/>
      <c r="AZ437" s="2340">
        <f>$P$265</f>
        <v>0</v>
      </c>
      <c r="BA437" s="2341">
        <f>$P$265</f>
        <v>0</v>
      </c>
      <c r="BB437" s="2362"/>
      <c r="BC437" s="2363"/>
    </row>
    <row r="438" spans="1:55">
      <c r="B438" s="2028"/>
      <c r="C438" s="2034"/>
      <c r="D438" s="2028"/>
      <c r="E438" s="2028"/>
      <c r="F438" s="2028"/>
      <c r="G438" s="2035" t="s">
        <v>3191</v>
      </c>
      <c r="H438" s="2017">
        <v>2019</v>
      </c>
      <c r="I438" s="2017" t="s">
        <v>3939</v>
      </c>
      <c r="J438" s="2028" t="s">
        <v>2954</v>
      </c>
      <c r="K438" s="2028"/>
      <c r="L438" s="2034"/>
      <c r="M438" s="2028"/>
      <c r="N438" s="2017"/>
      <c r="O438" s="2030">
        <v>1</v>
      </c>
      <c r="P438" s="2030"/>
      <c r="Q438" s="2028"/>
      <c r="R438" s="2028"/>
      <c r="S438" s="2028"/>
      <c r="AA438" s="2465" t="s">
        <v>3285</v>
      </c>
      <c r="AB438" s="1998" t="s">
        <v>4034</v>
      </c>
      <c r="AC438" s="2028"/>
      <c r="AD438" s="2028"/>
      <c r="AE438" s="2028"/>
      <c r="AF438" s="2028"/>
      <c r="AG438" s="2466">
        <f>$M$274</f>
        <v>4</v>
      </c>
      <c r="AH438" s="2466">
        <f>$M$274</f>
        <v>4</v>
      </c>
      <c r="AI438" s="2466"/>
      <c r="AJ438" s="2466"/>
      <c r="AK438" s="1998" t="s">
        <v>4459</v>
      </c>
      <c r="AL438" s="1998"/>
      <c r="AM438" s="2012"/>
      <c r="AN438" s="2012"/>
      <c r="AP438" s="2146" t="s">
        <v>3285</v>
      </c>
      <c r="AQ438" s="2337" t="s">
        <v>4034</v>
      </c>
      <c r="AR438" s="2343"/>
      <c r="AS438" s="2343"/>
      <c r="AT438" s="2343"/>
      <c r="AU438" s="2343"/>
      <c r="AV438" s="2338">
        <f>$O$274</f>
        <v>0</v>
      </c>
      <c r="AW438" s="2345">
        <f>$O$274</f>
        <v>0</v>
      </c>
      <c r="AX438" s="2360"/>
      <c r="AY438" s="2361"/>
      <c r="AZ438" s="2340">
        <f>$P$274</f>
        <v>0</v>
      </c>
      <c r="BA438" s="2341">
        <f>$P$274</f>
        <v>0</v>
      </c>
      <c r="BB438" s="2362"/>
      <c r="BC438" s="2363"/>
    </row>
    <row r="439" spans="1:55">
      <c r="B439" s="2028"/>
      <c r="C439" s="2034"/>
      <c r="D439" s="2028"/>
      <c r="E439" s="2028"/>
      <c r="F439" s="2028"/>
      <c r="G439" s="2035" t="s">
        <v>340</v>
      </c>
      <c r="H439" s="2017" t="s">
        <v>1607</v>
      </c>
      <c r="I439" s="2033" t="s">
        <v>2447</v>
      </c>
      <c r="J439" s="2028" t="s">
        <v>2947</v>
      </c>
      <c r="K439" s="2028"/>
      <c r="L439" s="2034"/>
      <c r="M439" s="2028"/>
      <c r="N439" s="2017"/>
      <c r="O439" s="2030">
        <v>1</v>
      </c>
      <c r="P439" s="2030"/>
      <c r="Q439" s="2028"/>
      <c r="R439" s="2028"/>
      <c r="S439" s="2028"/>
      <c r="AA439" s="2465" t="s">
        <v>3283</v>
      </c>
      <c r="AB439" s="1998" t="s">
        <v>3918</v>
      </c>
      <c r="AC439" s="2028"/>
      <c r="AD439" s="2028"/>
      <c r="AE439" s="2028"/>
      <c r="AF439" s="2028"/>
      <c r="AG439" s="2466">
        <f>$M$286</f>
        <v>5</v>
      </c>
      <c r="AH439" s="2466"/>
      <c r="AI439" s="2466"/>
      <c r="AJ439" s="2466"/>
      <c r="AK439" s="1998" t="s">
        <v>4460</v>
      </c>
      <c r="AL439" s="1998"/>
      <c r="AM439" s="2012"/>
      <c r="AN439" s="2467">
        <f>'Part II-Sources of Funds'!$L$14</f>
        <v>0</v>
      </c>
      <c r="AP439" s="2146" t="s">
        <v>3283</v>
      </c>
      <c r="AQ439" s="2337" t="s">
        <v>3918</v>
      </c>
      <c r="AR439" s="2343"/>
      <c r="AS439" s="2343"/>
      <c r="AT439" s="2343"/>
      <c r="AU439" s="2343"/>
      <c r="AV439" s="2338">
        <f>$O$286</f>
        <v>0</v>
      </c>
      <c r="AW439" s="2364"/>
      <c r="AX439" s="2365"/>
      <c r="AY439" s="2361"/>
      <c r="AZ439" s="2340">
        <f>$P$286</f>
        <v>0</v>
      </c>
      <c r="BA439" s="2366"/>
      <c r="BB439" s="2367"/>
      <c r="BC439" s="2363"/>
    </row>
    <row r="440" spans="1:55">
      <c r="B440" s="2028"/>
      <c r="C440" s="2034"/>
      <c r="D440" s="2028"/>
      <c r="E440" s="2028"/>
      <c r="F440" s="2028"/>
      <c r="G440" s="2035" t="s">
        <v>1630</v>
      </c>
      <c r="H440" s="2017">
        <v>2020</v>
      </c>
      <c r="I440" s="2017" t="s">
        <v>3939</v>
      </c>
      <c r="J440" s="2028" t="s">
        <v>2948</v>
      </c>
      <c r="K440" s="2028"/>
      <c r="L440" s="2034"/>
      <c r="M440" s="2028"/>
      <c r="N440" s="2017"/>
      <c r="O440" s="2030">
        <v>1</v>
      </c>
      <c r="P440" s="2030"/>
      <c r="Q440" s="2028"/>
      <c r="R440" s="2028"/>
      <c r="S440" s="2028"/>
      <c r="AA440" s="2465" t="s">
        <v>3286</v>
      </c>
      <c r="AB440" s="2028" t="s">
        <v>4841</v>
      </c>
      <c r="AC440" s="2028"/>
      <c r="AD440" s="2028"/>
      <c r="AE440" s="2028"/>
      <c r="AF440" s="2028"/>
      <c r="AG440" s="2466">
        <f>$M$303</f>
        <v>10</v>
      </c>
      <c r="AH440" s="2466"/>
      <c r="AI440" s="2466"/>
      <c r="AJ440" s="2466"/>
      <c r="AK440" s="2028"/>
      <c r="AL440" s="2028"/>
      <c r="AM440" s="2017"/>
      <c r="AN440" s="2028"/>
      <c r="AP440" s="2146" t="s">
        <v>3286</v>
      </c>
      <c r="AQ440" s="2337" t="s">
        <v>4841</v>
      </c>
      <c r="AR440" s="2343"/>
      <c r="AS440" s="2343"/>
      <c r="AT440" s="2343"/>
      <c r="AU440" s="2343"/>
      <c r="AV440" s="2338">
        <f>$O$303</f>
        <v>0</v>
      </c>
      <c r="AW440" s="2364"/>
      <c r="AX440" s="2365"/>
      <c r="AY440" s="2361"/>
      <c r="AZ440" s="2340">
        <f>$P$303</f>
        <v>0</v>
      </c>
      <c r="BA440" s="2366"/>
      <c r="BB440" s="2367"/>
      <c r="BC440" s="2363"/>
    </row>
    <row r="441" spans="1:55">
      <c r="B441" s="2028"/>
      <c r="C441" s="2034"/>
      <c r="D441" s="2028"/>
      <c r="E441" s="2028"/>
      <c r="F441" s="2028"/>
      <c r="G441" s="2035" t="s">
        <v>1904</v>
      </c>
      <c r="H441" s="2017" t="s">
        <v>3940</v>
      </c>
      <c r="I441" s="2033" t="s">
        <v>2447</v>
      </c>
      <c r="J441" s="2028" t="s">
        <v>2949</v>
      </c>
      <c r="K441" s="2028"/>
      <c r="L441" s="2034"/>
      <c r="M441" s="2028"/>
      <c r="N441" s="2017"/>
      <c r="O441" s="2030">
        <v>1</v>
      </c>
      <c r="P441" s="2030"/>
      <c r="Q441" s="2028"/>
      <c r="R441" s="2028"/>
      <c r="S441" s="2028"/>
      <c r="AA441" s="2465" t="s">
        <v>3287</v>
      </c>
      <c r="AB441" s="2028" t="s">
        <v>4842</v>
      </c>
      <c r="AC441" s="2028"/>
      <c r="AD441" s="2028"/>
      <c r="AE441" s="2028"/>
      <c r="AF441" s="2028"/>
      <c r="AG441" s="2466">
        <f>$M$317</f>
        <v>1</v>
      </c>
      <c r="AH441" s="2466"/>
      <c r="AI441" s="2466"/>
      <c r="AJ441" s="2466"/>
      <c r="AK441" s="2028"/>
      <c r="AL441" s="2028"/>
      <c r="AM441" s="2017"/>
      <c r="AN441" s="2028"/>
      <c r="AP441" s="2146" t="s">
        <v>3287</v>
      </c>
      <c r="AQ441" s="2337" t="s">
        <v>4842</v>
      </c>
      <c r="AR441" s="2343"/>
      <c r="AS441" s="2343"/>
      <c r="AT441" s="2343"/>
      <c r="AU441" s="2343"/>
      <c r="AV441" s="2338">
        <f>$O$317</f>
        <v>0</v>
      </c>
      <c r="AW441" s="2368"/>
      <c r="AX441" s="2360"/>
      <c r="AY441" s="2361"/>
      <c r="AZ441" s="2340">
        <f>$P$317</f>
        <v>0</v>
      </c>
      <c r="BA441" s="2363"/>
      <c r="BB441" s="2362"/>
      <c r="BC441" s="2363"/>
    </row>
    <row r="442" spans="1:55">
      <c r="A442" s="2028"/>
      <c r="B442" s="2028"/>
      <c r="C442" s="2028"/>
      <c r="D442" s="2028"/>
      <c r="E442" s="2028"/>
      <c r="F442" s="2028"/>
      <c r="G442" s="2035" t="s">
        <v>82</v>
      </c>
      <c r="H442" s="2017" t="s">
        <v>3940</v>
      </c>
      <c r="I442" s="2033" t="s">
        <v>2447</v>
      </c>
      <c r="J442" s="2028" t="s">
        <v>2950</v>
      </c>
      <c r="K442" s="2028"/>
      <c r="L442" s="2034"/>
      <c r="M442" s="2028"/>
      <c r="N442" s="2017"/>
      <c r="O442" s="2030">
        <v>1</v>
      </c>
      <c r="P442" s="2030"/>
      <c r="Q442" s="2028"/>
      <c r="R442" s="2028"/>
      <c r="S442" s="2028"/>
      <c r="AA442" s="2465" t="s">
        <v>3290</v>
      </c>
      <c r="AB442" s="1998" t="s">
        <v>4033</v>
      </c>
      <c r="AC442" s="2028"/>
      <c r="AD442" s="2028"/>
      <c r="AE442" s="2028"/>
      <c r="AF442" s="2028"/>
      <c r="AG442" s="2466">
        <f>$M$331</f>
        <v>1</v>
      </c>
      <c r="AH442" s="2466"/>
      <c r="AI442" s="2466"/>
      <c r="AJ442" s="2466"/>
      <c r="AK442" s="2028"/>
      <c r="AL442" s="2028"/>
      <c r="AM442" s="2017"/>
      <c r="AN442" s="2028"/>
      <c r="AP442" s="2146" t="s">
        <v>3290</v>
      </c>
      <c r="AQ442" s="2337" t="s">
        <v>4033</v>
      </c>
      <c r="AR442" s="2343"/>
      <c r="AS442" s="2343"/>
      <c r="AT442" s="2343"/>
      <c r="AU442" s="2343"/>
      <c r="AV442" s="2338">
        <f>$O$331</f>
        <v>0</v>
      </c>
      <c r="AW442" s="2368"/>
      <c r="AX442" s="2360"/>
      <c r="AY442" s="2361"/>
      <c r="AZ442" s="2340">
        <f>$P$331</f>
        <v>0</v>
      </c>
      <c r="BA442" s="2363"/>
      <c r="BB442" s="2362"/>
      <c r="BC442" s="2363"/>
    </row>
    <row r="443" spans="1:55">
      <c r="A443" s="2028"/>
      <c r="B443" s="2028"/>
      <c r="C443" s="2028"/>
      <c r="D443" s="2028"/>
      <c r="E443" s="2028"/>
      <c r="F443" s="2028"/>
      <c r="G443" s="2035" t="s">
        <v>836</v>
      </c>
      <c r="H443" s="2017">
        <v>2019</v>
      </c>
      <c r="I443" s="2017" t="s">
        <v>3939</v>
      </c>
      <c r="J443" s="2028" t="s">
        <v>2953</v>
      </c>
      <c r="K443" s="2028"/>
      <c r="L443" s="2034"/>
      <c r="M443" s="2028"/>
      <c r="N443" s="2017"/>
      <c r="O443" s="2030">
        <v>1</v>
      </c>
      <c r="P443" s="2030"/>
      <c r="Q443" s="2028"/>
      <c r="R443" s="2028"/>
      <c r="S443" s="2028"/>
      <c r="AA443" s="2465" t="s">
        <v>3291</v>
      </c>
      <c r="AB443" s="1998" t="s">
        <v>3313</v>
      </c>
      <c r="AC443" s="2028"/>
      <c r="AD443" s="2028"/>
      <c r="AE443" s="2028"/>
      <c r="AF443" s="2028"/>
      <c r="AG443" s="2466">
        <f>$M$339</f>
        <v>2</v>
      </c>
      <c r="AH443" s="2466"/>
      <c r="AI443" s="2466"/>
      <c r="AJ443" s="2466"/>
      <c r="AK443" s="2028"/>
      <c r="AL443" s="2028"/>
      <c r="AM443" s="2017"/>
      <c r="AN443" s="2028"/>
      <c r="AP443" s="2146" t="s">
        <v>3291</v>
      </c>
      <c r="AQ443" s="2337" t="s">
        <v>3313</v>
      </c>
      <c r="AR443" s="2343"/>
      <c r="AS443" s="2343"/>
      <c r="AT443" s="2343"/>
      <c r="AU443" s="2343"/>
      <c r="AV443" s="2338">
        <f>$O$339</f>
        <v>0</v>
      </c>
      <c r="AW443" s="2368"/>
      <c r="AX443" s="2360"/>
      <c r="AY443" s="2361"/>
      <c r="AZ443" s="2340">
        <f>$P$339</f>
        <v>0</v>
      </c>
      <c r="BA443" s="2363"/>
      <c r="BB443" s="2362"/>
      <c r="BC443" s="2363"/>
    </row>
    <row r="444" spans="1:55">
      <c r="A444" s="2028" t="s">
        <v>2492</v>
      </c>
      <c r="B444" s="2028"/>
      <c r="C444" s="2028"/>
      <c r="D444" s="2028"/>
      <c r="E444" s="2028"/>
      <c r="F444" s="2028"/>
      <c r="G444" s="2035" t="s">
        <v>1981</v>
      </c>
      <c r="H444" s="2017" t="s">
        <v>3940</v>
      </c>
      <c r="I444" s="2033" t="s">
        <v>2447</v>
      </c>
      <c r="J444" s="2028" t="s">
        <v>2951</v>
      </c>
      <c r="K444" s="2028"/>
      <c r="L444" s="2034"/>
      <c r="M444" s="2028"/>
      <c r="N444" s="2017"/>
      <c r="O444" s="2030">
        <v>1</v>
      </c>
      <c r="P444" s="2030"/>
      <c r="Q444" s="2028"/>
      <c r="R444" s="2028"/>
      <c r="S444" s="2028"/>
      <c r="AA444" s="2465" t="s">
        <v>3292</v>
      </c>
      <c r="AB444" s="1998" t="s">
        <v>4454</v>
      </c>
      <c r="AC444" s="2028"/>
      <c r="AD444" s="2028"/>
      <c r="AE444" s="2028"/>
      <c r="AF444" s="2028"/>
      <c r="AG444" s="2466">
        <f>$M$350</f>
        <v>2</v>
      </c>
      <c r="AH444" s="2466"/>
      <c r="AI444" s="2468">
        <f>$M$350</f>
        <v>2</v>
      </c>
      <c r="AJ444" s="2466"/>
      <c r="AK444" s="2028"/>
      <c r="AL444" s="2028"/>
      <c r="AM444" s="2017"/>
      <c r="AN444" s="2028"/>
      <c r="AP444" s="2146" t="s">
        <v>3292</v>
      </c>
      <c r="AQ444" s="2337" t="s">
        <v>4454</v>
      </c>
      <c r="AR444" s="2343"/>
      <c r="AS444" s="2343"/>
      <c r="AT444" s="2343"/>
      <c r="AU444" s="2343"/>
      <c r="AV444" s="2338">
        <f>$O$350</f>
        <v>0</v>
      </c>
      <c r="AW444" s="2368"/>
      <c r="AX444" s="2338">
        <f>$O$350</f>
        <v>0</v>
      </c>
      <c r="AY444" s="2361"/>
      <c r="AZ444" s="2340">
        <f>$P$350</f>
        <v>0</v>
      </c>
      <c r="BA444" s="2363"/>
      <c r="BB444" s="2342">
        <f>$P$350</f>
        <v>0</v>
      </c>
      <c r="BC444" s="2363"/>
    </row>
    <row r="445" spans="1:55">
      <c r="A445" s="2028" t="s">
        <v>2507</v>
      </c>
      <c r="B445" s="2028"/>
      <c r="C445" s="2028"/>
      <c r="D445" s="2028"/>
      <c r="E445" s="2028"/>
      <c r="F445" s="2028"/>
      <c r="G445" s="2035" t="s">
        <v>1902</v>
      </c>
      <c r="H445" s="2017">
        <v>2019</v>
      </c>
      <c r="I445" s="2017" t="s">
        <v>3939</v>
      </c>
      <c r="J445" s="2028" t="s">
        <v>2952</v>
      </c>
      <c r="K445" s="2028"/>
      <c r="L445" s="2034"/>
      <c r="M445" s="2028"/>
      <c r="N445" s="2017"/>
      <c r="O445" s="2030">
        <v>1</v>
      </c>
      <c r="P445" s="2030"/>
      <c r="Q445" s="2028"/>
      <c r="R445" s="2028"/>
      <c r="S445" s="2028"/>
      <c r="AA445" s="2465" t="s">
        <v>3293</v>
      </c>
      <c r="AB445" s="1998" t="s">
        <v>3311</v>
      </c>
      <c r="AC445" s="2028"/>
      <c r="AD445" s="2028"/>
      <c r="AE445" s="2028"/>
      <c r="AF445" s="2028"/>
      <c r="AG445" s="2466">
        <f>$M$359</f>
        <v>2</v>
      </c>
      <c r="AH445" s="2466"/>
      <c r="AI445" s="2468">
        <f>$M$359</f>
        <v>2</v>
      </c>
      <c r="AJ445" s="2466"/>
      <c r="AK445" s="2028"/>
      <c r="AL445" s="2028"/>
      <c r="AM445" s="2017"/>
      <c r="AN445" s="2028"/>
      <c r="AP445" s="2146" t="s">
        <v>3293</v>
      </c>
      <c r="AQ445" s="2337" t="s">
        <v>3311</v>
      </c>
      <c r="AR445" s="2343"/>
      <c r="AS445" s="2343"/>
      <c r="AT445" s="2343"/>
      <c r="AU445" s="2343"/>
      <c r="AV445" s="2338">
        <f>$O$359</f>
        <v>0</v>
      </c>
      <c r="AW445" s="2368"/>
      <c r="AX445" s="2338">
        <f>$O$359</f>
        <v>0</v>
      </c>
      <c r="AY445" s="2361"/>
      <c r="AZ445" s="2340">
        <f>$P$359</f>
        <v>0</v>
      </c>
      <c r="BA445" s="2363"/>
      <c r="BB445" s="2342">
        <f>$P$359</f>
        <v>0</v>
      </c>
      <c r="BC445" s="2363"/>
    </row>
    <row r="446" spans="1:55">
      <c r="A446" s="2034" t="s">
        <v>2934</v>
      </c>
      <c r="B446" s="2028"/>
      <c r="C446" s="2028"/>
      <c r="D446" s="2034"/>
      <c r="E446" s="2034">
        <v>3</v>
      </c>
      <c r="F446" s="2028"/>
      <c r="G446" s="2035" t="s">
        <v>322</v>
      </c>
      <c r="H446" s="2017">
        <v>2019</v>
      </c>
      <c r="I446" s="2017" t="s">
        <v>3939</v>
      </c>
      <c r="J446" s="2028"/>
      <c r="K446" s="2028"/>
      <c r="L446" s="2034"/>
      <c r="M446" s="2028"/>
      <c r="N446" s="2017"/>
      <c r="O446" s="2030"/>
      <c r="P446" s="2030"/>
      <c r="Q446" s="2028"/>
      <c r="R446" s="2028"/>
      <c r="S446" s="2028"/>
      <c r="AA446" s="2465" t="s">
        <v>3294</v>
      </c>
      <c r="AB446" s="2028" t="s">
        <v>4843</v>
      </c>
      <c r="AC446" s="2028"/>
      <c r="AD446" s="2028"/>
      <c r="AE446" s="2028"/>
      <c r="AF446" s="2028"/>
      <c r="AG446" s="2466"/>
      <c r="AH446" s="2466"/>
      <c r="AI446" s="2466">
        <f>$M$368</f>
        <v>0</v>
      </c>
      <c r="AJ446" s="2466">
        <f>$M$368</f>
        <v>0</v>
      </c>
      <c r="AK446" s="2028"/>
      <c r="AL446" s="2028"/>
      <c r="AM446" s="2017"/>
      <c r="AN446" s="2028"/>
      <c r="AP446" s="2146" t="s">
        <v>3294</v>
      </c>
      <c r="AQ446" s="2337" t="s">
        <v>4843</v>
      </c>
      <c r="AR446" s="2343"/>
      <c r="AS446" s="2343"/>
      <c r="AT446" s="2343"/>
      <c r="AU446" s="2343"/>
      <c r="AV446" s="2365"/>
      <c r="AW446" s="2364"/>
      <c r="AX446" s="2338">
        <f>$O$368</f>
        <v>0</v>
      </c>
      <c r="AY446" s="2339">
        <f>$O$368</f>
        <v>0</v>
      </c>
      <c r="AZ446" s="2369"/>
      <c r="BA446" s="2366"/>
      <c r="BB446" s="2342">
        <f>$P$368</f>
        <v>0</v>
      </c>
      <c r="BC446" s="2341">
        <f>$P$368</f>
        <v>0</v>
      </c>
    </row>
    <row r="447" spans="1:55">
      <c r="A447" s="2034" t="s">
        <v>2935</v>
      </c>
      <c r="B447" s="2028"/>
      <c r="C447" s="2028"/>
      <c r="D447" s="2034"/>
      <c r="E447" s="2034">
        <v>2</v>
      </c>
      <c r="F447" s="2028"/>
      <c r="G447" s="2035" t="s">
        <v>814</v>
      </c>
      <c r="H447" s="2017">
        <v>2019</v>
      </c>
      <c r="I447" s="2017" t="s">
        <v>3939</v>
      </c>
      <c r="J447" s="2028"/>
      <c r="K447" s="2028"/>
      <c r="L447" s="2034"/>
      <c r="M447" s="2028"/>
      <c r="N447" s="2017"/>
      <c r="O447" s="2030"/>
      <c r="P447" s="2030"/>
      <c r="Q447" s="2028"/>
      <c r="R447" s="2028"/>
      <c r="S447" s="2028"/>
      <c r="AA447" s="2465"/>
      <c r="AB447" s="1998"/>
      <c r="AC447" s="2028"/>
      <c r="AD447" s="2028"/>
      <c r="AE447" s="2028"/>
      <c r="AF447" s="2028"/>
      <c r="AG447" s="2466"/>
      <c r="AH447" s="2466"/>
      <c r="AI447" s="2466"/>
      <c r="AJ447" s="2466"/>
      <c r="AK447" s="2028"/>
      <c r="AL447" s="2028"/>
      <c r="AM447" s="2017"/>
      <c r="AN447" s="2028"/>
      <c r="AP447" s="2146"/>
      <c r="AQ447" s="2370"/>
      <c r="AR447" s="2371"/>
      <c r="AS447" s="2371"/>
      <c r="AT447" s="2371"/>
      <c r="AU447" s="2371"/>
      <c r="AV447" s="2372"/>
      <c r="AW447" s="2373"/>
      <c r="AX447" s="2374"/>
      <c r="AY447" s="2375"/>
      <c r="AZ447" s="2376"/>
      <c r="BA447" s="2377"/>
      <c r="BB447" s="2378"/>
      <c r="BC447" s="2377"/>
    </row>
    <row r="448" spans="1:55">
      <c r="A448" s="2034" t="s">
        <v>2936</v>
      </c>
      <c r="B448" s="2028"/>
      <c r="C448" s="2028"/>
      <c r="D448" s="2034"/>
      <c r="E448" s="2034">
        <v>10</v>
      </c>
      <c r="F448" s="2028"/>
      <c r="G448" s="2035" t="s">
        <v>1784</v>
      </c>
      <c r="H448" s="2017">
        <v>2019</v>
      </c>
      <c r="I448" s="2017" t="s">
        <v>3939</v>
      </c>
      <c r="J448" s="2036" t="s">
        <v>3179</v>
      </c>
      <c r="K448" s="2028"/>
      <c r="L448" s="2034"/>
      <c r="M448" s="2028"/>
      <c r="N448" s="2017"/>
      <c r="O448" s="2030"/>
      <c r="P448" s="2030"/>
      <c r="Q448" s="2028"/>
      <c r="R448" s="2028"/>
      <c r="S448" s="2028"/>
      <c r="AA448" s="1998"/>
      <c r="AB448" s="2470"/>
      <c r="AC448" s="1998"/>
      <c r="AD448" s="1998"/>
      <c r="AE448" s="1998"/>
      <c r="AF448" s="1998"/>
      <c r="AG448" s="1998"/>
      <c r="AH448" s="1998"/>
      <c r="AI448" s="1998"/>
      <c r="AJ448" s="1998"/>
      <c r="AK448" s="2028"/>
      <c r="AL448" s="2028"/>
      <c r="AM448" s="2017"/>
      <c r="AN448" s="2028"/>
      <c r="AP448" s="2108"/>
      <c r="AQ448" s="2108"/>
      <c r="AR448" s="2108"/>
      <c r="AS448" s="2108"/>
      <c r="AT448" s="2108"/>
      <c r="AU448" s="2108"/>
      <c r="AV448" s="2379"/>
      <c r="AW448" s="2379"/>
      <c r="AX448" s="2379"/>
      <c r="AY448" s="2379"/>
      <c r="AZ448" s="2380"/>
      <c r="BA448" s="2380"/>
      <c r="BB448" s="2380"/>
      <c r="BC448" s="2380"/>
    </row>
    <row r="449" spans="1:55">
      <c r="A449" s="2034" t="s">
        <v>2508</v>
      </c>
      <c r="B449" s="2028"/>
      <c r="C449" s="2028"/>
      <c r="D449" s="2034"/>
      <c r="E449" s="2034"/>
      <c r="F449" s="2028"/>
      <c r="G449" s="2035" t="s">
        <v>394</v>
      </c>
      <c r="H449" s="2017">
        <v>2019</v>
      </c>
      <c r="I449" s="2017" t="s">
        <v>3939</v>
      </c>
      <c r="J449" s="2028" t="s">
        <v>3251</v>
      </c>
      <c r="K449" s="2028"/>
      <c r="L449" s="2034"/>
      <c r="M449" s="2028"/>
      <c r="N449" s="2017"/>
      <c r="O449" s="2030"/>
      <c r="P449" s="2030"/>
      <c r="Q449" s="2028"/>
      <c r="R449" s="2028"/>
      <c r="S449" s="2028"/>
      <c r="AA449" s="1998"/>
      <c r="AB449" s="2470"/>
      <c r="AC449" s="1998"/>
      <c r="AD449" s="1997" t="s">
        <v>4145</v>
      </c>
      <c r="AE449" s="1998"/>
      <c r="AF449" s="1998"/>
      <c r="AG449" s="2471"/>
      <c r="AH449" s="2472">
        <f>IF(AND($O$12="4%",($C$12-$A$12)&gt;0),(SUM(AH423:AH447)-($C$12-$A$12)),SUM(AH423:AH447))</f>
        <v>109</v>
      </c>
      <c r="AI449" s="2472">
        <f>IF(AND($O$12="4%",($C$12-$A$12)&gt;0),(SUM(AI423:AI447)-($C$12-$A$12)),SUM(AI423:AI447))</f>
        <v>50</v>
      </c>
      <c r="AJ449" s="2472">
        <f>SUM(AJ424:AJ447)</f>
        <v>46</v>
      </c>
      <c r="AK449" s="2012"/>
      <c r="AL449" s="2017"/>
      <c r="AM449" s="2027"/>
      <c r="AN449" s="2467"/>
      <c r="AP449" s="2108"/>
      <c r="AQ449" s="2108"/>
      <c r="AR449" s="2108"/>
      <c r="AS449" s="2108"/>
      <c r="AT449" s="2108"/>
      <c r="AU449" s="2108"/>
      <c r="AV449" s="2381">
        <f>SUM(AV423:AV447)</f>
        <v>12</v>
      </c>
      <c r="AW449" s="2381">
        <f>IF(AND($O$12="4%",($C$12-$A$12)&gt;0),(SUM(AW423:AW447)-($C$12-$A$12)),SUM(AW423:AW447))</f>
        <v>12</v>
      </c>
      <c r="AX449" s="2381">
        <f>IF(AND($O$12="4%",($C$12-$A$12)&gt;0),(SUM(AX423:AX447)-($C$12-$A$12)),SUM(AX423:AX447))</f>
        <v>12</v>
      </c>
      <c r="AY449" s="2381">
        <f>SUM(AY423:AY447)</f>
        <v>12</v>
      </c>
      <c r="AZ449" s="2382">
        <f>SUM(AZ423:AZ447)</f>
        <v>12</v>
      </c>
      <c r="BA449" s="2382">
        <f>IF(AND($O$12="4%",($D$12-$A$12)&gt;0),(SUM(BA423:BA447)-($D$12-$A$12)),SUM(BA423:BA447))</f>
        <v>12</v>
      </c>
      <c r="BB449" s="2382">
        <f>IF(AND($O$12="4%",($D$12-$A$12)&gt;0),(SUM(BB423:BB447)-($D$12-$A$12)),SUM(BB423:BB447))</f>
        <v>12</v>
      </c>
      <c r="BC449" s="2382">
        <f>SUM(BC423:BC447)</f>
        <v>12</v>
      </c>
    </row>
    <row r="450" spans="1:55">
      <c r="B450" s="2028"/>
      <c r="C450" s="2034"/>
      <c r="D450" s="2028"/>
      <c r="E450" s="2028"/>
      <c r="F450" s="2028"/>
      <c r="G450" s="2035" t="s">
        <v>920</v>
      </c>
      <c r="H450" s="2017">
        <v>2020</v>
      </c>
      <c r="I450" s="2017" t="s">
        <v>3939</v>
      </c>
      <c r="J450" s="2028" t="s">
        <v>3246</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7"/>
    </row>
    <row r="451" spans="1:55">
      <c r="B451" s="2028"/>
      <c r="C451" s="2034"/>
      <c r="D451" s="2028"/>
      <c r="E451" s="2028"/>
      <c r="F451" s="2028"/>
      <c r="G451" s="2035" t="s">
        <v>531</v>
      </c>
      <c r="H451" s="2017">
        <v>2020</v>
      </c>
      <c r="I451" s="2017" t="s">
        <v>3939</v>
      </c>
      <c r="J451" s="2028" t="s">
        <v>3172</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3940</v>
      </c>
      <c r="I452" s="2033" t="s">
        <v>2447</v>
      </c>
      <c r="J452" s="2028" t="s">
        <v>3242</v>
      </c>
      <c r="K452" s="2028"/>
      <c r="L452" s="2034"/>
      <c r="M452" s="2028"/>
      <c r="N452" s="2017"/>
      <c r="O452" s="2030"/>
      <c r="P452" s="2030"/>
      <c r="Q452" s="2028"/>
      <c r="R452" s="2028"/>
      <c r="S452" s="2028"/>
    </row>
    <row r="453" spans="1:55">
      <c r="B453" s="2028"/>
      <c r="C453" s="2034"/>
      <c r="D453" s="2028"/>
      <c r="E453" s="2028"/>
      <c r="F453" s="2028"/>
      <c r="G453" s="2035" t="s">
        <v>2937</v>
      </c>
      <c r="H453" s="2017">
        <v>2019</v>
      </c>
      <c r="I453" s="2017" t="s">
        <v>3939</v>
      </c>
      <c r="J453" s="2028" t="s">
        <v>3173</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3939</v>
      </c>
      <c r="J454" s="2028" t="s">
        <v>3243</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3939</v>
      </c>
      <c r="J455" s="2028" t="s">
        <v>3174</v>
      </c>
      <c r="K455" s="2028"/>
      <c r="L455" s="2028"/>
      <c r="M455" s="2028"/>
      <c r="N455" s="2017"/>
      <c r="O455" s="2030"/>
      <c r="P455" s="2030"/>
      <c r="Q455" s="2028"/>
      <c r="R455" s="2028"/>
      <c r="S455" s="2028"/>
      <c r="AB455" s="2297" t="s">
        <v>4915</v>
      </c>
      <c r="AC455" s="2298"/>
      <c r="AD455" s="2298"/>
      <c r="AE455" s="2299"/>
      <c r="AF455" s="2299"/>
      <c r="AG455" s="2299"/>
      <c r="AH455" s="2299"/>
      <c r="AI455" s="2300" t="s">
        <v>2881</v>
      </c>
      <c r="AJ455" s="2301" t="s">
        <v>245</v>
      </c>
      <c r="AK455" s="2302"/>
    </row>
    <row r="456" spans="1:55">
      <c r="B456" s="2028"/>
      <c r="C456" s="2028"/>
      <c r="D456" s="2028"/>
      <c r="E456" s="2028"/>
      <c r="F456" s="2028"/>
      <c r="G456" s="2035" t="s">
        <v>3260</v>
      </c>
      <c r="H456" s="2017" t="s">
        <v>3940</v>
      </c>
      <c r="I456" s="2033" t="s">
        <v>2447</v>
      </c>
      <c r="J456" s="2028" t="s">
        <v>3244</v>
      </c>
      <c r="K456" s="2028"/>
      <c r="L456" s="2034"/>
      <c r="M456" s="2028"/>
      <c r="N456" s="2017"/>
      <c r="O456" s="2030"/>
      <c r="P456" s="2030"/>
      <c r="Q456" s="2028"/>
      <c r="R456" s="2028"/>
      <c r="S456" s="2028"/>
      <c r="AB456" s="2303"/>
      <c r="AC456" s="2108" t="s">
        <v>3309</v>
      </c>
      <c r="AD456" s="2132"/>
      <c r="AE456" s="2108"/>
      <c r="AF456" s="2108"/>
      <c r="AG456" s="2108"/>
      <c r="AH456" s="2108"/>
      <c r="AI456" s="2304">
        <f>$O$206</f>
        <v>0</v>
      </c>
      <c r="AJ456" s="2305">
        <f>$P$206</f>
        <v>0</v>
      </c>
      <c r="AK456" s="2306"/>
    </row>
    <row r="457" spans="1:55">
      <c r="B457" s="2028"/>
      <c r="C457" s="2028"/>
      <c r="D457" s="2028"/>
      <c r="E457" s="2028"/>
      <c r="F457" s="2028"/>
      <c r="G457" s="2035" t="s">
        <v>506</v>
      </c>
      <c r="H457" s="2017">
        <v>2020</v>
      </c>
      <c r="I457" s="2017" t="s">
        <v>3939</v>
      </c>
      <c r="J457" s="2028" t="s">
        <v>3247</v>
      </c>
      <c r="K457" s="2028"/>
      <c r="L457" s="2034"/>
      <c r="M457" s="2028"/>
      <c r="N457" s="2028"/>
      <c r="O457" s="2028"/>
      <c r="P457" s="2028"/>
      <c r="Q457" s="2028"/>
      <c r="R457" s="2028"/>
      <c r="S457" s="2028"/>
      <c r="AB457" s="2303"/>
      <c r="AC457" s="2108" t="s">
        <v>3914</v>
      </c>
      <c r="AD457" s="2132"/>
      <c r="AE457" s="2108"/>
      <c r="AF457" s="2108"/>
      <c r="AG457" s="2108"/>
      <c r="AH457" s="2108"/>
      <c r="AI457" s="2307">
        <f>$O$238</f>
        <v>0</v>
      </c>
      <c r="AJ457" s="2308">
        <f>$P$238</f>
        <v>0</v>
      </c>
      <c r="AK457" s="2306"/>
    </row>
    <row r="458" spans="1:55">
      <c r="B458" s="2028"/>
      <c r="C458" s="2028"/>
      <c r="D458" s="2028"/>
      <c r="E458" s="2028"/>
      <c r="F458" s="2028"/>
      <c r="G458" s="2035" t="s">
        <v>375</v>
      </c>
      <c r="H458" s="2017">
        <v>2020</v>
      </c>
      <c r="I458" s="2017" t="s">
        <v>3939</v>
      </c>
      <c r="J458" s="2028" t="s">
        <v>3250</v>
      </c>
      <c r="K458" s="2028"/>
      <c r="L458" s="2028"/>
      <c r="M458" s="2028"/>
      <c r="N458" s="2028"/>
      <c r="O458" s="2028"/>
      <c r="P458" s="2028"/>
      <c r="Q458" s="2028"/>
      <c r="R458" s="2028"/>
      <c r="S458" s="2028"/>
      <c r="AB458" s="2303"/>
      <c r="AC458" s="2108" t="s">
        <v>3180</v>
      </c>
      <c r="AD458" s="2132"/>
      <c r="AE458" s="2108"/>
      <c r="AF458" s="2108"/>
      <c r="AG458" s="2108"/>
      <c r="AH458" s="2108"/>
      <c r="AI458" s="2307">
        <f>$O$265</f>
        <v>0</v>
      </c>
      <c r="AJ458" s="2308">
        <f>$P$265</f>
        <v>0</v>
      </c>
      <c r="AK458" s="2306"/>
    </row>
    <row r="459" spans="1:55">
      <c r="B459" s="2028"/>
      <c r="C459" s="2028"/>
      <c r="D459" s="2037"/>
      <c r="E459" s="2028"/>
      <c r="F459" s="2028"/>
      <c r="G459" s="2035" t="s">
        <v>1347</v>
      </c>
      <c r="H459" s="2017" t="s">
        <v>3940</v>
      </c>
      <c r="I459" s="2033" t="s">
        <v>2447</v>
      </c>
      <c r="J459" s="2028" t="s">
        <v>3175</v>
      </c>
      <c r="K459" s="2028"/>
      <c r="L459" s="2034"/>
      <c r="M459" s="2028"/>
      <c r="N459" s="2028"/>
      <c r="O459" s="2028"/>
      <c r="P459" s="2028"/>
      <c r="Q459" s="2028"/>
      <c r="R459" s="2028"/>
      <c r="S459" s="2028"/>
      <c r="AB459" s="2303"/>
      <c r="AC459" s="2108" t="s">
        <v>4841</v>
      </c>
      <c r="AD459" s="2132"/>
      <c r="AE459" s="2108"/>
      <c r="AF459" s="2108"/>
      <c r="AG459" s="2108"/>
      <c r="AH459" s="2108"/>
      <c r="AI459" s="2307">
        <f>$O$303</f>
        <v>0</v>
      </c>
      <c r="AJ459" s="2308">
        <f>$P$303</f>
        <v>0</v>
      </c>
      <c r="AK459" s="2306"/>
    </row>
    <row r="460" spans="1:55">
      <c r="B460" s="2028"/>
      <c r="C460" s="2028"/>
      <c r="D460" s="2037"/>
      <c r="E460" s="2028"/>
      <c r="F460" s="2028"/>
      <c r="G460" s="2035" t="s">
        <v>1702</v>
      </c>
      <c r="H460" s="2017" t="s">
        <v>3940</v>
      </c>
      <c r="I460" s="2033" t="s">
        <v>2447</v>
      </c>
      <c r="J460" s="2028" t="s">
        <v>3176</v>
      </c>
      <c r="K460" s="2028"/>
      <c r="L460" s="2034"/>
      <c r="M460" s="2028"/>
      <c r="N460" s="2028"/>
      <c r="O460" s="2028"/>
      <c r="P460" s="2028"/>
      <c r="Q460" s="2028"/>
      <c r="R460" s="2028"/>
      <c r="S460" s="2028"/>
      <c r="AB460" s="2309"/>
      <c r="AC460" s="2310"/>
      <c r="AD460" s="2310"/>
      <c r="AE460" s="2311"/>
      <c r="AF460" s="2311"/>
      <c r="AG460" s="2311"/>
      <c r="AH460" s="2311"/>
      <c r="AI460" s="2311"/>
      <c r="AJ460" s="2311"/>
      <c r="AK460" s="2312"/>
    </row>
    <row r="461" spans="1:55">
      <c r="B461" s="2028"/>
      <c r="C461" s="2028"/>
      <c r="D461" s="2028"/>
      <c r="E461" s="2028"/>
      <c r="F461" s="2028"/>
      <c r="G461" s="2035" t="s">
        <v>1964</v>
      </c>
      <c r="H461" s="2017">
        <v>2020</v>
      </c>
      <c r="I461" s="2017" t="s">
        <v>3939</v>
      </c>
      <c r="J461" s="2028" t="s">
        <v>3245</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3939</v>
      </c>
      <c r="J462" s="2028" t="s">
        <v>3248</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3939</v>
      </c>
      <c r="J463" s="2028" t="s">
        <v>3249</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3939</v>
      </c>
      <c r="J464" s="2028" t="s">
        <v>3177</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3939</v>
      </c>
      <c r="J465" s="2028" t="s">
        <v>3178</v>
      </c>
      <c r="K465" s="2028"/>
      <c r="L465" s="2034"/>
      <c r="M465" s="2028"/>
      <c r="N465" s="2028"/>
      <c r="O465" s="2028"/>
      <c r="P465" s="2028"/>
      <c r="Q465" s="2028"/>
      <c r="R465" s="2028"/>
      <c r="S465" s="2028"/>
    </row>
    <row r="466" spans="2:19">
      <c r="B466" s="2028"/>
      <c r="C466" s="2037"/>
      <c r="D466" s="2028"/>
      <c r="E466" s="2028"/>
      <c r="F466" s="2028"/>
      <c r="G466" s="2035" t="s">
        <v>3934</v>
      </c>
      <c r="H466" s="2017" t="s">
        <v>3940</v>
      </c>
      <c r="I466" s="2033" t="s">
        <v>2447</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3940</v>
      </c>
      <c r="I467" s="2033" t="s">
        <v>2447</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3940</v>
      </c>
      <c r="I468" s="2033" t="s">
        <v>2447</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3940</v>
      </c>
      <c r="I469" s="2033" t="s">
        <v>2447</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3939</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3939</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3939</v>
      </c>
      <c r="J472" s="2028"/>
      <c r="K472" s="2028"/>
      <c r="L472" s="2028"/>
      <c r="M472" s="2028"/>
      <c r="N472" s="2028"/>
      <c r="O472" s="2028"/>
      <c r="P472" s="2028"/>
      <c r="Q472" s="2028"/>
      <c r="R472" s="2028"/>
      <c r="S472" s="2028"/>
    </row>
    <row r="473" spans="2:19">
      <c r="B473" s="2028"/>
      <c r="C473" s="2028"/>
      <c r="D473" s="2028"/>
      <c r="E473" s="2028"/>
      <c r="F473" s="2028"/>
      <c r="G473" s="2035" t="s">
        <v>3935</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3939</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3939</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3939</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3939</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3939</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3939</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3939</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3940</v>
      </c>
      <c r="I481" s="2033" t="s">
        <v>2447</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7" customFormat="1">
      <c r="AM615" s="2128"/>
    </row>
    <row r="616" spans="39:39" s="2107" customFormat="1">
      <c r="AM616" s="2128"/>
    </row>
    <row r="617" spans="39:39" s="2107" customFormat="1">
      <c r="AM617" s="2128"/>
    </row>
    <row r="618" spans="39:39" s="2107" customFormat="1">
      <c r="AM618" s="2128"/>
    </row>
    <row r="619" spans="39:39" s="2107" customFormat="1">
      <c r="AM619" s="2128"/>
    </row>
    <row r="620" spans="39:39" s="2107" customFormat="1">
      <c r="AM620" s="2128"/>
    </row>
    <row r="621" spans="39:39" s="2107" customFormat="1">
      <c r="AM621" s="2128"/>
    </row>
    <row r="622" spans="39:39" s="2107" customFormat="1">
      <c r="AM622" s="2128"/>
    </row>
    <row r="623" spans="39:39" s="2107" customFormat="1">
      <c r="AM623" s="2128"/>
    </row>
    <row r="624" spans="39:39" s="2107" customFormat="1">
      <c r="AM624" s="2128"/>
    </row>
    <row r="625" spans="39:39" s="2107" customFormat="1">
      <c r="AM625" s="2128"/>
    </row>
    <row r="626" spans="39:39" s="2107" customFormat="1">
      <c r="AM626" s="2128"/>
    </row>
    <row r="627" spans="39:39" s="2107" customFormat="1">
      <c r="AM627" s="2128"/>
    </row>
    <row r="628" spans="39:39" s="2107" customFormat="1">
      <c r="AM628" s="2128"/>
    </row>
    <row r="629" spans="39:39" s="2107" customFormat="1">
      <c r="AM629" s="2128"/>
    </row>
    <row r="630" spans="39:39" s="2107" customFormat="1">
      <c r="AM630" s="2128"/>
    </row>
    <row r="631" spans="39:39" s="2107" customFormat="1">
      <c r="AM631" s="2128"/>
    </row>
    <row r="632" spans="39:39" s="2107" customFormat="1">
      <c r="AM632" s="2128"/>
    </row>
    <row r="633" spans="39:39" s="2107" customFormat="1">
      <c r="AM633" s="2128"/>
    </row>
    <row r="634" spans="39:39" s="2107" customFormat="1">
      <c r="AM634" s="2128"/>
    </row>
    <row r="635" spans="39:39" s="2107" customFormat="1">
      <c r="AM635" s="2128"/>
    </row>
    <row r="636" spans="39:39" s="2107" customFormat="1">
      <c r="AM636" s="2128"/>
    </row>
    <row r="637" spans="39:39" s="2107" customFormat="1">
      <c r="AM637" s="2128"/>
    </row>
    <row r="638" spans="39:39" s="2107" customFormat="1">
      <c r="AM638" s="2128"/>
    </row>
    <row r="639" spans="39:39" s="2107" customFormat="1">
      <c r="AM639" s="2128"/>
    </row>
    <row r="640" spans="39:39" s="2107" customFormat="1">
      <c r="AM640" s="2128"/>
    </row>
    <row r="641" spans="39:39" s="2107" customFormat="1">
      <c r="AM641" s="2128"/>
    </row>
    <row r="642" spans="39:39" s="2107" customFormat="1">
      <c r="AM642" s="2128"/>
    </row>
    <row r="643" spans="39:39" s="2107" customFormat="1">
      <c r="AM643" s="2128"/>
    </row>
    <row r="644" spans="39:39" s="2107" customFormat="1">
      <c r="AM644" s="2128"/>
    </row>
    <row r="645" spans="39:39" s="2107" customFormat="1">
      <c r="AM645" s="2128"/>
    </row>
    <row r="646" spans="39:39" s="2107" customFormat="1">
      <c r="AM646" s="2128"/>
    </row>
    <row r="647" spans="39:39" s="2107" customFormat="1">
      <c r="AM647" s="2128"/>
    </row>
    <row r="648" spans="39:39" s="2107" customFormat="1">
      <c r="AM648" s="2128"/>
    </row>
    <row r="649" spans="39:39" s="2107" customFormat="1">
      <c r="AM649" s="2128"/>
    </row>
    <row r="650" spans="39:39" s="2107" customFormat="1">
      <c r="AM650" s="2128"/>
    </row>
    <row r="651" spans="39:39" s="2107" customFormat="1">
      <c r="AM651" s="2128"/>
    </row>
    <row r="652" spans="39:39" s="2107" customFormat="1">
      <c r="AM652" s="2128"/>
    </row>
    <row r="653" spans="39:39" s="2107" customFormat="1">
      <c r="AM653" s="2128"/>
    </row>
    <row r="654" spans="39:39" s="2107" customFormat="1">
      <c r="AM654" s="2128"/>
    </row>
    <row r="655" spans="39:39" s="2107" customFormat="1">
      <c r="AM655" s="2128"/>
    </row>
    <row r="656" spans="39:39" s="2107" customFormat="1">
      <c r="AM656" s="2128"/>
    </row>
    <row r="657" spans="39:39" s="2107" customFormat="1">
      <c r="AM657" s="2128"/>
    </row>
    <row r="658" spans="39:39" s="2107" customFormat="1">
      <c r="AM658" s="2128"/>
    </row>
    <row r="659" spans="39:39" s="2107" customFormat="1">
      <c r="AM659" s="2128"/>
    </row>
    <row r="660" spans="39:39" s="2107" customFormat="1">
      <c r="AM660" s="2128"/>
    </row>
    <row r="661" spans="39:39" s="2107" customFormat="1">
      <c r="AM661" s="2128"/>
    </row>
    <row r="662" spans="39:39" s="2107" customFormat="1">
      <c r="AM662" s="2128"/>
    </row>
    <row r="663" spans="39:39" s="2107" customFormat="1">
      <c r="AM663" s="2128"/>
    </row>
    <row r="664" spans="39:39" s="2107" customFormat="1">
      <c r="AM664" s="2128"/>
    </row>
    <row r="665" spans="39:39" s="2107" customFormat="1">
      <c r="AM665" s="2128"/>
    </row>
    <row r="666" spans="39:39" s="2107" customFormat="1">
      <c r="AM666" s="2128"/>
    </row>
    <row r="667" spans="39:39" s="2107" customFormat="1">
      <c r="AM667" s="2128"/>
    </row>
    <row r="668" spans="39:39" s="2107" customFormat="1">
      <c r="AM668" s="2128"/>
    </row>
    <row r="669" spans="39:39" s="2107" customFormat="1">
      <c r="AM669" s="2128"/>
    </row>
    <row r="670" spans="39:39" s="2107" customFormat="1">
      <c r="AM670" s="2128"/>
    </row>
    <row r="671" spans="39:39" s="2107" customFormat="1">
      <c r="AM671" s="2128"/>
    </row>
    <row r="672" spans="39:39" s="2107" customFormat="1">
      <c r="AM672" s="2128"/>
    </row>
    <row r="673" spans="39:39" s="2107" customFormat="1">
      <c r="AM673" s="2128"/>
    </row>
    <row r="674" spans="39:39" s="2107" customFormat="1">
      <c r="AM674" s="2128"/>
    </row>
    <row r="675" spans="39:39" s="2107" customFormat="1">
      <c r="AM675" s="2128"/>
    </row>
    <row r="676" spans="39:39" s="2107" customFormat="1">
      <c r="AM676" s="2128"/>
    </row>
    <row r="677" spans="39:39" s="2107" customFormat="1">
      <c r="AM677" s="2128"/>
    </row>
    <row r="678" spans="39:39" s="2107" customFormat="1">
      <c r="AM678" s="2128"/>
    </row>
    <row r="679" spans="39:39" s="2107" customFormat="1">
      <c r="AM679" s="2128"/>
    </row>
    <row r="680" spans="39:39" s="2107" customFormat="1">
      <c r="AM680" s="2128"/>
    </row>
    <row r="681" spans="39:39" s="2107" customFormat="1">
      <c r="AM681" s="2128"/>
    </row>
    <row r="682" spans="39:39" s="2107" customFormat="1">
      <c r="AM682" s="2128"/>
    </row>
    <row r="683" spans="39:39" s="2107" customFormat="1">
      <c r="AM683" s="2128"/>
    </row>
    <row r="684" spans="39:39" s="2107" customFormat="1">
      <c r="AM684" s="2128"/>
    </row>
    <row r="685" spans="39:39" s="2107" customFormat="1">
      <c r="AM685" s="2128"/>
    </row>
    <row r="686" spans="39:39" s="2107" customFormat="1">
      <c r="AM686" s="2128"/>
    </row>
    <row r="687" spans="39:39" s="2107" customFormat="1">
      <c r="AM687" s="2128"/>
    </row>
    <row r="688" spans="39:39" s="2107" customFormat="1">
      <c r="AM688" s="2128"/>
    </row>
    <row r="689" spans="39:39" s="2107" customFormat="1">
      <c r="AM689" s="2128"/>
    </row>
    <row r="690" spans="39:39" s="2107" customFormat="1">
      <c r="AM690" s="2128"/>
    </row>
    <row r="691" spans="39:39" s="2107" customFormat="1">
      <c r="AM691" s="2128"/>
    </row>
    <row r="692" spans="39:39" s="2107" customFormat="1">
      <c r="AM692" s="2128"/>
    </row>
    <row r="693" spans="39:39" s="2107" customFormat="1">
      <c r="AM693" s="2128"/>
    </row>
    <row r="694" spans="39:39" s="2107" customFormat="1">
      <c r="AM694" s="2128"/>
    </row>
    <row r="695" spans="39:39" s="2107" customFormat="1">
      <c r="AM695" s="2128"/>
    </row>
    <row r="696" spans="39:39" s="2107" customFormat="1">
      <c r="AM696" s="2128"/>
    </row>
    <row r="697" spans="39:39" s="2107" customFormat="1">
      <c r="AM697" s="2128"/>
    </row>
    <row r="698" spans="39:39" s="2107" customFormat="1">
      <c r="AM698" s="2128"/>
    </row>
    <row r="699" spans="39:39" s="2107" customFormat="1">
      <c r="AM699" s="2128"/>
    </row>
    <row r="700" spans="39:39" s="2107" customFormat="1">
      <c r="AM700" s="2128"/>
    </row>
    <row r="701" spans="39:39" s="2107" customFormat="1">
      <c r="AM701" s="2128"/>
    </row>
    <row r="702" spans="39:39" s="2107" customFormat="1">
      <c r="AM702" s="2128"/>
    </row>
    <row r="703" spans="39:39" s="2107" customFormat="1">
      <c r="AM703" s="2128"/>
    </row>
    <row r="704" spans="39:39" s="2107" customFormat="1">
      <c r="AM704" s="2128"/>
    </row>
    <row r="705" spans="39:39" s="2107" customFormat="1">
      <c r="AM705" s="2128"/>
    </row>
    <row r="706" spans="39:39" s="2107" customFormat="1">
      <c r="AM706" s="2128"/>
    </row>
    <row r="707" spans="39:39" s="2107" customFormat="1">
      <c r="AM707" s="2128"/>
    </row>
    <row r="708" spans="39:39" s="2107" customFormat="1">
      <c r="AM708" s="2128"/>
    </row>
    <row r="709" spans="39:39" s="2107" customFormat="1">
      <c r="AM709" s="2128"/>
    </row>
    <row r="710" spans="39:39" s="2107" customFormat="1">
      <c r="AM710" s="2128"/>
    </row>
    <row r="711" spans="39:39" s="2107" customFormat="1">
      <c r="AM711" s="2128"/>
    </row>
    <row r="712" spans="39:39" s="2107" customFormat="1">
      <c r="AM712" s="2128"/>
    </row>
    <row r="713" spans="39:39" s="2107" customFormat="1">
      <c r="AM713" s="2128"/>
    </row>
    <row r="714" spans="39:39" s="2107" customFormat="1">
      <c r="AM714" s="2128"/>
    </row>
    <row r="715" spans="39:39" s="2107" customFormat="1">
      <c r="AM715" s="2128"/>
    </row>
    <row r="716" spans="39:39" s="2107" customFormat="1">
      <c r="AM716" s="2128"/>
    </row>
    <row r="717" spans="39:39" s="2107" customFormat="1">
      <c r="AM717" s="2128"/>
    </row>
    <row r="718" spans="39:39" s="2107" customFormat="1">
      <c r="AM718" s="2128"/>
    </row>
    <row r="719" spans="39:39" s="2107" customFormat="1">
      <c r="AM719" s="2128"/>
    </row>
    <row r="720" spans="39:39" s="2107" customFormat="1">
      <c r="AM720" s="2128"/>
    </row>
    <row r="721" spans="39:39" s="2107" customFormat="1">
      <c r="AM721" s="2128"/>
    </row>
    <row r="722" spans="39:39" s="2107" customFormat="1">
      <c r="AM722" s="2128"/>
    </row>
    <row r="723" spans="39:39" s="2107" customFormat="1">
      <c r="AM723" s="2128"/>
    </row>
    <row r="724" spans="39:39" s="2107" customFormat="1">
      <c r="AM724" s="2128"/>
    </row>
    <row r="725" spans="39:39" s="2107" customFormat="1">
      <c r="AM725" s="2128"/>
    </row>
    <row r="726" spans="39:39" s="2107" customFormat="1">
      <c r="AM726" s="2128"/>
    </row>
    <row r="727" spans="39:39" s="2107" customFormat="1">
      <c r="AM727" s="2128"/>
    </row>
    <row r="728" spans="39:39" s="2107" customFormat="1">
      <c r="AM728" s="2128"/>
    </row>
    <row r="729" spans="39:39" s="2107" customFormat="1">
      <c r="AM729" s="2128"/>
    </row>
    <row r="730" spans="39:39" s="2107" customFormat="1">
      <c r="AM730" s="2128"/>
    </row>
    <row r="731" spans="39:39" s="2107" customFormat="1">
      <c r="AM731" s="2128"/>
    </row>
    <row r="732" spans="39:39" s="2107" customFormat="1">
      <c r="AM732" s="2128"/>
    </row>
    <row r="733" spans="39:39" s="2107" customFormat="1">
      <c r="AM733" s="2128"/>
    </row>
    <row r="734" spans="39:39" s="2107" customFormat="1">
      <c r="AM734" s="2128"/>
    </row>
    <row r="735" spans="39:39" s="2107" customFormat="1">
      <c r="AM735" s="2128"/>
    </row>
    <row r="736" spans="39:39" s="2107" customFormat="1">
      <c r="AM736" s="2128"/>
    </row>
    <row r="737" spans="39:39" s="2107" customFormat="1">
      <c r="AM737" s="2128"/>
    </row>
    <row r="738" spans="39:39" s="2107" customFormat="1">
      <c r="AM738" s="2128"/>
    </row>
    <row r="739" spans="39:39" s="2107" customFormat="1">
      <c r="AM739" s="2128"/>
    </row>
    <row r="740" spans="39:39" s="2107" customFormat="1">
      <c r="AM740" s="2128"/>
    </row>
    <row r="741" spans="39:39" s="2107" customFormat="1">
      <c r="AM741" s="2128"/>
    </row>
    <row r="742" spans="39:39" s="2107" customFormat="1">
      <c r="AM742" s="2128"/>
    </row>
    <row r="743" spans="39:39" s="2107" customFormat="1">
      <c r="AM743" s="2128"/>
    </row>
    <row r="744" spans="39:39" s="2107" customFormat="1">
      <c r="AM744" s="2128"/>
    </row>
    <row r="745" spans="39:39" s="2107" customFormat="1">
      <c r="AM745" s="2128"/>
    </row>
    <row r="746" spans="39:39" s="2107" customFormat="1">
      <c r="AM746" s="2128"/>
    </row>
    <row r="747" spans="39:39" s="2107" customFormat="1">
      <c r="AM747" s="2128"/>
    </row>
    <row r="748" spans="39:39" s="2107" customFormat="1">
      <c r="AM748" s="2128"/>
    </row>
    <row r="749" spans="39:39" s="2107" customFormat="1">
      <c r="AM749" s="2128"/>
    </row>
    <row r="750" spans="39:39" s="2107" customFormat="1">
      <c r="AM750" s="2128"/>
    </row>
    <row r="751" spans="39:39" s="2107" customFormat="1">
      <c r="AM751" s="2128"/>
    </row>
    <row r="752" spans="39:39" s="2107" customFormat="1">
      <c r="AM752" s="2128"/>
    </row>
    <row r="753" spans="39:39" s="2107" customFormat="1">
      <c r="AM753" s="2128"/>
    </row>
    <row r="754" spans="39:39" s="2107" customFormat="1">
      <c r="AM754" s="2128"/>
    </row>
    <row r="755" spans="39:39" s="2107" customFormat="1">
      <c r="AM755" s="2128"/>
    </row>
    <row r="756" spans="39:39" s="2107" customFormat="1">
      <c r="AM756" s="2128"/>
    </row>
    <row r="757" spans="39:39" s="2107" customFormat="1">
      <c r="AM757" s="2128"/>
    </row>
    <row r="758" spans="39:39" s="2107" customFormat="1">
      <c r="AM758" s="2128"/>
    </row>
    <row r="759" spans="39:39" s="2107" customFormat="1">
      <c r="AM759" s="2128"/>
    </row>
    <row r="760" spans="39:39" s="2107" customFormat="1">
      <c r="AM760" s="2128"/>
    </row>
    <row r="761" spans="39:39" s="2107" customFormat="1">
      <c r="AM761" s="2128"/>
    </row>
    <row r="762" spans="39:39" s="2107" customFormat="1">
      <c r="AM762" s="2128"/>
    </row>
    <row r="763" spans="39:39" s="2107" customFormat="1">
      <c r="AM763" s="2128"/>
    </row>
    <row r="764" spans="39:39" s="2107" customFormat="1">
      <c r="AM764" s="2128"/>
    </row>
    <row r="765" spans="39:39" s="2107" customFormat="1">
      <c r="AM765" s="2128"/>
    </row>
    <row r="766" spans="39:39" s="2107" customFormat="1">
      <c r="AM766" s="2128"/>
    </row>
    <row r="767" spans="39:39" s="2107" customFormat="1">
      <c r="AM767" s="2128"/>
    </row>
    <row r="768" spans="39:39" s="2107" customFormat="1">
      <c r="AM768" s="2128"/>
    </row>
    <row r="769" spans="39:39" s="2107" customFormat="1">
      <c r="AM769" s="2128"/>
    </row>
    <row r="770" spans="39:39" s="2107" customFormat="1">
      <c r="AM770" s="2128"/>
    </row>
    <row r="771" spans="39:39" s="2107" customFormat="1">
      <c r="AM771" s="2128"/>
    </row>
    <row r="772" spans="39:39" s="2107" customFormat="1">
      <c r="AM772" s="2128"/>
    </row>
    <row r="773" spans="39:39" s="2107" customFormat="1">
      <c r="AM773" s="2128"/>
    </row>
    <row r="774" spans="39:39" s="2107" customFormat="1">
      <c r="AM774" s="2128"/>
    </row>
    <row r="775" spans="39:39" s="2107" customFormat="1">
      <c r="AM775" s="2128"/>
    </row>
    <row r="776" spans="39:39" s="2107" customFormat="1">
      <c r="AM776" s="2128"/>
    </row>
    <row r="777" spans="39:39" s="2107" customFormat="1">
      <c r="AM777" s="2128"/>
    </row>
    <row r="778" spans="39:39" s="2107" customFormat="1">
      <c r="AM778" s="2128"/>
    </row>
    <row r="779" spans="39:39" s="2107" customFormat="1">
      <c r="AM779" s="2128"/>
    </row>
    <row r="780" spans="39:39" s="2107" customFormat="1">
      <c r="AM780" s="2128"/>
    </row>
    <row r="781" spans="39:39" s="2107" customFormat="1">
      <c r="AM781" s="2128"/>
    </row>
    <row r="782" spans="39:39" s="2107" customFormat="1">
      <c r="AM782" s="2128"/>
    </row>
    <row r="783" spans="39:39" s="2107" customFormat="1">
      <c r="AM783" s="2128"/>
    </row>
    <row r="784" spans="39:39" s="2107" customFormat="1">
      <c r="AM784" s="2128"/>
    </row>
    <row r="785" spans="39:39" s="2107" customFormat="1">
      <c r="AM785" s="2128"/>
    </row>
    <row r="786" spans="39:39" s="2107" customFormat="1">
      <c r="AM786" s="2128"/>
    </row>
    <row r="787" spans="39:39" s="2107" customFormat="1">
      <c r="AM787" s="2128"/>
    </row>
    <row r="788" spans="39:39" s="2107" customFormat="1">
      <c r="AM788" s="2128"/>
    </row>
    <row r="789" spans="39:39" s="2107" customFormat="1">
      <c r="AM789" s="2128"/>
    </row>
    <row r="790" spans="39:39" s="2107" customFormat="1">
      <c r="AM790" s="2128"/>
    </row>
    <row r="791" spans="39:39" s="2107" customFormat="1">
      <c r="AM791" s="2128"/>
    </row>
    <row r="792" spans="39:39" s="2107" customFormat="1">
      <c r="AM792" s="2128"/>
    </row>
    <row r="793" spans="39:39" s="2107" customFormat="1">
      <c r="AM793" s="2128"/>
    </row>
    <row r="794" spans="39:39" s="2107" customFormat="1">
      <c r="AM794" s="2128"/>
    </row>
    <row r="795" spans="39:39" s="2107" customFormat="1">
      <c r="AM795" s="2128"/>
    </row>
    <row r="796" spans="39:39" s="2107" customFormat="1">
      <c r="AM796" s="2128"/>
    </row>
    <row r="797" spans="39:39" s="2107" customFormat="1">
      <c r="AM797" s="2128"/>
    </row>
    <row r="798" spans="39:39" s="2107" customFormat="1">
      <c r="AM798" s="2128"/>
    </row>
    <row r="799" spans="39:39" s="2107" customFormat="1">
      <c r="AM799" s="2128"/>
    </row>
    <row r="800" spans="39:39" s="2107" customFormat="1">
      <c r="AM800" s="2128"/>
    </row>
    <row r="801" spans="39:39" s="2107" customFormat="1">
      <c r="AM801" s="2128"/>
    </row>
    <row r="802" spans="39:39" s="2107" customFormat="1">
      <c r="AM802" s="2128"/>
    </row>
    <row r="803" spans="39:39" s="2107" customFormat="1">
      <c r="AM803" s="2128"/>
    </row>
  </sheetData>
  <sheetProtection algorithmName="SHA-512" hashValue="Bh4+oC6OVZNb87clhlwE34Hjc1YNV1J5ggQGyf+kY692OXel359Fphz9sgYBfqL1hzeUSVw6BXiRNuKIuhPigQ==" saltValue="0CCOvx6rUw4C4YJ7XKfMaA==" spinCount="100000" sheet="1" objects="1" scenarios="1"/>
  <mergeCells count="306">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F373:G374"/>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3" operator="containsText" text="&lt;&lt; Select Election or Income Averaging &gt;&gt;">
      <formula>NOT(ISERROR(SEARCH("&lt;&lt; Select Election or Income Averaging &gt;&gt;",J143)))</formula>
    </cfRule>
  </conditionalFormatting>
  <conditionalFormatting sqref="J317">
    <cfRule type="cellIs" dxfId="173" priority="28" stopIfTrue="1" operator="equal">
      <formula>"* * Check Score! * *"</formula>
    </cfRule>
  </conditionalFormatting>
  <conditionalFormatting sqref="L22:L23 L388:L398">
    <cfRule type="cellIs" dxfId="172" priority="80" stopIfTrue="1" operator="equal">
      <formula>"* * Check Score! * *"</formula>
    </cfRule>
  </conditionalFormatting>
  <conditionalFormatting sqref="L25">
    <cfRule type="cellIs" dxfId="171" priority="81" stopIfTrue="1" operator="equal">
      <formula>"* * Check Score! * *"</formula>
    </cfRule>
  </conditionalFormatting>
  <conditionalFormatting sqref="L27">
    <cfRule type="cellIs" dxfId="170" priority="77" stopIfTrue="1" operator="equal">
      <formula>"* * Check Score! * *"</formula>
    </cfRule>
  </conditionalFormatting>
  <conditionalFormatting sqref="L56">
    <cfRule type="cellIs" dxfId="169" priority="79" stopIfTrue="1" operator="equal">
      <formula>"* * Check Score! * *"</formula>
    </cfRule>
  </conditionalFormatting>
  <conditionalFormatting sqref="L78:L80">
    <cfRule type="cellIs" dxfId="168" priority="68" stopIfTrue="1" operator="equal">
      <formula>"* * Check Score! * *"</formula>
    </cfRule>
  </conditionalFormatting>
  <conditionalFormatting sqref="L121">
    <cfRule type="cellIs" dxfId="167" priority="67" stopIfTrue="1" operator="equal">
      <formula>"* * Check Score! * *"</formula>
    </cfRule>
  </conditionalFormatting>
  <conditionalFormatting sqref="L124:L126">
    <cfRule type="cellIs" dxfId="166" priority="64" stopIfTrue="1" operator="equal">
      <formula>"* * Check Score! * *"</formula>
    </cfRule>
  </conditionalFormatting>
  <conditionalFormatting sqref="L128:L132">
    <cfRule type="cellIs" dxfId="165" priority="65" stopIfTrue="1" operator="equal">
      <formula>"* * Check Score! * *"</formula>
    </cfRule>
  </conditionalFormatting>
  <conditionalFormatting sqref="L144:L145">
    <cfRule type="cellIs" dxfId="164" priority="60" stopIfTrue="1" operator="equal">
      <formula>"* * Check Score! * *"</formula>
    </cfRule>
  </conditionalFormatting>
  <conditionalFormatting sqref="L161">
    <cfRule type="cellIs" dxfId="163" priority="1" stopIfTrue="1" operator="equal">
      <formula>"* * Check Score! * *"</formula>
    </cfRule>
  </conditionalFormatting>
  <conditionalFormatting sqref="L177:L178">
    <cfRule type="cellIs" dxfId="162" priority="8" stopIfTrue="1" operator="equal">
      <formula>"* * Check Score! * *"</formula>
    </cfRule>
  </conditionalFormatting>
  <conditionalFormatting sqref="L181:L183">
    <cfRule type="cellIs" dxfId="161" priority="54" stopIfTrue="1" operator="equal">
      <formula>"* * Check Score! * *"</formula>
    </cfRule>
  </conditionalFormatting>
  <conditionalFormatting sqref="L213:L214">
    <cfRule type="cellIs" dxfId="160" priority="52" stopIfTrue="1" operator="equal">
      <formula>"* * Check Score! * *"</formula>
    </cfRule>
  </conditionalFormatting>
  <conditionalFormatting sqref="L220:L221">
    <cfRule type="cellIs" dxfId="159" priority="50" stopIfTrue="1" operator="equal">
      <formula>"* * Check Score! * *"</formula>
    </cfRule>
  </conditionalFormatting>
  <conditionalFormatting sqref="L225:L227">
    <cfRule type="cellIs" dxfId="158" priority="45" stopIfTrue="1" operator="equal">
      <formula>"* * Check Score! * *"</formula>
    </cfRule>
  </conditionalFormatting>
  <conditionalFormatting sqref="L238">
    <cfRule type="cellIs" dxfId="157" priority="44" stopIfTrue="1" operator="equal">
      <formula>"* * Check Score! * *"</formula>
    </cfRule>
  </conditionalFormatting>
  <conditionalFormatting sqref="L309:L310">
    <cfRule type="cellIs" dxfId="156" priority="29" stopIfTrue="1" operator="equal">
      <formula>"* * Check Score! * *"</formula>
    </cfRule>
  </conditionalFormatting>
  <conditionalFormatting sqref="L332:L333">
    <cfRule type="cellIs" dxfId="155" priority="26" stopIfTrue="1" operator="equal">
      <formula>"* * Check Score! * *"</formula>
    </cfRule>
  </conditionalFormatting>
  <conditionalFormatting sqref="L341">
    <cfRule type="cellIs" dxfId="154" priority="25" stopIfTrue="1" operator="equal">
      <formula>"* * Check Score! * *"</formula>
    </cfRule>
  </conditionalFormatting>
  <conditionalFormatting sqref="L343">
    <cfRule type="cellIs" dxfId="153" priority="24" stopIfTrue="1" operator="equal">
      <formula>"* * Check Score! * *"</formula>
    </cfRule>
  </conditionalFormatting>
  <conditionalFormatting sqref="L351:L352">
    <cfRule type="cellIs" dxfId="152" priority="9" stopIfTrue="1" operator="equal">
      <formula>"* * Check Score! * *"</formula>
    </cfRule>
  </conditionalFormatting>
  <conditionalFormatting sqref="N359:N360">
    <cfRule type="cellIs" dxfId="151" priority="83" stopIfTrue="1" operator="equal">
      <formula>"* * Check Score! * *"</formula>
    </cfRule>
  </conditionalFormatting>
  <conditionalFormatting sqref="O144:O145">
    <cfRule type="cellIs" dxfId="150" priority="74" operator="notEqual">
      <formula>$M144</formula>
    </cfRule>
  </conditionalFormatting>
  <conditionalFormatting sqref="O147">
    <cfRule type="cellIs" dxfId="149" priority="70" operator="notEqual">
      <formula>$M147</formula>
    </cfRule>
  </conditionalFormatting>
  <conditionalFormatting sqref="O161:O162">
    <cfRule type="cellIs" priority="82" operator="notEqual">
      <formula>$M161</formula>
    </cfRule>
  </conditionalFormatting>
  <conditionalFormatting sqref="O178">
    <cfRule type="cellIs" dxfId="148" priority="76" operator="notEqual">
      <formula>$M178</formula>
    </cfRule>
  </conditionalFormatting>
  <conditionalFormatting sqref="O181">
    <cfRule type="cellIs" dxfId="147" priority="84" operator="notEqual">
      <formula>$M181</formula>
    </cfRule>
  </conditionalFormatting>
  <conditionalFormatting sqref="O182:O183 O213:O214">
    <cfRule type="cellIs" dxfId="146" priority="75" operator="notEqual">
      <formula>$M182</formula>
    </cfRule>
  </conditionalFormatting>
  <conditionalFormatting sqref="O217:O221">
    <cfRule type="cellIs" dxfId="145" priority="63" operator="notEqual">
      <formula>$M217</formula>
    </cfRule>
  </conditionalFormatting>
  <conditionalFormatting sqref="O223">
    <cfRule type="cellIs" dxfId="144" priority="7" operator="notEqual">
      <formula>$M223</formula>
    </cfRule>
  </conditionalFormatting>
  <conditionalFormatting sqref="O225:O228">
    <cfRule type="cellIs" dxfId="143" priority="49" operator="notEqual">
      <formula>$M225</formula>
    </cfRule>
  </conditionalFormatting>
  <conditionalFormatting sqref="O230:O231">
    <cfRule type="cellIs" dxfId="142" priority="3" operator="notEqual">
      <formula>$M230</formula>
    </cfRule>
  </conditionalFormatting>
  <conditionalFormatting sqref="O288:O289">
    <cfRule type="cellIs" dxfId="141" priority="40" operator="notEqual">
      <formula>$M288</formula>
    </cfRule>
  </conditionalFormatting>
  <conditionalFormatting sqref="O291:O292">
    <cfRule type="cellIs" dxfId="140" priority="36" operator="notEqual">
      <formula>$M291</formula>
    </cfRule>
  </conditionalFormatting>
  <conditionalFormatting sqref="O294">
    <cfRule type="cellIs" dxfId="139" priority="34" operator="notEqual">
      <formula>$M294</formula>
    </cfRule>
  </conditionalFormatting>
  <conditionalFormatting sqref="O309">
    <cfRule type="cellIs" dxfId="138" priority="32" operator="notEqual">
      <formula>$M309</formula>
    </cfRule>
  </conditionalFormatting>
  <conditionalFormatting sqref="O332:O333">
    <cfRule type="cellIs" dxfId="137" priority="21" operator="notEqual">
      <formula>$M332</formula>
    </cfRule>
  </conditionalFormatting>
  <conditionalFormatting sqref="O341">
    <cfRule type="cellIs" dxfId="136" priority="19" operator="notEqual">
      <formula>$M341</formula>
    </cfRule>
  </conditionalFormatting>
  <conditionalFormatting sqref="O343">
    <cfRule type="cellIs" dxfId="135" priority="17" operator="notEqual">
      <formula>$M343</formula>
    </cfRule>
  </conditionalFormatting>
  <conditionalFormatting sqref="O351:O352">
    <cfRule type="cellIs" dxfId="134" priority="13" operator="notEqual">
      <formula>$M351</formula>
    </cfRule>
  </conditionalFormatting>
  <conditionalFormatting sqref="O141:P141">
    <cfRule type="containsText" dxfId="133" priority="72" operator="containsText" text="AorB?">
      <formula>NOT(ISERROR(SEARCH("AorB?",O141)))</formula>
    </cfRule>
  </conditionalFormatting>
  <conditionalFormatting sqref="O317:P317">
    <cfRule type="cellIs" dxfId="132" priority="43" operator="greaterThan">
      <formula>M317</formula>
    </cfRule>
  </conditionalFormatting>
  <conditionalFormatting sqref="O359:P359">
    <cfRule type="cellIs" dxfId="131" priority="11" operator="greaterThan">
      <formula>M359</formula>
    </cfRule>
  </conditionalFormatting>
  <conditionalFormatting sqref="P213:P214">
    <cfRule type="cellIs" dxfId="130" priority="71" operator="notEqual">
      <formula>$M213</formula>
    </cfRule>
  </conditionalFormatting>
  <conditionalFormatting sqref="P217:P221">
    <cfRule type="cellIs" dxfId="129" priority="62" operator="notEqual">
      <formula>$M217</formula>
    </cfRule>
  </conditionalFormatting>
  <conditionalFormatting sqref="P223">
    <cfRule type="cellIs" dxfId="128" priority="6" operator="notEqual">
      <formula>$M223</formula>
    </cfRule>
  </conditionalFormatting>
  <conditionalFormatting sqref="P225:P228">
    <cfRule type="cellIs" dxfId="127" priority="48" operator="notEqual">
      <formula>$M225</formula>
    </cfRule>
  </conditionalFormatting>
  <conditionalFormatting sqref="P230:P231">
    <cfRule type="cellIs" dxfId="126" priority="2" operator="notEqual">
      <formula>$M230</formula>
    </cfRule>
  </conditionalFormatting>
  <conditionalFormatting sqref="P288:P294">
    <cfRule type="cellIs" dxfId="125" priority="33" operator="notEqual">
      <formula>$M288</formula>
    </cfRule>
  </conditionalFormatting>
  <conditionalFormatting sqref="P309">
    <cfRule type="cellIs" dxfId="124" priority="31" operator="notEqual">
      <formula>$M309</formula>
    </cfRule>
  </conditionalFormatting>
  <conditionalFormatting sqref="P332:P333">
    <cfRule type="cellIs" dxfId="123" priority="20" operator="notEqual">
      <formula>$M332</formula>
    </cfRule>
  </conditionalFormatting>
  <conditionalFormatting sqref="P341">
    <cfRule type="cellIs" dxfId="122" priority="18" operator="notEqual">
      <formula>$M341</formula>
    </cfRule>
  </conditionalFormatting>
  <conditionalFormatting sqref="P343">
    <cfRule type="cellIs" dxfId="121" priority="16" operator="notEqual">
      <formula>$M343</formula>
    </cfRule>
  </conditionalFormatting>
  <conditionalFormatting sqref="P351:P352">
    <cfRule type="cellIs" dxfId="120" priority="12"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244:P252 P96:P97 P259:P262 P90"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265625" defaultRowHeight="12.5"/>
  <cols>
    <col min="1" max="1" width="11.1796875" style="356" customWidth="1"/>
    <col min="2" max="8" width="9" style="356" bestFit="1" customWidth="1"/>
    <col min="9" max="9" width="14.26953125" style="356" bestFit="1" customWidth="1"/>
    <col min="10" max="10" width="9" style="356" bestFit="1" customWidth="1"/>
    <col min="11" max="11" width="9.54296875" style="356" bestFit="1" customWidth="1"/>
    <col min="12" max="21" width="9" style="356" bestFit="1" customWidth="1"/>
    <col min="22" max="22" width="9.81640625" style="356" bestFit="1" customWidth="1"/>
    <col min="23" max="23" width="9" style="356" bestFit="1" customWidth="1"/>
    <col min="24" max="24" width="11.26953125" style="356" bestFit="1" customWidth="1"/>
    <col min="25" max="359" width="9" style="356" bestFit="1" customWidth="1"/>
    <col min="360" max="16384" width="8.7265625" style="356"/>
  </cols>
  <sheetData>
    <row r="1" spans="1:16" ht="13">
      <c r="A1" s="2502" t="str">
        <f>'Part I-Project Identification'!A2</f>
        <v>Part I-Project Identification - 2024-5 , &lt;&lt; Select from list &gt;&gt;, Select City first County</v>
      </c>
      <c r="B1" s="2502"/>
      <c r="C1" s="2502"/>
      <c r="D1" s="2502"/>
      <c r="E1" s="2502"/>
      <c r="F1" s="2502"/>
      <c r="G1" s="2502"/>
      <c r="H1" s="2502"/>
      <c r="I1" s="2502"/>
      <c r="J1" s="2502"/>
      <c r="K1" s="2502"/>
      <c r="L1" s="2502"/>
      <c r="M1" s="2502"/>
      <c r="N1" s="2502"/>
      <c r="O1" s="2502"/>
      <c r="P1" s="2502"/>
    </row>
    <row r="2" spans="1:16" ht="13">
      <c r="A2" s="2503"/>
      <c r="B2" s="2503"/>
      <c r="C2" s="2503"/>
      <c r="D2" s="2503"/>
      <c r="E2" s="2503"/>
      <c r="F2" s="2503"/>
      <c r="G2" s="2503"/>
      <c r="H2" s="2503"/>
      <c r="I2" s="2503"/>
      <c r="J2" s="2503"/>
      <c r="K2" s="2503"/>
      <c r="L2" s="2503"/>
      <c r="M2" s="2503"/>
      <c r="N2" s="2503"/>
      <c r="O2" s="2503"/>
      <c r="P2" s="2503"/>
    </row>
    <row r="3" spans="1:16" ht="13" customHeight="1">
      <c r="A3" s="2502" t="s">
        <v>5063</v>
      </c>
      <c r="B3" s="2502"/>
      <c r="C3" s="2502"/>
      <c r="D3" s="2502"/>
      <c r="E3" s="2502"/>
      <c r="F3" s="2502"/>
      <c r="G3" s="2502"/>
      <c r="H3" s="2502"/>
      <c r="I3" s="2502"/>
      <c r="J3" s="2502"/>
      <c r="K3" s="2502"/>
      <c r="L3" s="2502"/>
      <c r="M3" s="2502"/>
      <c r="N3" s="2502"/>
      <c r="O3" s="2502"/>
      <c r="P3" s="2502"/>
    </row>
    <row r="4" spans="1:16" ht="13">
      <c r="A4" s="2503"/>
      <c r="B4" s="2503"/>
      <c r="C4" s="2503"/>
      <c r="D4" s="2503"/>
      <c r="E4" s="2503"/>
      <c r="F4" s="2503"/>
      <c r="G4" s="2503"/>
      <c r="H4" s="2503"/>
      <c r="I4" s="2503"/>
      <c r="J4" s="2503"/>
      <c r="K4" s="2503"/>
      <c r="L4" s="2503"/>
      <c r="M4" s="2503"/>
      <c r="N4" s="2503"/>
      <c r="O4" s="2503"/>
      <c r="P4" s="2503"/>
    </row>
    <row r="5" spans="1:16" ht="13.5" customHeight="1">
      <c r="A5" s="2504" t="str">
        <f>'Part I-Project Identification'!A6</f>
        <v>4% Credit Core
Sept 26, 2024</v>
      </c>
      <c r="B5" s="2505"/>
      <c r="C5" s="2505"/>
      <c r="D5" s="2505"/>
      <c r="E5" s="1729"/>
      <c r="F5" s="2503"/>
      <c r="G5" s="2506" t="s">
        <v>5064</v>
      </c>
      <c r="H5" s="1729"/>
      <c r="I5" s="1729"/>
      <c r="J5" s="1729"/>
      <c r="K5" s="1729"/>
      <c r="L5" s="2503"/>
      <c r="M5" s="1729"/>
      <c r="N5" s="1729"/>
      <c r="O5" s="1729"/>
      <c r="P5" s="2507" t="s">
        <v>3208</v>
      </c>
    </row>
    <row r="6" spans="1:16" ht="13.5" customHeight="1">
      <c r="A6" s="2505"/>
      <c r="B6" s="2505"/>
      <c r="C6" s="2505"/>
      <c r="D6" s="2505"/>
      <c r="E6" s="358"/>
      <c r="F6" s="2503"/>
      <c r="G6" s="2506" t="s">
        <v>5065</v>
      </c>
      <c r="H6" s="1534"/>
      <c r="I6" s="1534"/>
      <c r="J6" s="1534"/>
      <c r="K6" s="1729"/>
      <c r="L6" s="1729"/>
      <c r="M6" s="1729"/>
      <c r="N6" s="1729"/>
      <c r="O6" s="2502" t="str">
        <f>'Part I-Project Identification'!O7</f>
        <v>2024-5</v>
      </c>
      <c r="P6" s="2502"/>
    </row>
    <row r="7" spans="1:16" ht="13" customHeight="1">
      <c r="A7" s="2505"/>
      <c r="B7" s="2505"/>
      <c r="C7" s="2505"/>
      <c r="D7" s="2505"/>
      <c r="E7" s="358"/>
      <c r="F7" s="2502"/>
      <c r="G7" s="2508" t="s">
        <v>2893</v>
      </c>
      <c r="H7" s="1534"/>
      <c r="I7" s="1534"/>
      <c r="J7" s="1534"/>
      <c r="K7" s="1729"/>
      <c r="L7" s="1729"/>
      <c r="M7" s="1729"/>
      <c r="N7" s="1729"/>
      <c r="O7" s="1729"/>
      <c r="P7" s="1729"/>
    </row>
    <row r="8" spans="1:16" ht="13">
      <c r="A8" s="2503"/>
      <c r="B8" s="1729"/>
      <c r="C8" s="1729"/>
      <c r="D8" s="1729"/>
      <c r="E8" s="1534"/>
      <c r="F8" s="1729"/>
      <c r="G8" s="1729"/>
      <c r="H8" s="1534"/>
      <c r="I8" s="1534"/>
      <c r="J8" s="1729"/>
      <c r="K8" s="1729"/>
      <c r="L8" s="1729"/>
      <c r="M8" s="1534"/>
      <c r="N8" s="1729"/>
      <c r="O8" s="1729"/>
      <c r="P8" s="1729"/>
    </row>
    <row r="9" spans="1:16" ht="13">
      <c r="A9" s="2502" t="s">
        <v>572</v>
      </c>
      <c r="B9" s="2502" t="s">
        <v>2186</v>
      </c>
      <c r="C9" s="1729"/>
      <c r="D9" s="377"/>
      <c r="E9" s="1534"/>
      <c r="F9" s="2509" t="s">
        <v>3185</v>
      </c>
      <c r="G9" s="1729"/>
      <c r="H9" s="1729"/>
      <c r="I9" s="2510">
        <f>'Part III-A-Uses of Funds'!$J$191</f>
        <v>0</v>
      </c>
      <c r="J9" s="2510"/>
      <c r="K9" s="1729"/>
      <c r="L9" s="1729" t="s">
        <v>3186</v>
      </c>
      <c r="M9" s="1729"/>
      <c r="N9" s="1729"/>
      <c r="O9" s="2511">
        <f>'Part II-Sources of Funds'!$I$6</f>
        <v>0</v>
      </c>
      <c r="P9" s="2511"/>
    </row>
    <row r="10" spans="1:16" ht="13">
      <c r="A10" s="2502"/>
      <c r="B10" s="2502"/>
      <c r="C10" s="1729"/>
      <c r="D10" s="377"/>
      <c r="E10" s="1534"/>
      <c r="F10" s="1534"/>
      <c r="G10" s="1729"/>
      <c r="H10" s="1729"/>
      <c r="I10" s="2512"/>
      <c r="J10" s="1729"/>
      <c r="K10" s="1729"/>
      <c r="L10" s="1729"/>
      <c r="M10" s="1729"/>
      <c r="N10" s="2513"/>
      <c r="O10" s="1729"/>
      <c r="P10" s="1729"/>
    </row>
    <row r="11" spans="1:16" ht="13">
      <c r="A11" s="2512" t="s">
        <v>688</v>
      </c>
      <c r="B11" s="2502" t="s">
        <v>1886</v>
      </c>
      <c r="C11" s="1729"/>
      <c r="D11" s="1729"/>
      <c r="E11" s="1729"/>
      <c r="F11" s="2475" t="str">
        <f>'Part I-Project Identification'!F12</f>
        <v>&lt;&lt; Select an Application Type &gt;&gt;</v>
      </c>
      <c r="G11" s="2475"/>
      <c r="H11" s="2475"/>
      <c r="I11" s="2514" t="s">
        <v>5066</v>
      </c>
      <c r="J11" s="2475" t="s">
        <v>5067</v>
      </c>
      <c r="K11" s="2502"/>
      <c r="L11" s="1534"/>
      <c r="M11" s="1729"/>
      <c r="N11" s="1729"/>
      <c r="O11" s="1729" t="str">
        <f>'Part I-Project Identification'!O12</f>
        <v>&lt;&lt;Enter Pre-App Nbr&gt;&gt;</v>
      </c>
      <c r="P11" s="1729"/>
    </row>
    <row r="12" spans="1:16" ht="14">
      <c r="A12" s="2515"/>
      <c r="B12" s="2484"/>
      <c r="C12" s="2516"/>
      <c r="D12" s="2516"/>
      <c r="E12" s="2516"/>
      <c r="F12" s="2517" t="s">
        <v>4828</v>
      </c>
      <c r="G12" s="2484"/>
      <c r="H12" s="2518"/>
      <c r="I12" s="2518"/>
      <c r="J12" s="2518"/>
      <c r="K12" s="2518"/>
      <c r="L12" s="2518"/>
      <c r="M12" s="2518"/>
      <c r="N12" s="2518"/>
      <c r="O12" s="2518"/>
      <c r="P12" s="2486">
        <f>'Part I-Project Identification'!P13</f>
        <v>0</v>
      </c>
    </row>
    <row r="13" spans="1:16" ht="13">
      <c r="A13" s="2503"/>
      <c r="B13" s="377"/>
      <c r="C13" s="377"/>
      <c r="D13" s="377"/>
      <c r="E13" s="377"/>
      <c r="F13" s="1729"/>
      <c r="G13" s="1729"/>
      <c r="H13" s="1534"/>
      <c r="I13" s="1729"/>
      <c r="J13" s="2509"/>
      <c r="K13" s="2512"/>
      <c r="L13" s="1729"/>
      <c r="M13" s="1534"/>
      <c r="N13" s="1729"/>
      <c r="O13" s="1729"/>
      <c r="P13" s="1729"/>
    </row>
    <row r="14" spans="1:16" ht="13">
      <c r="A14" s="2512" t="s">
        <v>690</v>
      </c>
      <c r="B14" s="2502" t="s">
        <v>3555</v>
      </c>
      <c r="C14" s="1729"/>
      <c r="D14" s="2509"/>
      <c r="E14" s="1534"/>
      <c r="F14" s="1729"/>
      <c r="G14" s="1534"/>
      <c r="H14" s="1534"/>
      <c r="I14" s="2519" t="s">
        <v>3213</v>
      </c>
      <c r="J14" s="1729"/>
      <c r="K14" s="1729"/>
      <c r="L14" s="2513"/>
      <c r="M14" s="1729"/>
      <c r="N14" s="1729"/>
      <c r="O14" s="1729"/>
      <c r="P14" s="1729"/>
    </row>
    <row r="15" spans="1:16" ht="13">
      <c r="A15" s="1729"/>
      <c r="B15" s="1729" t="s">
        <v>3214</v>
      </c>
      <c r="C15" s="1729"/>
      <c r="D15" s="1729"/>
      <c r="E15" s="1729"/>
      <c r="F15" s="1729">
        <f>'Part I-Project Identification'!F16</f>
        <v>0</v>
      </c>
      <c r="G15" s="1729"/>
      <c r="H15" s="1729"/>
      <c r="I15" s="1729" t="s">
        <v>1665</v>
      </c>
      <c r="J15" s="1729">
        <f>'Part I-Project Identification'!J16</f>
        <v>0</v>
      </c>
      <c r="K15" s="1729"/>
      <c r="L15" s="1729"/>
      <c r="M15" s="2509" t="s">
        <v>1834</v>
      </c>
      <c r="N15" s="1729">
        <f>'Part I-Project Identification'!N16</f>
        <v>0</v>
      </c>
      <c r="O15" s="1729"/>
      <c r="P15" s="1729"/>
    </row>
    <row r="16" spans="1:16" ht="13">
      <c r="A16" s="1729"/>
      <c r="B16" s="2509" t="s">
        <v>1597</v>
      </c>
      <c r="C16" s="1729"/>
      <c r="D16" s="1729"/>
      <c r="E16" s="1729"/>
      <c r="F16" s="2520">
        <f>'Part I-Project Identification'!F17</f>
        <v>0</v>
      </c>
      <c r="G16" s="2520"/>
      <c r="H16" s="2520"/>
      <c r="I16" s="2509" t="s">
        <v>1596</v>
      </c>
      <c r="J16" s="1534">
        <f>'Part I-Project Identification'!J17</f>
        <v>0</v>
      </c>
      <c r="K16" s="1729"/>
      <c r="L16" s="1729"/>
      <c r="M16" s="2509" t="s">
        <v>1598</v>
      </c>
      <c r="N16" s="2520">
        <f>'Part I-Project Identification'!N17</f>
        <v>0</v>
      </c>
      <c r="O16" s="2520"/>
      <c r="P16" s="2520"/>
    </row>
    <row r="17" spans="1:16" ht="13">
      <c r="A17" s="1729"/>
      <c r="B17" s="2509" t="s">
        <v>1837</v>
      </c>
      <c r="C17" s="1729"/>
      <c r="D17" s="1729"/>
      <c r="E17" s="1729"/>
      <c r="F17" s="1729">
        <f>'Part I-Project Identification'!F18</f>
        <v>0</v>
      </c>
      <c r="G17" s="1729"/>
      <c r="H17" s="1729"/>
      <c r="I17" s="1729"/>
      <c r="J17" s="1729"/>
      <c r="K17" s="1729"/>
      <c r="L17" s="1729"/>
      <c r="M17" s="2509" t="s">
        <v>1833</v>
      </c>
      <c r="N17" s="2520">
        <f>'Part I-Project Identification'!N18</f>
        <v>0</v>
      </c>
      <c r="O17" s="2520"/>
      <c r="P17" s="2520"/>
    </row>
    <row r="18" spans="1:16" ht="13">
      <c r="A18" s="2503"/>
      <c r="B18" s="2502" t="s">
        <v>3554</v>
      </c>
      <c r="C18" s="377"/>
      <c r="D18" s="1729"/>
      <c r="E18" s="1729"/>
      <c r="F18" s="1729"/>
      <c r="G18" s="1729"/>
      <c r="H18" s="1534"/>
      <c r="I18" s="1729"/>
      <c r="J18" s="377"/>
      <c r="K18" s="1729"/>
      <c r="L18" s="1729"/>
      <c r="M18" s="1729"/>
      <c r="N18" s="1729"/>
      <c r="O18" s="1729"/>
      <c r="P18" s="1534"/>
    </row>
    <row r="19" spans="1:16" ht="13">
      <c r="A19" s="1729"/>
      <c r="B19" s="1729" t="s">
        <v>3214</v>
      </c>
      <c r="C19" s="1729"/>
      <c r="D19" s="1729"/>
      <c r="E19" s="1729"/>
      <c r="F19" s="1729">
        <f>'Part I-Project Identification'!F20</f>
        <v>0</v>
      </c>
      <c r="G19" s="1729"/>
      <c r="H19" s="1729"/>
      <c r="I19" s="1729" t="s">
        <v>1665</v>
      </c>
      <c r="J19" s="1729">
        <f>'Part I-Project Identification'!J20</f>
        <v>0</v>
      </c>
      <c r="K19" s="1729"/>
      <c r="L19" s="1729"/>
      <c r="M19" s="2509" t="s">
        <v>1834</v>
      </c>
      <c r="N19" s="1729">
        <f>'Part I-Project Identification'!N20</f>
        <v>0</v>
      </c>
      <c r="O19" s="1729"/>
      <c r="P19" s="1729"/>
    </row>
    <row r="20" spans="1:16" ht="13">
      <c r="A20" s="1729"/>
      <c r="B20" s="2509" t="s">
        <v>1597</v>
      </c>
      <c r="C20" s="1729"/>
      <c r="D20" s="1729"/>
      <c r="E20" s="1729"/>
      <c r="F20" s="2520">
        <f>'Part I-Project Identification'!F21</f>
        <v>0</v>
      </c>
      <c r="G20" s="2520"/>
      <c r="H20" s="2520"/>
      <c r="I20" s="2509" t="s">
        <v>1596</v>
      </c>
      <c r="J20" s="1534">
        <f>'Part I-Project Identification'!J21</f>
        <v>0</v>
      </c>
      <c r="K20" s="1729"/>
      <c r="L20" s="1729"/>
      <c r="M20" s="2509" t="s">
        <v>1598</v>
      </c>
      <c r="N20" s="2520">
        <f>'Part I-Project Identification'!N21</f>
        <v>0</v>
      </c>
      <c r="O20" s="2520"/>
      <c r="P20" s="2520"/>
    </row>
    <row r="21" spans="1:16" ht="13">
      <c r="A21" s="1729"/>
      <c r="B21" s="2509" t="s">
        <v>1837</v>
      </c>
      <c r="C21" s="1729"/>
      <c r="D21" s="1729"/>
      <c r="E21" s="1729"/>
      <c r="F21" s="1729">
        <f>'Part I-Project Identification'!F22</f>
        <v>0</v>
      </c>
      <c r="G21" s="1729"/>
      <c r="H21" s="1729"/>
      <c r="I21" s="1729"/>
      <c r="J21" s="1729"/>
      <c r="K21" s="1729"/>
      <c r="L21" s="1729"/>
      <c r="M21" s="2509" t="s">
        <v>1833</v>
      </c>
      <c r="N21" s="2520">
        <f>'Part I-Project Identification'!N22</f>
        <v>0</v>
      </c>
      <c r="O21" s="2520"/>
      <c r="P21" s="2520"/>
    </row>
    <row r="22" spans="1:16" ht="13">
      <c r="A22" s="1729"/>
      <c r="B22" s="1729"/>
      <c r="C22" s="1729"/>
      <c r="D22" s="1729"/>
      <c r="E22" s="1729"/>
      <c r="F22" s="1729"/>
      <c r="G22" s="1729"/>
      <c r="H22" s="1729"/>
      <c r="I22" s="377"/>
      <c r="J22" s="377"/>
      <c r="K22" s="377"/>
      <c r="L22" s="377"/>
      <c r="M22" s="377"/>
      <c r="N22" s="377"/>
      <c r="O22" s="377"/>
      <c r="P22" s="377"/>
    </row>
    <row r="23" spans="1:16" ht="13">
      <c r="A23" s="2512" t="s">
        <v>1661</v>
      </c>
      <c r="B23" s="2502" t="s">
        <v>1379</v>
      </c>
      <c r="C23" s="1729"/>
      <c r="D23" s="377"/>
      <c r="E23" s="1534"/>
      <c r="F23" s="1534"/>
      <c r="G23" s="2509"/>
      <c r="H23" s="1534"/>
      <c r="I23" s="1534"/>
      <c r="J23" s="1534"/>
      <c r="K23" s="1729"/>
      <c r="L23" s="1729"/>
      <c r="M23" s="1729"/>
      <c r="N23" s="1729"/>
      <c r="O23" s="1729"/>
      <c r="P23" s="1729"/>
    </row>
    <row r="24" spans="1:16" ht="13">
      <c r="A24" s="2512"/>
      <c r="B24" s="2502"/>
      <c r="C24" s="1729"/>
      <c r="D24" s="377"/>
      <c r="E24" s="1534"/>
      <c r="F24" s="1534"/>
      <c r="G24" s="2509"/>
      <c r="H24" s="1534"/>
      <c r="I24" s="1534"/>
      <c r="J24" s="1534"/>
      <c r="K24" s="1729"/>
      <c r="L24" s="2513"/>
      <c r="M24" s="2513"/>
      <c r="N24" s="1729"/>
      <c r="O24" s="1729"/>
      <c r="P24" s="1729"/>
    </row>
    <row r="25" spans="1:16" ht="13">
      <c r="A25" s="2502"/>
      <c r="B25" s="1729" t="s">
        <v>573</v>
      </c>
      <c r="C25" s="1729"/>
      <c r="D25" s="2502"/>
      <c r="E25" s="1729"/>
      <c r="F25" s="1729">
        <f>'Part I-Project Identification'!F26</f>
        <v>0</v>
      </c>
      <c r="G25" s="1729"/>
      <c r="H25" s="1729"/>
      <c r="I25" s="1729"/>
      <c r="J25" s="1729"/>
      <c r="K25" s="1729"/>
      <c r="L25" s="1729"/>
      <c r="M25" s="2509" t="s">
        <v>424</v>
      </c>
      <c r="N25" s="1729"/>
      <c r="O25" s="1729"/>
      <c r="P25" s="2521">
        <f>'Part I-Project Identification'!P26</f>
        <v>0</v>
      </c>
    </row>
    <row r="26" spans="1:16" ht="13">
      <c r="A26" s="2503"/>
      <c r="B26" s="1729" t="s">
        <v>574</v>
      </c>
      <c r="C26" s="1729"/>
      <c r="D26" s="1729"/>
      <c r="E26" s="1729"/>
      <c r="F26" s="1729" t="str">
        <f>'Part I-Project Identification'!F27</f>
        <v>&lt;&lt; Select from list &gt;&gt;</v>
      </c>
      <c r="G26" s="1729"/>
      <c r="H26" s="1729"/>
      <c r="I26" s="2522" t="s">
        <v>575</v>
      </c>
      <c r="J26" s="1729" t="str">
        <f>'Part I-Project Identification'!J27</f>
        <v>Select City first</v>
      </c>
      <c r="K26" s="1729"/>
      <c r="L26" s="1729"/>
      <c r="M26" s="2509" t="s">
        <v>425</v>
      </c>
      <c r="N26" s="1729"/>
      <c r="O26" s="1729"/>
      <c r="P26" s="2521">
        <f>'Part I-Project Identification'!P27</f>
        <v>0</v>
      </c>
    </row>
    <row r="27" spans="1:16" ht="13">
      <c r="A27" s="2503"/>
      <c r="B27" s="1729" t="s">
        <v>3786</v>
      </c>
      <c r="C27" s="2523"/>
      <c r="D27" s="1593"/>
      <c r="E27" s="1593"/>
      <c r="F27" s="1729" t="str">
        <f>'Part I-Project Identification'!F28</f>
        <v>&lt;&lt; Select from list &gt;&gt;</v>
      </c>
      <c r="G27" s="1729"/>
      <c r="H27" s="1729"/>
      <c r="I27" s="1534"/>
      <c r="J27" s="378" t="s">
        <v>4622</v>
      </c>
      <c r="K27" s="1534"/>
      <c r="L27" s="1729"/>
      <c r="M27" s="2509" t="s">
        <v>4565</v>
      </c>
      <c r="N27" s="1729"/>
      <c r="O27" s="2524">
        <f>'Part I-Project Identification'!O28</f>
        <v>0</v>
      </c>
      <c r="P27" s="2524"/>
    </row>
    <row r="28" spans="1:16" ht="13">
      <c r="A28" s="2503"/>
      <c r="B28" s="1729" t="s">
        <v>1453</v>
      </c>
      <c r="C28" s="1729"/>
      <c r="D28" s="1729"/>
      <c r="E28" s="1729"/>
      <c r="F28" s="2509">
        <f>'Part I-Project Identification'!F29</f>
        <v>0</v>
      </c>
      <c r="G28" s="1729"/>
      <c r="H28" s="1729"/>
      <c r="I28" s="1534"/>
      <c r="J28" s="1534" t="s">
        <v>2493</v>
      </c>
      <c r="K28" s="1534" t="str">
        <f>'Part I-Project Identification'!K29</f>
        <v>Urban</v>
      </c>
      <c r="L28" s="1729"/>
      <c r="M28" s="2509" t="s">
        <v>2393</v>
      </c>
      <c r="N28" s="2503">
        <f>'Part I-Project Identification'!N29</f>
        <v>0</v>
      </c>
      <c r="O28" s="1729" t="str">
        <f>'Part I-Project Identification'!O29</f>
        <v>Select City first</v>
      </c>
      <c r="P28" s="1729"/>
    </row>
    <row r="29" spans="1:16" ht="13">
      <c r="A29" s="2503"/>
      <c r="B29" s="2503"/>
      <c r="C29" s="2523"/>
      <c r="D29" s="1593"/>
      <c r="E29" s="1593"/>
      <c r="F29" s="1534"/>
      <c r="G29" s="1534"/>
      <c r="H29" s="1534"/>
      <c r="I29" s="1534"/>
      <c r="J29" s="1593"/>
      <c r="K29" s="1534"/>
      <c r="L29" s="1534"/>
      <c r="M29" s="1729"/>
      <c r="N29" s="1729"/>
      <c r="O29" s="1729"/>
      <c r="P29" s="1534"/>
    </row>
    <row r="30" spans="1:16" ht="13">
      <c r="A30" s="2512" t="s">
        <v>1663</v>
      </c>
      <c r="B30" s="2512" t="s">
        <v>4552</v>
      </c>
      <c r="C30" s="1729"/>
      <c r="D30" s="376"/>
      <c r="E30" s="376"/>
      <c r="F30" s="376"/>
      <c r="G30" s="1534"/>
      <c r="H30" s="1534"/>
      <c r="I30" s="1534"/>
      <c r="J30" s="1593"/>
      <c r="K30" s="1534"/>
      <c r="L30" s="1534"/>
      <c r="M30" s="1729"/>
      <c r="N30" s="1729"/>
      <c r="O30" s="1729"/>
      <c r="P30" s="1534"/>
    </row>
    <row r="31" spans="1:16" ht="13">
      <c r="A31" s="2503"/>
      <c r="B31" s="2503"/>
      <c r="C31" s="1729"/>
      <c r="D31" s="1729"/>
      <c r="E31" s="1729"/>
      <c r="F31" s="1729"/>
      <c r="G31" s="1729"/>
      <c r="H31" s="1729"/>
      <c r="I31" s="1729"/>
      <c r="J31" s="1729"/>
      <c r="K31" s="1729"/>
      <c r="L31" s="1729"/>
      <c r="M31" s="2509"/>
      <c r="N31" s="2525"/>
      <c r="O31" s="2525"/>
      <c r="P31" s="2526"/>
    </row>
    <row r="32" spans="1:16" ht="13">
      <c r="A32" s="2503"/>
      <c r="B32" s="2512" t="s">
        <v>4551</v>
      </c>
      <c r="C32" s="1729"/>
      <c r="D32" s="2527"/>
      <c r="E32" s="2527"/>
      <c r="F32" s="2527"/>
      <c r="G32" s="2527"/>
      <c r="H32" s="1534"/>
      <c r="I32" s="1729"/>
      <c r="J32" s="377"/>
      <c r="K32" s="1593"/>
      <c r="L32" s="1729"/>
      <c r="M32" s="1729"/>
      <c r="N32" s="1729"/>
      <c r="O32" s="1729"/>
      <c r="P32" s="1534"/>
    </row>
    <row r="33" spans="1:17" ht="13">
      <c r="A33" s="2503"/>
      <c r="B33" s="2503"/>
      <c r="C33" s="2512"/>
      <c r="D33" s="2527"/>
      <c r="E33" s="2527"/>
      <c r="F33" s="2527"/>
      <c r="G33" s="2527"/>
      <c r="H33" s="1534"/>
      <c r="I33" s="1729"/>
      <c r="J33" s="377"/>
      <c r="K33" s="1593"/>
      <c r="L33" s="1729"/>
      <c r="M33" s="1729"/>
      <c r="N33" s="1729"/>
      <c r="O33" s="1729"/>
      <c r="P33" s="1534"/>
    </row>
    <row r="34" spans="1:17" ht="13" hidden="1" customHeight="1">
      <c r="A34" s="2503"/>
      <c r="B34" s="2503"/>
      <c r="C34" s="1729" t="s">
        <v>1206</v>
      </c>
      <c r="D34" s="2475"/>
      <c r="E34" s="1729"/>
      <c r="F34" s="1729"/>
      <c r="G34" s="1729"/>
      <c r="H34" s="1729"/>
      <c r="I34" s="1593"/>
      <c r="J34" s="1729"/>
      <c r="K34" s="2502"/>
      <c r="L34" s="1729" t="s">
        <v>3002</v>
      </c>
      <c r="M34" s="1729"/>
      <c r="N34" s="1729"/>
      <c r="O34" s="1729"/>
      <c r="P34" s="1593"/>
    </row>
    <row r="35" spans="1:17" ht="13" hidden="1" customHeight="1">
      <c r="A35" s="2503"/>
      <c r="B35" s="2502"/>
      <c r="C35" s="1729" t="s">
        <v>3812</v>
      </c>
      <c r="D35" s="1729"/>
      <c r="E35" s="1729"/>
      <c r="F35" s="1729"/>
      <c r="G35" s="1729"/>
      <c r="H35" s="1729"/>
      <c r="I35" s="1593"/>
      <c r="J35" s="2522" t="s">
        <v>2477</v>
      </c>
      <c r="K35" s="1729"/>
      <c r="L35" s="1729"/>
      <c r="M35" s="1729"/>
      <c r="N35" s="1729"/>
      <c r="O35" s="2528"/>
      <c r="P35" s="2528"/>
    </row>
    <row r="36" spans="1:17" ht="13">
      <c r="A36" s="2503"/>
      <c r="B36" s="2502"/>
      <c r="C36" s="1729" t="s">
        <v>1671</v>
      </c>
      <c r="D36" s="1729"/>
      <c r="E36" s="1729"/>
      <c r="F36" s="1729"/>
      <c r="G36" s="1729"/>
      <c r="H36" s="1729"/>
      <c r="I36" s="1593"/>
      <c r="J36" s="2522" t="s">
        <v>2477</v>
      </c>
      <c r="K36" s="1729"/>
      <c r="L36" s="1729"/>
      <c r="M36" s="1729"/>
      <c r="N36" s="1729"/>
      <c r="O36" s="2528">
        <f>'Part I-Project Identification'!O37</f>
        <v>0</v>
      </c>
      <c r="P36" s="2528"/>
    </row>
    <row r="37" spans="1:17" ht="13">
      <c r="A37" s="2503"/>
      <c r="B37" s="2503"/>
      <c r="C37" s="1729" t="s">
        <v>2568</v>
      </c>
      <c r="D37" s="1729"/>
      <c r="E37" s="1729"/>
      <c r="F37" s="1729"/>
      <c r="G37" s="1729"/>
      <c r="H37" s="1729"/>
      <c r="I37" s="1593"/>
      <c r="J37" s="2522" t="s">
        <v>2477</v>
      </c>
      <c r="K37" s="1729"/>
      <c r="L37" s="1729"/>
      <c r="M37" s="1729"/>
      <c r="N37" s="1729"/>
      <c r="O37" s="2528">
        <f>'Part I-Project Identification'!O38</f>
        <v>0</v>
      </c>
      <c r="P37" s="2528"/>
    </row>
    <row r="38" spans="1:17" ht="13">
      <c r="A38" s="2503"/>
      <c r="B38" s="2503"/>
      <c r="C38" s="1729"/>
      <c r="D38" s="1729"/>
      <c r="E38" s="1729"/>
      <c r="F38" s="1729"/>
      <c r="G38" s="1729"/>
      <c r="H38" s="1729"/>
      <c r="I38" s="1729"/>
      <c r="J38" s="1729"/>
      <c r="K38" s="1729"/>
      <c r="L38" s="1729"/>
      <c r="M38" s="1729"/>
      <c r="N38" s="1729"/>
      <c r="O38" s="1729"/>
      <c r="P38" s="377"/>
    </row>
    <row r="39" spans="1:17" ht="13">
      <c r="A39" s="1729"/>
      <c r="B39" s="2502"/>
      <c r="C39" s="1729"/>
      <c r="D39" s="1729"/>
      <c r="E39" s="1729"/>
      <c r="F39" s="1729"/>
      <c r="G39" s="1729"/>
      <c r="H39" s="1729"/>
      <c r="I39" s="1729"/>
      <c r="J39" s="1729"/>
      <c r="K39" s="1729"/>
      <c r="L39" s="377"/>
      <c r="M39" s="377"/>
      <c r="N39" s="377"/>
      <c r="O39" s="377"/>
      <c r="P39" s="2513"/>
    </row>
    <row r="40" spans="1:17" ht="13">
      <c r="A40" s="2512" t="s">
        <v>495</v>
      </c>
      <c r="B40" s="376"/>
      <c r="C40" s="376" t="s">
        <v>529</v>
      </c>
      <c r="D40" s="377"/>
      <c r="E40" s="377"/>
      <c r="F40" s="377"/>
      <c r="G40" s="377"/>
      <c r="H40" s="377"/>
      <c r="I40" s="377"/>
      <c r="J40" s="377"/>
      <c r="K40" s="377"/>
      <c r="L40" s="377"/>
      <c r="M40" s="2512" t="s">
        <v>719</v>
      </c>
      <c r="N40" s="376" t="s">
        <v>74</v>
      </c>
      <c r="O40" s="377"/>
      <c r="P40" s="377"/>
    </row>
    <row r="41" spans="1:17" ht="13">
      <c r="A41" s="2512"/>
      <c r="B41" s="376"/>
      <c r="C41" s="376"/>
      <c r="D41" s="377"/>
      <c r="E41" s="377"/>
      <c r="F41" s="377"/>
      <c r="G41" s="377"/>
      <c r="H41" s="377"/>
      <c r="I41" s="377"/>
      <c r="J41" s="377"/>
      <c r="K41" s="377"/>
      <c r="L41" s="377"/>
      <c r="M41" s="2512"/>
      <c r="N41" s="376"/>
      <c r="O41" s="377"/>
      <c r="P41" s="377"/>
    </row>
    <row r="42" spans="1:17">
      <c r="A42" s="2529">
        <f>'Part I-Project Identification'!A43</f>
        <v>0</v>
      </c>
      <c r="B42" s="2529"/>
      <c r="C42" s="2529"/>
      <c r="D42" s="2529"/>
      <c r="E42" s="2529"/>
      <c r="F42" s="2529"/>
      <c r="G42" s="2529"/>
      <c r="H42" s="2529"/>
      <c r="I42" s="2529"/>
      <c r="J42" s="2529"/>
      <c r="K42" s="2529"/>
      <c r="L42" s="2529"/>
      <c r="M42" s="2529"/>
      <c r="N42" s="2529"/>
      <c r="O42" s="2529"/>
      <c r="P42" s="2529"/>
    </row>
    <row r="45" spans="1:17" ht="13">
      <c r="A45" s="2502" t="str">
        <f>CONCATENATE("PART TWO - SOURCES OF FUNDS (Proposed)","  -  ",'Part I-Project Identification'!$O$7," ",'Part I-Project Identification'!$F$26,", ",'Part I-Project Identification'!$F$27,", ",'Part I-Project Identification'!$J$27," County")</f>
        <v>PART TWO - SOURCES OF FUNDS (Proposed)  -  2024-5 , &lt;&lt; Select from list &gt;&gt;, Select City first County</v>
      </c>
      <c r="B45" s="2502"/>
      <c r="C45" s="2502"/>
      <c r="D45" s="2502"/>
      <c r="E45" s="2502"/>
      <c r="F45" s="2502"/>
      <c r="G45" s="2502"/>
      <c r="H45" s="2502"/>
      <c r="I45" s="2502"/>
      <c r="J45" s="2502"/>
      <c r="K45" s="2502"/>
      <c r="L45" s="2502"/>
      <c r="M45" s="2502"/>
      <c r="N45" s="2502"/>
      <c r="O45" s="2502"/>
      <c r="P45" s="2502"/>
      <c r="Q45" s="2502"/>
    </row>
    <row r="46" spans="1:17" ht="13">
      <c r="A46" s="377"/>
      <c r="B46" s="377"/>
      <c r="C46" s="377"/>
      <c r="D46" s="377"/>
      <c r="E46" s="377"/>
      <c r="F46" s="377"/>
      <c r="G46" s="358"/>
      <c r="H46" s="358"/>
      <c r="I46" s="358"/>
      <c r="J46" s="358"/>
      <c r="K46" s="358"/>
      <c r="L46" s="358"/>
      <c r="M46" s="2473"/>
      <c r="N46" s="2473"/>
      <c r="O46" s="2473"/>
      <c r="P46" s="2473"/>
      <c r="Q46" s="2473"/>
    </row>
    <row r="47" spans="1:17" ht="14">
      <c r="A47" s="2502" t="s">
        <v>572</v>
      </c>
      <c r="B47" s="2502" t="s">
        <v>2288</v>
      </c>
      <c r="C47" s="1729"/>
      <c r="D47" s="1729"/>
      <c r="E47" s="1729"/>
      <c r="F47" s="1729"/>
      <c r="G47" s="1729"/>
      <c r="H47" s="2474"/>
      <c r="I47" s="2474"/>
      <c r="J47" s="2474"/>
      <c r="K47" s="2474"/>
      <c r="L47" s="2530" t="str">
        <f>'Part I-Project Identification'!$A$6</f>
        <v>4% Credit Core
Sept 26, 2024</v>
      </c>
      <c r="M47" s="2530"/>
      <c r="N47" s="2530"/>
      <c r="O47" s="2530"/>
      <c r="P47" s="2530"/>
      <c r="Q47" s="2474"/>
    </row>
    <row r="48" spans="1:17" ht="13">
      <c r="A48" s="376"/>
      <c r="B48" s="2503"/>
      <c r="C48" s="376"/>
      <c r="D48" s="1729"/>
      <c r="E48" s="1729"/>
      <c r="F48" s="1729"/>
      <c r="G48" s="1729"/>
      <c r="H48" s="2474"/>
      <c r="I48" s="2474"/>
      <c r="J48" s="2474"/>
      <c r="K48" s="2474"/>
      <c r="L48" s="2474"/>
      <c r="M48" s="2474"/>
      <c r="N48" s="2474"/>
      <c r="O48" s="2474"/>
      <c r="P48" s="2474"/>
      <c r="Q48" s="2474"/>
    </row>
    <row r="49" spans="1:17" ht="13">
      <c r="A49" s="2503"/>
      <c r="B49" s="1534">
        <f>'Part II-Sources of Funds'!B6</f>
        <v>0</v>
      </c>
      <c r="C49" s="2506" t="s">
        <v>2213</v>
      </c>
      <c r="D49" s="1729"/>
      <c r="E49" s="1534">
        <f>'Part II-Sources of Funds'!E6</f>
        <v>0</v>
      </c>
      <c r="F49" s="2506" t="s">
        <v>3985</v>
      </c>
      <c r="G49" s="1729"/>
      <c r="H49" s="2474"/>
      <c r="I49" s="2531">
        <f>'Part II-Sources of Funds'!I6</f>
        <v>0</v>
      </c>
      <c r="J49" s="358"/>
      <c r="K49" s="2474"/>
      <c r="L49" s="1534">
        <f>'Part II-Sources of Funds'!L6</f>
        <v>0</v>
      </c>
      <c r="M49" s="2506" t="s">
        <v>1435</v>
      </c>
      <c r="N49" s="2474"/>
      <c r="O49" s="2474"/>
      <c r="P49" s="2474"/>
      <c r="Q49" s="2529"/>
    </row>
    <row r="50" spans="1:17" ht="13">
      <c r="A50" s="2503"/>
      <c r="B50" s="1534">
        <f>'Part II-Sources of Funds'!B7</f>
        <v>0</v>
      </c>
      <c r="C50" s="2506" t="s">
        <v>3756</v>
      </c>
      <c r="D50" s="1729"/>
      <c r="E50" s="1534">
        <f>'Part II-Sources of Funds'!E7</f>
        <v>0</v>
      </c>
      <c r="F50" s="2506" t="s">
        <v>3986</v>
      </c>
      <c r="G50" s="2474"/>
      <c r="H50" s="2474"/>
      <c r="I50" s="2531">
        <f>'Part II-Sources of Funds'!I7</f>
        <v>0</v>
      </c>
      <c r="J50" s="358"/>
      <c r="K50" s="2474"/>
      <c r="L50" s="1534">
        <f>'Part II-Sources of Funds'!L7</f>
        <v>0</v>
      </c>
      <c r="M50" s="2506" t="s">
        <v>513</v>
      </c>
      <c r="N50" s="2474"/>
      <c r="O50" s="2474"/>
      <c r="P50" s="2529"/>
      <c r="Q50" s="2529"/>
    </row>
    <row r="51" spans="1:17" ht="13">
      <c r="A51" s="1729"/>
      <c r="B51" s="1534">
        <f>'Part II-Sources of Funds'!B8</f>
        <v>0</v>
      </c>
      <c r="C51" s="2506" t="s">
        <v>4559</v>
      </c>
      <c r="D51" s="2474"/>
      <c r="E51" s="2474"/>
      <c r="F51" s="2474" t="s">
        <v>4562</v>
      </c>
      <c r="G51" s="2474"/>
      <c r="H51" s="2474" t="str">
        <f>'Part II-Sources of Funds'!H8</f>
        <v>Specify Other HOME Source here</v>
      </c>
      <c r="I51" s="2474"/>
      <c r="J51" s="2474"/>
      <c r="K51" s="2474"/>
      <c r="L51" s="1534">
        <f>'Part II-Sources of Funds'!L8</f>
        <v>0</v>
      </c>
      <c r="M51" s="2506" t="s">
        <v>4564</v>
      </c>
      <c r="N51" s="2474"/>
      <c r="O51" s="2474"/>
      <c r="P51" s="2529"/>
      <c r="Q51" s="2529"/>
    </row>
    <row r="52" spans="1:17" ht="13">
      <c r="A52" s="2503"/>
      <c r="B52" s="1534">
        <f>'Part II-Sources of Funds'!B9</f>
        <v>0</v>
      </c>
      <c r="C52" s="2474" t="s">
        <v>3219</v>
      </c>
      <c r="D52" s="2474"/>
      <c r="E52" s="1534">
        <f>'Part II-Sources of Funds'!E9</f>
        <v>0</v>
      </c>
      <c r="F52" s="2474" t="str">
        <f>'Part II-Sources of Funds'!F9</f>
        <v>Other Type of FEDERAL Funding * - describe type/program here</v>
      </c>
      <c r="G52" s="2474"/>
      <c r="H52" s="2474"/>
      <c r="I52" s="2474"/>
      <c r="J52" s="2474"/>
      <c r="K52" s="2474"/>
      <c r="L52" s="1534">
        <f>'Part II-Sources of Funds'!L9</f>
        <v>0</v>
      </c>
      <c r="M52" s="2506" t="s">
        <v>3757</v>
      </c>
      <c r="N52" s="2474"/>
      <c r="O52" s="2474"/>
      <c r="P52" s="2474"/>
      <c r="Q52" s="2529"/>
    </row>
    <row r="53" spans="1:17" ht="13">
      <c r="A53" s="2503"/>
      <c r="B53" s="1534">
        <f>'Part II-Sources of Funds'!B10</f>
        <v>0</v>
      </c>
      <c r="C53" s="2506" t="s">
        <v>2388</v>
      </c>
      <c r="D53" s="2474"/>
      <c r="E53" s="2474"/>
      <c r="F53" s="2474" t="str">
        <f>'Part II-Sources of Funds'!F10</f>
        <v>Specify Source/Administrator of Other FEDERAL Funding here</v>
      </c>
      <c r="G53" s="2474"/>
      <c r="H53" s="2474"/>
      <c r="I53" s="2474"/>
      <c r="J53" s="2474"/>
      <c r="K53" s="2474"/>
      <c r="L53" s="1534">
        <f>'Part II-Sources of Funds'!L10</f>
        <v>0</v>
      </c>
      <c r="M53" s="2506" t="s">
        <v>3109</v>
      </c>
      <c r="N53" s="2474"/>
      <c r="O53" s="2474"/>
      <c r="P53" s="2529"/>
      <c r="Q53" s="2529"/>
    </row>
    <row r="54" spans="1:17" ht="13">
      <c r="A54" s="2503"/>
      <c r="B54" s="1534">
        <f>'Part II-Sources of Funds'!B11</f>
        <v>0</v>
      </c>
      <c r="C54" s="2506" t="s">
        <v>2389</v>
      </c>
      <c r="D54" s="2474"/>
      <c r="E54" s="1534">
        <f>'Part II-Sources of Funds'!E11</f>
        <v>0</v>
      </c>
      <c r="F54" s="2474" t="str">
        <f>'Part II-Sources of Funds'!F11</f>
        <v>Other Type of STATE/LOCAL Funding * - describe type/program here</v>
      </c>
      <c r="G54" s="2474"/>
      <c r="H54" s="2474"/>
      <c r="I54" s="2474"/>
      <c r="J54" s="2474"/>
      <c r="K54" s="2474"/>
      <c r="L54" s="1534">
        <f>'Part II-Sources of Funds'!L11</f>
        <v>0</v>
      </c>
      <c r="M54" s="2474" t="s">
        <v>2392</v>
      </c>
      <c r="N54" s="2474"/>
      <c r="O54" s="2474"/>
      <c r="P54" s="2474"/>
      <c r="Q54" s="2474"/>
    </row>
    <row r="55" spans="1:17" ht="13">
      <c r="A55" s="2503"/>
      <c r="B55" s="1534">
        <f>'Part II-Sources of Funds'!B12</f>
        <v>0</v>
      </c>
      <c r="C55" s="2506" t="s">
        <v>3110</v>
      </c>
      <c r="D55" s="2474"/>
      <c r="E55" s="2474"/>
      <c r="F55" s="2474" t="str">
        <f>'Part II-Sources of Funds'!F12</f>
        <v>Specify Source/Administrator of Other STATE/LOCAL Funding here</v>
      </c>
      <c r="G55" s="2474"/>
      <c r="H55" s="2474"/>
      <c r="I55" s="2474"/>
      <c r="J55" s="2474"/>
      <c r="K55" s="2474"/>
      <c r="L55" s="1534">
        <f>'Part II-Sources of Funds'!L12</f>
        <v>0</v>
      </c>
      <c r="M55" s="2474" t="s">
        <v>3136</v>
      </c>
      <c r="N55" s="2474"/>
      <c r="O55" s="2474"/>
      <c r="P55" s="2474"/>
      <c r="Q55" s="2474"/>
    </row>
    <row r="56" spans="1:17" ht="13">
      <c r="A56" s="2503"/>
      <c r="B56" s="1534">
        <f>'Part II-Sources of Funds'!B13</f>
        <v>0</v>
      </c>
      <c r="C56" s="2506" t="s">
        <v>4561</v>
      </c>
      <c r="D56" s="2474"/>
      <c r="E56" s="1534">
        <f>'Part II-Sources of Funds'!E13</f>
        <v>0</v>
      </c>
      <c r="F56" s="2506" t="s">
        <v>4563</v>
      </c>
      <c r="G56" s="2474"/>
      <c r="H56" s="2474" t="str">
        <f>'Part II-Sources of Funds'!H13</f>
        <v>Specify Other PBRA Source here</v>
      </c>
      <c r="I56" s="2474"/>
      <c r="J56" s="2474"/>
      <c r="K56" s="2474"/>
      <c r="L56" s="1534">
        <f>'Part II-Sources of Funds'!L13</f>
        <v>0</v>
      </c>
      <c r="M56" s="2474" t="s">
        <v>3984</v>
      </c>
      <c r="N56" s="2474"/>
      <c r="O56" s="2474"/>
      <c r="P56" s="2474"/>
      <c r="Q56" s="2474"/>
    </row>
    <row r="57" spans="1:17" ht="13">
      <c r="A57" s="2503"/>
      <c r="B57" s="1534">
        <f>'Part II-Sources of Funds'!B14</f>
        <v>0</v>
      </c>
      <c r="C57" s="2474" t="s">
        <v>2391</v>
      </c>
      <c r="D57" s="2474"/>
      <c r="E57" s="1534">
        <f>'Part II-Sources of Funds'!E14</f>
        <v>0</v>
      </c>
      <c r="F57" s="2506" t="s">
        <v>3218</v>
      </c>
      <c r="G57" s="2474"/>
      <c r="H57" s="2474"/>
      <c r="I57" s="2474"/>
      <c r="J57" s="2474"/>
      <c r="K57" s="2474"/>
      <c r="L57" s="1534">
        <f>'Part II-Sources of Funds'!L14</f>
        <v>0</v>
      </c>
      <c r="M57" s="2474" t="s">
        <v>4609</v>
      </c>
      <c r="N57" s="2474"/>
      <c r="O57" s="2474"/>
      <c r="P57" s="2474"/>
      <c r="Q57" s="2474"/>
    </row>
    <row r="58" spans="1:17" ht="13">
      <c r="A58" s="2503"/>
      <c r="B58" s="1534">
        <f>'Part II-Sources of Funds'!B15</f>
        <v>0</v>
      </c>
      <c r="C58" s="2474" t="s">
        <v>3135</v>
      </c>
      <c r="D58" s="2474"/>
      <c r="E58" s="1534">
        <f>'Part II-Sources of Funds'!E15</f>
        <v>0</v>
      </c>
      <c r="F58" s="2506" t="s">
        <v>3987</v>
      </c>
      <c r="G58" s="2474"/>
      <c r="H58" s="2474"/>
      <c r="I58" s="2474"/>
      <c r="J58" s="2474"/>
      <c r="K58" s="2474"/>
      <c r="L58" s="1534">
        <f>'Part II-Sources of Funds'!L15</f>
        <v>0</v>
      </c>
      <c r="M58" s="2529" t="s">
        <v>3988</v>
      </c>
      <c r="N58" s="2474"/>
      <c r="O58" s="2474"/>
      <c r="P58" s="2474"/>
      <c r="Q58" s="2474"/>
    </row>
    <row r="59" spans="1:17" ht="13">
      <c r="A59" s="2503"/>
      <c r="B59" s="1534">
        <f>'Part II-Sources of Funds'!B16</f>
        <v>0</v>
      </c>
      <c r="C59" s="2506" t="s">
        <v>1668</v>
      </c>
      <c r="D59" s="2474"/>
      <c r="E59" s="1534">
        <f>'Part II-Sources of Funds'!E16</f>
        <v>0</v>
      </c>
      <c r="F59" s="2506" t="s">
        <v>4401</v>
      </c>
      <c r="G59" s="2474"/>
      <c r="H59" s="2474"/>
      <c r="I59" s="2531">
        <f>'Part II-Sources of Funds'!I16</f>
        <v>0</v>
      </c>
      <c r="J59" s="358"/>
      <c r="K59" s="2474"/>
      <c r="L59" s="1534">
        <f>'Part II-Sources of Funds'!L16</f>
        <v>0</v>
      </c>
      <c r="M59" s="2529" t="s">
        <v>3983</v>
      </c>
      <c r="N59" s="2474"/>
      <c r="O59" s="2474"/>
      <c r="P59" s="2474"/>
      <c r="Q59" s="2474"/>
    </row>
    <row r="60" spans="1:17" ht="13">
      <c r="A60" s="2503"/>
      <c r="B60" s="2474" t="s">
        <v>3758</v>
      </c>
      <c r="C60" s="1729"/>
      <c r="D60" s="1729"/>
      <c r="E60" s="1729"/>
      <c r="F60" s="1729"/>
      <c r="G60" s="1729"/>
      <c r="H60" s="1729"/>
      <c r="I60" s="1729"/>
      <c r="J60" s="1729"/>
      <c r="K60" s="1729"/>
      <c r="L60" s="1729"/>
      <c r="M60" s="2473"/>
      <c r="N60" s="1729"/>
      <c r="O60" s="1729"/>
      <c r="P60" s="1729"/>
      <c r="Q60" s="1729"/>
    </row>
    <row r="61" spans="1:17" ht="13">
      <c r="A61" s="2503"/>
      <c r="B61" s="2474"/>
      <c r="C61" s="2474"/>
      <c r="D61" s="2474"/>
      <c r="E61" s="2474"/>
      <c r="F61" s="2474"/>
      <c r="G61" s="2474"/>
      <c r="H61" s="2474"/>
      <c r="I61" s="2474"/>
      <c r="J61" s="2474"/>
      <c r="K61" s="2474"/>
      <c r="L61" s="1729"/>
      <c r="M61" s="377"/>
      <c r="N61" s="1729"/>
      <c r="O61" s="1729"/>
      <c r="P61" s="1729"/>
      <c r="Q61" s="1729"/>
    </row>
    <row r="62" spans="1:17" ht="13">
      <c r="A62" s="2502" t="s">
        <v>688</v>
      </c>
      <c r="B62" s="2512" t="s">
        <v>2159</v>
      </c>
      <c r="C62" s="1729"/>
      <c r="D62" s="1729"/>
      <c r="E62" s="1729"/>
      <c r="F62" s="1729"/>
      <c r="G62" s="1729"/>
      <c r="H62" s="2475"/>
      <c r="I62" s="2475"/>
      <c r="J62" s="2475"/>
      <c r="K62" s="2475"/>
      <c r="L62" s="1729"/>
      <c r="M62" s="1729"/>
      <c r="N62" s="1729"/>
      <c r="O62" s="1729"/>
      <c r="P62" s="1729"/>
      <c r="Q62" s="1729"/>
    </row>
    <row r="63" spans="1:17" ht="13">
      <c r="A63" s="2502"/>
      <c r="B63" s="2512"/>
      <c r="C63" s="1729"/>
      <c r="D63" s="2475"/>
      <c r="E63" s="2475"/>
      <c r="F63" s="2475"/>
      <c r="G63" s="2475"/>
      <c r="H63" s="2475"/>
      <c r="I63" s="2475"/>
      <c r="J63" s="2475"/>
      <c r="K63" s="1729"/>
      <c r="L63" s="1729"/>
      <c r="M63" s="1729"/>
      <c r="N63" s="1534"/>
      <c r="O63" s="1534"/>
      <c r="P63" s="1729"/>
      <c r="Q63" s="1729"/>
    </row>
    <row r="64" spans="1:17" ht="13">
      <c r="A64" s="1729"/>
      <c r="B64" s="2509" t="s">
        <v>1729</v>
      </c>
      <c r="C64" s="1729"/>
      <c r="D64" s="1729"/>
      <c r="E64" s="1729"/>
      <c r="F64" s="1729"/>
      <c r="G64" s="1729"/>
      <c r="H64" s="1729" t="s">
        <v>1218</v>
      </c>
      <c r="I64" s="1729"/>
      <c r="J64" s="1729"/>
      <c r="K64" s="1729"/>
      <c r="L64" s="1729" t="s">
        <v>3724</v>
      </c>
      <c r="M64" s="1729"/>
      <c r="N64" s="1729" t="s">
        <v>1408</v>
      </c>
      <c r="O64" s="1729"/>
      <c r="P64" s="1729" t="s">
        <v>1521</v>
      </c>
      <c r="Q64" s="1729"/>
    </row>
    <row r="65" spans="1:17" ht="13">
      <c r="A65" s="1729"/>
      <c r="B65" s="1729" t="s">
        <v>1484</v>
      </c>
      <c r="C65" s="1729"/>
      <c r="D65" s="1729"/>
      <c r="E65" s="1729"/>
      <c r="F65" s="1729"/>
      <c r="G65" s="1729"/>
      <c r="H65" s="1729">
        <f>'Part II-Sources of Funds'!H22</f>
        <v>0</v>
      </c>
      <c r="I65" s="1729"/>
      <c r="J65" s="1729"/>
      <c r="K65" s="1729"/>
      <c r="L65" s="2532">
        <f>'Part II-Sources of Funds'!L22</f>
        <v>0</v>
      </c>
      <c r="M65" s="2532"/>
      <c r="N65" s="2533">
        <f>'Part II-Sources of Funds'!N22</f>
        <v>0</v>
      </c>
      <c r="O65" s="2533"/>
      <c r="P65" s="2534">
        <f>'Part II-Sources of Funds'!P22</f>
        <v>0</v>
      </c>
      <c r="Q65" s="2534"/>
    </row>
    <row r="66" spans="1:17" ht="13">
      <c r="A66" s="1729"/>
      <c r="B66" s="1729" t="s">
        <v>1485</v>
      </c>
      <c r="C66" s="1729"/>
      <c r="D66" s="1729"/>
      <c r="E66" s="1729"/>
      <c r="F66" s="1729"/>
      <c r="G66" s="1729"/>
      <c r="H66" s="1729">
        <f>'Part II-Sources of Funds'!H23</f>
        <v>0</v>
      </c>
      <c r="I66" s="1729"/>
      <c r="J66" s="1729"/>
      <c r="K66" s="1729"/>
      <c r="L66" s="2532">
        <f>'Part II-Sources of Funds'!L23</f>
        <v>0</v>
      </c>
      <c r="M66" s="2532"/>
      <c r="N66" s="2533">
        <f>'Part II-Sources of Funds'!N23</f>
        <v>0</v>
      </c>
      <c r="O66" s="2533"/>
      <c r="P66" s="2534">
        <f>'Part II-Sources of Funds'!P23</f>
        <v>0</v>
      </c>
      <c r="Q66" s="2534"/>
    </row>
    <row r="67" spans="1:17" ht="13">
      <c r="A67" s="1729"/>
      <c r="B67" s="1729" t="s">
        <v>1486</v>
      </c>
      <c r="C67" s="1729"/>
      <c r="D67" s="1729"/>
      <c r="E67" s="1729"/>
      <c r="F67" s="1729"/>
      <c r="G67" s="1729"/>
      <c r="H67" s="1729">
        <f>'Part II-Sources of Funds'!H24</f>
        <v>0</v>
      </c>
      <c r="I67" s="1729"/>
      <c r="J67" s="1729"/>
      <c r="K67" s="1729"/>
      <c r="L67" s="2532">
        <f>'Part II-Sources of Funds'!L24</f>
        <v>0</v>
      </c>
      <c r="M67" s="2532"/>
      <c r="N67" s="2533">
        <f>'Part II-Sources of Funds'!N24</f>
        <v>0</v>
      </c>
      <c r="O67" s="2533"/>
      <c r="P67" s="2534">
        <f>'Part II-Sources of Funds'!P24</f>
        <v>0</v>
      </c>
      <c r="Q67" s="2534"/>
    </row>
    <row r="68" spans="1:17" ht="13">
      <c r="A68" s="1729"/>
      <c r="B68" s="1729" t="s">
        <v>2042</v>
      </c>
      <c r="C68" s="1729"/>
      <c r="D68" s="1729"/>
      <c r="E68" s="1729"/>
      <c r="F68" s="1729"/>
      <c r="G68" s="1729"/>
      <c r="H68" s="1729">
        <f>'Part II-Sources of Funds'!H25</f>
        <v>0</v>
      </c>
      <c r="I68" s="1729"/>
      <c r="J68" s="1729"/>
      <c r="K68" s="1729"/>
      <c r="L68" s="2532">
        <f>'Part II-Sources of Funds'!L25</f>
        <v>0</v>
      </c>
      <c r="M68" s="2532"/>
      <c r="N68" s="2533"/>
      <c r="O68" s="2533"/>
      <c r="P68" s="1729"/>
      <c r="Q68" s="1729"/>
    </row>
    <row r="69" spans="1:17" ht="13">
      <c r="A69" s="1729"/>
      <c r="B69" s="1729" t="s">
        <v>744</v>
      </c>
      <c r="C69" s="1729"/>
      <c r="D69" s="1729"/>
      <c r="E69" s="1729"/>
      <c r="F69" s="2474"/>
      <c r="G69" s="2474"/>
      <c r="H69" s="1729">
        <f>'Part II-Sources of Funds'!H26</f>
        <v>0</v>
      </c>
      <c r="I69" s="1729"/>
      <c r="J69" s="1729"/>
      <c r="K69" s="1729"/>
      <c r="L69" s="2532">
        <f>'Part II-Sources of Funds'!L26</f>
        <v>0</v>
      </c>
      <c r="M69" s="2532"/>
      <c r="N69" s="2533"/>
      <c r="O69" s="2533"/>
      <c r="P69" s="1729"/>
      <c r="Q69" s="1729"/>
    </row>
    <row r="70" spans="1:17" ht="13">
      <c r="A70" s="1729"/>
      <c r="B70" s="1729" t="s">
        <v>594</v>
      </c>
      <c r="C70" s="1729"/>
      <c r="D70" s="1729"/>
      <c r="E70" s="1729"/>
      <c r="F70" s="2474"/>
      <c r="G70" s="2474"/>
      <c r="H70" s="1729">
        <f>'Part II-Sources of Funds'!H27</f>
        <v>0</v>
      </c>
      <c r="I70" s="1729"/>
      <c r="J70" s="1729"/>
      <c r="K70" s="1729"/>
      <c r="L70" s="2532">
        <f>'Part II-Sources of Funds'!L27</f>
        <v>0</v>
      </c>
      <c r="M70" s="2532"/>
      <c r="N70" s="2533"/>
      <c r="O70" s="2533"/>
      <c r="P70" s="1729"/>
      <c r="Q70" s="1729"/>
    </row>
    <row r="71" spans="1:17" ht="13">
      <c r="A71" s="1729"/>
      <c r="B71" s="1729" t="s">
        <v>745</v>
      </c>
      <c r="C71" s="1729"/>
      <c r="D71" s="1729"/>
      <c r="E71" s="1729"/>
      <c r="F71" s="2474"/>
      <c r="G71" s="2474"/>
      <c r="H71" s="1729">
        <f>'Part II-Sources of Funds'!H28</f>
        <v>0</v>
      </c>
      <c r="I71" s="1729"/>
      <c r="J71" s="1729"/>
      <c r="K71" s="1729"/>
      <c r="L71" s="2532">
        <f>'Part II-Sources of Funds'!L28</f>
        <v>0</v>
      </c>
      <c r="M71" s="2532"/>
      <c r="N71" s="1729"/>
      <c r="O71" s="2474"/>
      <c r="P71" s="2474"/>
      <c r="Q71" s="1729"/>
    </row>
    <row r="72" spans="1:17" ht="13">
      <c r="A72" s="1729"/>
      <c r="B72" s="1729" t="s">
        <v>746</v>
      </c>
      <c r="C72" s="1729"/>
      <c r="D72" s="1729"/>
      <c r="E72" s="1729"/>
      <c r="F72" s="2474"/>
      <c r="G72" s="2474"/>
      <c r="H72" s="1729">
        <f>'Part II-Sources of Funds'!H29</f>
        <v>0</v>
      </c>
      <c r="I72" s="1729"/>
      <c r="J72" s="1729"/>
      <c r="K72" s="1729"/>
      <c r="L72" s="2532">
        <f>'Part II-Sources of Funds'!L29</f>
        <v>0</v>
      </c>
      <c r="M72" s="2532"/>
      <c r="N72" s="1729"/>
      <c r="O72" s="2474"/>
      <c r="P72" s="2474"/>
      <c r="Q72" s="1729"/>
    </row>
    <row r="73" spans="1:17" ht="13">
      <c r="A73" s="1729"/>
      <c r="B73" s="1729" t="s">
        <v>232</v>
      </c>
      <c r="C73" s="1729"/>
      <c r="D73" s="1729">
        <f>'Part II-Sources of Funds'!D30</f>
        <v>0</v>
      </c>
      <c r="E73" s="1729"/>
      <c r="F73" s="1729"/>
      <c r="G73" s="1729"/>
      <c r="H73" s="1729">
        <f>'Part II-Sources of Funds'!H30</f>
        <v>0</v>
      </c>
      <c r="I73" s="1729"/>
      <c r="J73" s="1729"/>
      <c r="K73" s="1729"/>
      <c r="L73" s="2532">
        <f>'Part II-Sources of Funds'!L30</f>
        <v>0</v>
      </c>
      <c r="M73" s="2532"/>
      <c r="N73" s="1729"/>
      <c r="O73" s="2474"/>
      <c r="P73" s="2474"/>
      <c r="Q73" s="1729"/>
    </row>
    <row r="74" spans="1:17" ht="13">
      <c r="A74" s="1729"/>
      <c r="B74" s="1729" t="s">
        <v>232</v>
      </c>
      <c r="C74" s="1729"/>
      <c r="D74" s="1729">
        <f>'Part II-Sources of Funds'!D31</f>
        <v>0</v>
      </c>
      <c r="E74" s="1729"/>
      <c r="F74" s="1729"/>
      <c r="G74" s="1729"/>
      <c r="H74" s="1729">
        <f>'Part II-Sources of Funds'!H31</f>
        <v>0</v>
      </c>
      <c r="I74" s="1729"/>
      <c r="J74" s="1729"/>
      <c r="K74" s="1729"/>
      <c r="L74" s="2532">
        <f>'Part II-Sources of Funds'!L31</f>
        <v>0</v>
      </c>
      <c r="M74" s="2532"/>
      <c r="N74" s="1729"/>
      <c r="O74" s="2474"/>
      <c r="P74" s="2474"/>
      <c r="Q74" s="2474"/>
    </row>
    <row r="75" spans="1:17" ht="13">
      <c r="A75" s="1729"/>
      <c r="B75" s="1729" t="s">
        <v>232</v>
      </c>
      <c r="C75" s="1729"/>
      <c r="D75" s="1729">
        <f>'Part II-Sources of Funds'!D32</f>
        <v>0</v>
      </c>
      <c r="E75" s="1729"/>
      <c r="F75" s="1729"/>
      <c r="G75" s="1729"/>
      <c r="H75" s="1729">
        <f>'Part II-Sources of Funds'!H32</f>
        <v>0</v>
      </c>
      <c r="I75" s="1729"/>
      <c r="J75" s="1729"/>
      <c r="K75" s="1729"/>
      <c r="L75" s="2532">
        <f>'Part II-Sources of Funds'!L32</f>
        <v>0</v>
      </c>
      <c r="M75" s="2532"/>
      <c r="N75" s="1729"/>
      <c r="O75" s="2474"/>
      <c r="P75" s="2474"/>
      <c r="Q75" s="2474"/>
    </row>
    <row r="76" spans="1:17" ht="13">
      <c r="A76" s="1729"/>
      <c r="B76" s="2512" t="s">
        <v>1219</v>
      </c>
      <c r="C76" s="1729"/>
      <c r="D76" s="1729"/>
      <c r="E76" s="1729"/>
      <c r="F76" s="1729"/>
      <c r="G76" s="1729"/>
      <c r="H76" s="1729"/>
      <c r="I76" s="1729"/>
      <c r="J76" s="2474"/>
      <c r="K76" s="2474"/>
      <c r="L76" s="2535">
        <f>SUM(L65:L75)</f>
        <v>0</v>
      </c>
      <c r="M76" s="2535"/>
      <c r="N76" s="377"/>
      <c r="O76" s="2474"/>
      <c r="P76" s="2474"/>
      <c r="Q76" s="2474"/>
    </row>
    <row r="77" spans="1:17" ht="13">
      <c r="A77" s="1729"/>
      <c r="B77" s="2509" t="s">
        <v>1220</v>
      </c>
      <c r="C77" s="1729"/>
      <c r="D77" s="1729"/>
      <c r="E77" s="1729"/>
      <c r="F77" s="1729"/>
      <c r="G77" s="1729"/>
      <c r="H77" s="1729"/>
      <c r="I77" s="1729"/>
      <c r="J77" s="2474"/>
      <c r="K77" s="2474"/>
      <c r="L77" s="2535">
        <f>'Part II-Sources of Funds'!L34</f>
        <v>0</v>
      </c>
      <c r="M77" s="2535"/>
      <c r="N77" s="377"/>
      <c r="O77" s="2474"/>
      <c r="P77" s="2474"/>
      <c r="Q77" s="2474"/>
    </row>
    <row r="78" spans="1:17" ht="13">
      <c r="A78" s="1729"/>
      <c r="B78" s="2509" t="s">
        <v>1997</v>
      </c>
      <c r="C78" s="1729"/>
      <c r="D78" s="1729"/>
      <c r="E78" s="1729"/>
      <c r="F78" s="1729"/>
      <c r="G78" s="1729"/>
      <c r="H78" s="1729"/>
      <c r="I78" s="1729"/>
      <c r="J78" s="2474"/>
      <c r="K78" s="2474"/>
      <c r="L78" s="2536">
        <f>L76-L77</f>
        <v>0</v>
      </c>
      <c r="M78" s="2536"/>
      <c r="N78" s="377"/>
      <c r="O78" s="2474"/>
      <c r="P78" s="2474"/>
      <c r="Q78" s="2474"/>
    </row>
    <row r="79" spans="1:17" ht="13">
      <c r="A79" s="376"/>
      <c r="B79" s="2512"/>
      <c r="C79" s="377"/>
      <c r="D79" s="377"/>
      <c r="E79" s="377"/>
      <c r="F79" s="377"/>
      <c r="G79" s="377"/>
      <c r="H79" s="377"/>
      <c r="I79" s="377"/>
      <c r="J79" s="377"/>
      <c r="K79" s="377"/>
      <c r="L79" s="377"/>
      <c r="M79" s="1534"/>
      <c r="N79" s="1534"/>
      <c r="O79" s="2473"/>
      <c r="P79" s="2473"/>
      <c r="Q79" s="2473"/>
    </row>
    <row r="80" spans="1:17" ht="13">
      <c r="A80" s="2502" t="s">
        <v>690</v>
      </c>
      <c r="B80" s="2512" t="s">
        <v>743</v>
      </c>
      <c r="C80" s="377"/>
      <c r="D80" s="377"/>
      <c r="E80" s="377"/>
      <c r="F80" s="377"/>
      <c r="G80" s="377"/>
      <c r="H80" s="377"/>
      <c r="I80" s="377"/>
      <c r="J80" s="377"/>
      <c r="K80" s="377"/>
      <c r="L80" s="377"/>
      <c r="M80" s="1534"/>
      <c r="N80" s="1534"/>
      <c r="O80" s="377"/>
      <c r="P80" s="2473"/>
      <c r="Q80" s="2473"/>
    </row>
    <row r="81" spans="1:17" ht="13" customHeight="1">
      <c r="A81" s="1729"/>
      <c r="B81" s="1729"/>
      <c r="C81" s="1729"/>
      <c r="D81" s="1729"/>
      <c r="E81" s="1729"/>
      <c r="F81" s="1534"/>
      <c r="G81" s="1534"/>
      <c r="H81" s="1729"/>
      <c r="I81" s="1729"/>
      <c r="J81" s="2474"/>
      <c r="K81" s="1593" t="s">
        <v>1943</v>
      </c>
      <c r="L81" s="1534" t="s">
        <v>1216</v>
      </c>
      <c r="M81" s="1534" t="s">
        <v>1221</v>
      </c>
      <c r="N81" s="2474"/>
      <c r="O81" s="2474"/>
      <c r="P81" s="377" t="s">
        <v>31</v>
      </c>
      <c r="Q81" s="377"/>
    </row>
    <row r="82" spans="1:17" ht="13">
      <c r="A82" s="1729"/>
      <c r="B82" s="2509" t="s">
        <v>1729</v>
      </c>
      <c r="C82" s="1729"/>
      <c r="D82" s="1729"/>
      <c r="E82" s="1729" t="s">
        <v>1218</v>
      </c>
      <c r="F82" s="1729"/>
      <c r="G82" s="1729"/>
      <c r="H82" s="1729"/>
      <c r="I82" s="1729" t="s">
        <v>3723</v>
      </c>
      <c r="J82" s="1729"/>
      <c r="K82" s="1534" t="s">
        <v>1670</v>
      </c>
      <c r="L82" s="1534" t="s">
        <v>2041</v>
      </c>
      <c r="M82" s="1534" t="s">
        <v>2041</v>
      </c>
      <c r="N82" s="1729" t="s">
        <v>69</v>
      </c>
      <c r="O82" s="1729"/>
      <c r="P82" s="377"/>
      <c r="Q82" s="377"/>
    </row>
    <row r="83" spans="1:17" ht="13">
      <c r="A83" s="1729"/>
      <c r="B83" s="1729" t="s">
        <v>2396</v>
      </c>
      <c r="C83" s="1729"/>
      <c r="D83" s="1729"/>
      <c r="E83" s="1729">
        <f>'Part II-Sources of Funds'!E40</f>
        <v>0</v>
      </c>
      <c r="F83" s="1729"/>
      <c r="G83" s="1729"/>
      <c r="H83" s="1729"/>
      <c r="I83" s="2537">
        <f>'Part II-Sources of Funds'!I40</f>
        <v>0</v>
      </c>
      <c r="J83" s="1729"/>
      <c r="K83" s="2538">
        <f>'Part II-Sources of Funds'!K40</f>
        <v>0</v>
      </c>
      <c r="L83" s="1534">
        <f>'Part II-Sources of Funds'!L40</f>
        <v>0</v>
      </c>
      <c r="M83" s="1534">
        <f>'Part II-Sources of Funds'!M40</f>
        <v>0</v>
      </c>
      <c r="N83" s="1729">
        <f>'Part II-Sources of Funds'!N40</f>
        <v>0</v>
      </c>
      <c r="O83" s="1729"/>
      <c r="P83" s="2539" t="str">
        <f>'Part II-Sources of Funds'!P40</f>
        <v/>
      </c>
      <c r="Q83" s="2539"/>
    </row>
    <row r="84" spans="1:17" ht="13">
      <c r="A84" s="1729"/>
      <c r="B84" s="1729" t="s">
        <v>2397</v>
      </c>
      <c r="C84" s="1729"/>
      <c r="D84" s="1729"/>
      <c r="E84" s="1729">
        <f>'Part II-Sources of Funds'!E41</f>
        <v>0</v>
      </c>
      <c r="F84" s="1729"/>
      <c r="G84" s="1729"/>
      <c r="H84" s="1729"/>
      <c r="I84" s="2537">
        <f>'Part II-Sources of Funds'!I41</f>
        <v>0</v>
      </c>
      <c r="J84" s="1729"/>
      <c r="K84" s="2538">
        <f>'Part II-Sources of Funds'!K41</f>
        <v>0</v>
      </c>
      <c r="L84" s="1534">
        <f>'Part II-Sources of Funds'!L41</f>
        <v>0</v>
      </c>
      <c r="M84" s="1534">
        <f>'Part II-Sources of Funds'!M41</f>
        <v>0</v>
      </c>
      <c r="N84" s="1729">
        <f>'Part II-Sources of Funds'!N41</f>
        <v>0</v>
      </c>
      <c r="O84" s="1729"/>
      <c r="P84" s="2539" t="str">
        <f>'Part II-Sources of Funds'!P41</f>
        <v/>
      </c>
      <c r="Q84" s="2539"/>
    </row>
    <row r="85" spans="1:17" ht="13">
      <c r="A85" s="1729"/>
      <c r="B85" s="1729" t="s">
        <v>2398</v>
      </c>
      <c r="C85" s="1729"/>
      <c r="D85" s="1729"/>
      <c r="E85" s="1729">
        <f>'Part II-Sources of Funds'!E42</f>
        <v>0</v>
      </c>
      <c r="F85" s="1729"/>
      <c r="G85" s="1729"/>
      <c r="H85" s="1729"/>
      <c r="I85" s="2537">
        <f>'Part II-Sources of Funds'!I42</f>
        <v>0</v>
      </c>
      <c r="J85" s="1729"/>
      <c r="K85" s="2538">
        <f>'Part II-Sources of Funds'!K42</f>
        <v>0</v>
      </c>
      <c r="L85" s="1534">
        <f>'Part II-Sources of Funds'!L42</f>
        <v>0</v>
      </c>
      <c r="M85" s="1534">
        <f>'Part II-Sources of Funds'!M42</f>
        <v>0</v>
      </c>
      <c r="N85" s="1729">
        <f>'Part II-Sources of Funds'!N42</f>
        <v>0</v>
      </c>
      <c r="O85" s="1729"/>
      <c r="P85" s="2539" t="str">
        <f>'Part II-Sources of Funds'!P42</f>
        <v/>
      </c>
      <c r="Q85" s="2539"/>
    </row>
    <row r="86" spans="1:17" ht="13">
      <c r="A86" s="1729"/>
      <c r="B86" s="1729" t="s">
        <v>689</v>
      </c>
      <c r="C86" s="1729">
        <f>'Part II-Sources of Funds'!C43</f>
        <v>0</v>
      </c>
      <c r="D86" s="1729"/>
      <c r="E86" s="1729">
        <f>'Part II-Sources of Funds'!E43</f>
        <v>0</v>
      </c>
      <c r="F86" s="1729"/>
      <c r="G86" s="1729"/>
      <c r="H86" s="1729"/>
      <c r="I86" s="2537">
        <f>'Part II-Sources of Funds'!I43</f>
        <v>0</v>
      </c>
      <c r="J86" s="1729"/>
      <c r="K86" s="2538">
        <f>'Part II-Sources of Funds'!K43</f>
        <v>0</v>
      </c>
      <c r="L86" s="1534">
        <f>'Part II-Sources of Funds'!L43</f>
        <v>0</v>
      </c>
      <c r="M86" s="1534">
        <f>'Part II-Sources of Funds'!M43</f>
        <v>0</v>
      </c>
      <c r="N86" s="1729">
        <f>'Part II-Sources of Funds'!N43</f>
        <v>0</v>
      </c>
      <c r="O86" s="1729"/>
      <c r="P86" s="2539" t="str">
        <f>'Part II-Sources of Funds'!P43</f>
        <v/>
      </c>
      <c r="Q86" s="2539"/>
    </row>
    <row r="87" spans="1:17" ht="13">
      <c r="A87" s="1729"/>
      <c r="B87" s="1729" t="s">
        <v>3823</v>
      </c>
      <c r="C87" s="1729"/>
      <c r="D87" s="1729"/>
      <c r="E87" s="1729">
        <f>'Part II-Sources of Funds'!E44</f>
        <v>0</v>
      </c>
      <c r="F87" s="1729"/>
      <c r="G87" s="1729"/>
      <c r="H87" s="1729"/>
      <c r="I87" s="2537">
        <f>'Part II-Sources of Funds'!I44</f>
        <v>0</v>
      </c>
      <c r="J87" s="1729"/>
      <c r="K87" s="2538"/>
      <c r="L87" s="1534"/>
      <c r="M87" s="1534"/>
      <c r="N87" s="1729"/>
      <c r="O87" s="1729"/>
      <c r="P87" s="2539"/>
      <c r="Q87" s="2539"/>
    </row>
    <row r="88" spans="1:17" ht="13">
      <c r="A88" s="1729"/>
      <c r="B88" s="1729" t="s">
        <v>220</v>
      </c>
      <c r="C88" s="1729"/>
      <c r="D88" s="2540" t="str">
        <f>'Part II-Sources of Funds'!D45</f>
        <v/>
      </c>
      <c r="E88" s="1729">
        <f>'Part II-Sources of Funds'!E45</f>
        <v>0</v>
      </c>
      <c r="F88" s="1729"/>
      <c r="G88" s="1729"/>
      <c r="H88" s="1729"/>
      <c r="I88" s="2537">
        <f>'Part II-Sources of Funds'!I45</f>
        <v>0</v>
      </c>
      <c r="J88" s="1729"/>
      <c r="K88" s="2538">
        <f>'Part II-Sources of Funds'!K45</f>
        <v>0</v>
      </c>
      <c r="L88" s="1534">
        <f>'Part II-Sources of Funds'!L45</f>
        <v>0</v>
      </c>
      <c r="M88" s="1534">
        <f>'Part II-Sources of Funds'!M45</f>
        <v>0</v>
      </c>
      <c r="N88" s="1729">
        <f>'Part II-Sources of Funds'!N45</f>
        <v>0</v>
      </c>
      <c r="O88" s="1729"/>
      <c r="P88" s="2539" t="str">
        <f>'Part II-Sources of Funds'!P45</f>
        <v/>
      </c>
      <c r="Q88" s="2539"/>
    </row>
    <row r="89" spans="1:17" ht="13">
      <c r="A89" s="1729"/>
      <c r="B89" s="1729"/>
      <c r="C89" s="1729"/>
      <c r="D89" s="1729"/>
      <c r="E89" s="1729"/>
      <c r="F89" s="1729"/>
      <c r="G89" s="1729"/>
      <c r="H89" s="1729"/>
      <c r="I89" s="2541"/>
      <c r="J89" s="2542"/>
      <c r="K89" s="2538"/>
      <c r="L89" s="1534"/>
      <c r="M89" s="1534"/>
      <c r="N89" s="2543"/>
      <c r="O89" s="2543"/>
      <c r="P89" s="1534"/>
      <c r="Q89" s="1534"/>
    </row>
    <row r="90" spans="1:17" ht="13">
      <c r="A90" s="1729"/>
      <c r="B90" s="2474" t="s">
        <v>3320</v>
      </c>
      <c r="C90" s="1729"/>
      <c r="D90" s="2474"/>
      <c r="E90" s="2474" t="s">
        <v>3278</v>
      </c>
      <c r="F90" s="2544" t="str">
        <f>'Part II-Sources of Funds'!F47</f>
        <v/>
      </c>
      <c r="G90" s="2474"/>
      <c r="H90" s="2545" t="s">
        <v>3319</v>
      </c>
      <c r="I90" s="2544" t="str">
        <f>'Part II-Sources of Funds'!I47</f>
        <v/>
      </c>
      <c r="J90" s="2474"/>
      <c r="K90" s="2545" t="s">
        <v>3321</v>
      </c>
      <c r="L90" s="2546" t="str">
        <f>'Part II-Sources of Funds'!L47</f>
        <v/>
      </c>
      <c r="M90" s="2546"/>
      <c r="N90" s="2539" t="s">
        <v>3727</v>
      </c>
      <c r="O90" s="2539"/>
      <c r="P90" s="1730">
        <f>'Part II-Sources of Funds'!P47</f>
        <v>0</v>
      </c>
      <c r="Q90" s="1730"/>
    </row>
    <row r="91" spans="1:17" ht="13">
      <c r="A91" s="1729"/>
      <c r="B91" s="1729"/>
      <c r="C91" s="1729"/>
      <c r="D91" s="1729"/>
      <c r="E91" s="1729"/>
      <c r="F91" s="1729"/>
      <c r="G91" s="1729"/>
      <c r="H91" s="1729"/>
      <c r="I91" s="2541"/>
      <c r="J91" s="2542"/>
      <c r="K91" s="2538"/>
      <c r="L91" s="1534"/>
      <c r="M91" s="1534"/>
      <c r="N91" s="2543"/>
      <c r="O91" s="2543"/>
      <c r="P91" s="1534"/>
      <c r="Q91" s="1534"/>
    </row>
    <row r="92" spans="1:17" ht="13">
      <c r="A92" s="1729"/>
      <c r="B92" s="1729" t="s">
        <v>2042</v>
      </c>
      <c r="C92" s="1729"/>
      <c r="D92" s="1729"/>
      <c r="E92" s="1729">
        <f>'Part II-Sources of Funds'!E49</f>
        <v>0</v>
      </c>
      <c r="F92" s="1729"/>
      <c r="G92" s="1729"/>
      <c r="H92" s="1729"/>
      <c r="I92" s="2537">
        <f>'Part II-Sources of Funds'!I49</f>
        <v>0</v>
      </c>
      <c r="J92" s="1729"/>
      <c r="K92" s="1729"/>
      <c r="L92" s="1729"/>
      <c r="M92" s="1729"/>
      <c r="N92" s="1729"/>
      <c r="O92" s="1729"/>
      <c r="P92" s="1534" t="s">
        <v>482</v>
      </c>
      <c r="Q92" s="1729"/>
    </row>
    <row r="93" spans="1:17" ht="13">
      <c r="A93" s="1729"/>
      <c r="B93" s="1729" t="s">
        <v>744</v>
      </c>
      <c r="C93" s="1729"/>
      <c r="D93" s="1729"/>
      <c r="E93" s="1729">
        <f>'Part II-Sources of Funds'!E50</f>
        <v>0</v>
      </c>
      <c r="F93" s="1729"/>
      <c r="G93" s="1729"/>
      <c r="H93" s="1729"/>
      <c r="I93" s="2537">
        <f>'Part II-Sources of Funds'!I50</f>
        <v>0</v>
      </c>
      <c r="J93" s="1729"/>
      <c r="K93" s="2474"/>
      <c r="L93" s="2547" t="s">
        <v>483</v>
      </c>
      <c r="M93" s="2547"/>
      <c r="N93" s="2548" t="s">
        <v>484</v>
      </c>
      <c r="O93" s="2548"/>
      <c r="P93" s="2549" t="s">
        <v>2351</v>
      </c>
      <c r="Q93" s="1729"/>
    </row>
    <row r="94" spans="1:17" ht="13">
      <c r="A94" s="1729"/>
      <c r="B94" s="1729" t="s">
        <v>745</v>
      </c>
      <c r="C94" s="1729"/>
      <c r="D94" s="1729"/>
      <c r="E94" s="1729">
        <f>'Part II-Sources of Funds'!E51</f>
        <v>0</v>
      </c>
      <c r="F94" s="1729"/>
      <c r="G94" s="1729"/>
      <c r="H94" s="1729"/>
      <c r="I94" s="2537">
        <f>'Part II-Sources of Funds'!I51</f>
        <v>0</v>
      </c>
      <c r="J94" s="1729"/>
      <c r="K94" s="2474"/>
      <c r="L94" s="2550">
        <f>'Part III-A-Uses of Funds'!$J$191*10*'Part III-A-Uses of Funds'!$N$182</f>
        <v>0</v>
      </c>
      <c r="M94" s="2550"/>
      <c r="N94" s="2551">
        <f>I94-L94</f>
        <v>0</v>
      </c>
      <c r="O94" s="2551"/>
      <c r="P94" s="2552" t="e">
        <f>I94/I104</f>
        <v>#DIV/0!</v>
      </c>
      <c r="Q94" s="1729"/>
    </row>
    <row r="95" spans="1:17" ht="13">
      <c r="A95" s="1729"/>
      <c r="B95" s="1729" t="s">
        <v>746</v>
      </c>
      <c r="C95" s="1729"/>
      <c r="D95" s="1729"/>
      <c r="E95" s="1729">
        <f>'Part II-Sources of Funds'!E52</f>
        <v>0</v>
      </c>
      <c r="F95" s="1729"/>
      <c r="G95" s="1729"/>
      <c r="H95" s="1729"/>
      <c r="I95" s="2537">
        <f>'Part II-Sources of Funds'!I52</f>
        <v>0</v>
      </c>
      <c r="J95" s="1729"/>
      <c r="K95" s="2474"/>
      <c r="L95" s="2550">
        <f>'Part III-A-Uses of Funds'!$J$191*10*'Part III-A-Uses of Funds'!$Q$182</f>
        <v>0</v>
      </c>
      <c r="M95" s="2550"/>
      <c r="N95" s="2551">
        <f>I95-L95</f>
        <v>0</v>
      </c>
      <c r="O95" s="2551"/>
      <c r="P95" s="2552" t="e">
        <f>I95/I104</f>
        <v>#DIV/0!</v>
      </c>
      <c r="Q95" s="1729"/>
    </row>
    <row r="96" spans="1:17" ht="13">
      <c r="A96" s="1729"/>
      <c r="B96" s="1729" t="s">
        <v>1329</v>
      </c>
      <c r="C96" s="1729"/>
      <c r="D96" s="1729"/>
      <c r="E96" s="1729">
        <f>'Part II-Sources of Funds'!E53</f>
        <v>0</v>
      </c>
      <c r="F96" s="1729"/>
      <c r="G96" s="1729"/>
      <c r="H96" s="1729"/>
      <c r="I96" s="2537">
        <f>'Part II-Sources of Funds'!I53</f>
        <v>0</v>
      </c>
      <c r="J96" s="1729"/>
      <c r="K96" s="2474"/>
      <c r="L96" s="2474"/>
      <c r="M96" s="2474"/>
      <c r="N96" s="2474"/>
      <c r="O96" s="2474"/>
      <c r="P96" s="2552" t="e">
        <f>SUM(P94:P95)</f>
        <v>#DIV/0!</v>
      </c>
      <c r="Q96" s="1729"/>
    </row>
    <row r="97" spans="1:20" ht="13">
      <c r="A97" s="1729"/>
      <c r="B97" s="1729" t="s">
        <v>496</v>
      </c>
      <c r="C97" s="1729"/>
      <c r="D97" s="1729"/>
      <c r="E97" s="1729">
        <f>'Part II-Sources of Funds'!E54</f>
        <v>0</v>
      </c>
      <c r="F97" s="1729"/>
      <c r="G97" s="1729"/>
      <c r="H97" s="1729"/>
      <c r="I97" s="2537">
        <f>'Part II-Sources of Funds'!I54</f>
        <v>0</v>
      </c>
      <c r="J97" s="1729"/>
      <c r="K97" s="1729"/>
      <c r="L97" s="2474"/>
      <c r="M97" s="2474"/>
      <c r="N97" s="2474"/>
      <c r="O97" s="2474"/>
      <c r="P97" s="2474"/>
      <c r="Q97" s="1729"/>
    </row>
    <row r="98" spans="1:20" ht="13">
      <c r="A98" s="1729"/>
      <c r="B98" s="1729" t="s">
        <v>1727</v>
      </c>
      <c r="C98" s="1729"/>
      <c r="D98" s="1729"/>
      <c r="E98" s="1729">
        <f>'Part II-Sources of Funds'!E55</f>
        <v>0</v>
      </c>
      <c r="F98" s="1729"/>
      <c r="G98" s="1729"/>
      <c r="H98" s="1729"/>
      <c r="I98" s="2537">
        <f>'Part II-Sources of Funds'!I55</f>
        <v>0</v>
      </c>
      <c r="J98" s="1729"/>
      <c r="K98" s="2474"/>
      <c r="L98" s="2474"/>
      <c r="M98" s="2474"/>
      <c r="N98" s="1729"/>
      <c r="O98" s="1729"/>
      <c r="P98" s="1729"/>
      <c r="Q98" s="1729"/>
    </row>
    <row r="99" spans="1:20" ht="13">
      <c r="A99" s="1729"/>
      <c r="B99" s="1729" t="s">
        <v>1728</v>
      </c>
      <c r="C99" s="1729"/>
      <c r="D99" s="1729"/>
      <c r="E99" s="1729">
        <f>'Part II-Sources of Funds'!E56</f>
        <v>0</v>
      </c>
      <c r="F99" s="1729"/>
      <c r="G99" s="1729"/>
      <c r="H99" s="1729"/>
      <c r="I99" s="2537">
        <f>'Part II-Sources of Funds'!I56</f>
        <v>0</v>
      </c>
      <c r="J99" s="1729"/>
      <c r="K99" s="2474"/>
      <c r="L99" s="2474"/>
      <c r="M99" s="1729"/>
      <c r="N99" s="1729"/>
      <c r="O99" s="1729"/>
      <c r="P99" s="1729"/>
      <c r="Q99" s="1729"/>
    </row>
    <row r="100" spans="1:20" ht="13">
      <c r="A100" s="1729"/>
      <c r="B100" s="1729" t="s">
        <v>689</v>
      </c>
      <c r="C100" s="1729">
        <f>'Part II-Sources of Funds'!C57</f>
        <v>0</v>
      </c>
      <c r="D100" s="1729"/>
      <c r="E100" s="1729">
        <f>'Part II-Sources of Funds'!E57</f>
        <v>0</v>
      </c>
      <c r="F100" s="1729"/>
      <c r="G100" s="1729"/>
      <c r="H100" s="1729"/>
      <c r="I100" s="2537">
        <f>'Part II-Sources of Funds'!I57</f>
        <v>0</v>
      </c>
      <c r="J100" s="1729"/>
      <c r="K100" s="2474"/>
      <c r="L100" s="2474"/>
      <c r="M100" s="1729"/>
      <c r="N100" s="1729"/>
      <c r="O100" s="1729"/>
      <c r="P100" s="1729"/>
      <c r="Q100" s="1729"/>
    </row>
    <row r="101" spans="1:20" ht="13">
      <c r="A101" s="1729"/>
      <c r="B101" s="1729" t="s">
        <v>689</v>
      </c>
      <c r="C101" s="1729">
        <f>'Part II-Sources of Funds'!C58</f>
        <v>0</v>
      </c>
      <c r="D101" s="1729"/>
      <c r="E101" s="1729">
        <f>'Part II-Sources of Funds'!E58</f>
        <v>0</v>
      </c>
      <c r="F101" s="1729"/>
      <c r="G101" s="1729"/>
      <c r="H101" s="1729"/>
      <c r="I101" s="2537">
        <f>'Part II-Sources of Funds'!I58</f>
        <v>0</v>
      </c>
      <c r="J101" s="1729"/>
      <c r="K101" s="1729"/>
      <c r="L101" s="1534"/>
      <c r="M101" s="1729"/>
      <c r="N101" s="1729"/>
      <c r="O101" s="1729"/>
      <c r="P101" s="1729"/>
      <c r="Q101" s="1729"/>
    </row>
    <row r="102" spans="1:20" ht="13">
      <c r="A102" s="1729"/>
      <c r="B102" s="1729" t="s">
        <v>689</v>
      </c>
      <c r="C102" s="1729">
        <f>'Part II-Sources of Funds'!C59</f>
        <v>0</v>
      </c>
      <c r="D102" s="1729"/>
      <c r="E102" s="1729">
        <f>'Part II-Sources of Funds'!E59</f>
        <v>0</v>
      </c>
      <c r="F102" s="1729"/>
      <c r="G102" s="1729"/>
      <c r="H102" s="1729"/>
      <c r="I102" s="2537">
        <f>'Part II-Sources of Funds'!I59</f>
        <v>0</v>
      </c>
      <c r="J102" s="1729"/>
      <c r="K102" s="1729"/>
      <c r="L102" s="1534"/>
      <c r="M102" s="1729"/>
      <c r="N102" s="1729"/>
      <c r="O102" s="1729"/>
      <c r="P102" s="1729"/>
      <c r="Q102" s="1729"/>
    </row>
    <row r="103" spans="1:20" ht="13">
      <c r="A103" s="1729"/>
      <c r="B103" s="2509" t="s">
        <v>2043</v>
      </c>
      <c r="C103" s="1729"/>
      <c r="D103" s="1729"/>
      <c r="E103" s="1729"/>
      <c r="F103" s="1729"/>
      <c r="G103" s="1729"/>
      <c r="H103" s="2474"/>
      <c r="I103" s="2535">
        <f>SUM(I83:J88)+SUM(I92:J102)</f>
        <v>0</v>
      </c>
      <c r="J103" s="2535"/>
      <c r="K103" s="1729"/>
      <c r="L103" s="1534"/>
      <c r="M103" s="1729"/>
      <c r="N103" s="1729"/>
      <c r="O103" s="1729"/>
      <c r="P103" s="1729"/>
      <c r="Q103" s="1729"/>
    </row>
    <row r="104" spans="1:20" ht="13">
      <c r="A104" s="1729"/>
      <c r="B104" s="2509" t="s">
        <v>2044</v>
      </c>
      <c r="C104" s="1729"/>
      <c r="D104" s="1729"/>
      <c r="E104" s="1729"/>
      <c r="F104" s="1729"/>
      <c r="G104" s="1729"/>
      <c r="H104" s="2474"/>
      <c r="I104" s="2535">
        <f>'Part III-A-Uses of Funds'!$G$146</f>
        <v>0</v>
      </c>
      <c r="J104" s="2535"/>
      <c r="K104" s="1729"/>
      <c r="L104" s="1534"/>
      <c r="M104" s="1729"/>
      <c r="N104" s="1729"/>
      <c r="O104" s="1729"/>
      <c r="P104" s="1729"/>
      <c r="Q104" s="1729"/>
    </row>
    <row r="105" spans="1:20" ht="13">
      <c r="A105" s="1729"/>
      <c r="B105" s="2509" t="s">
        <v>1426</v>
      </c>
      <c r="C105" s="1729"/>
      <c r="D105" s="1729"/>
      <c r="E105" s="1729"/>
      <c r="F105" s="1729"/>
      <c r="G105" s="1729"/>
      <c r="H105" s="2474"/>
      <c r="I105" s="2536">
        <f>I103-I104</f>
        <v>0</v>
      </c>
      <c r="J105" s="2536"/>
      <c r="K105" s="1729"/>
      <c r="L105" s="1534"/>
      <c r="M105" s="1729"/>
      <c r="N105" s="1729"/>
      <c r="O105" s="1729"/>
      <c r="P105" s="1729"/>
      <c r="Q105" s="1729"/>
    </row>
    <row r="106" spans="1:20" ht="13">
      <c r="A106" s="1729" t="s">
        <v>3824</v>
      </c>
      <c r="B106" s="2509"/>
      <c r="C106" s="1729"/>
      <c r="D106" s="1729"/>
      <c r="E106" s="1729"/>
      <c r="F106" s="1729"/>
      <c r="G106" s="1729"/>
      <c r="H106" s="2542"/>
      <c r="I106" s="2542"/>
      <c r="J106" s="377"/>
      <c r="K106" s="1729"/>
      <c r="L106" s="1534"/>
      <c r="M106" s="1729"/>
      <c r="N106" s="1729"/>
      <c r="O106" s="1729"/>
      <c r="P106" s="1729"/>
      <c r="Q106" s="1729"/>
    </row>
    <row r="107" spans="1:20" ht="13">
      <c r="A107" s="377"/>
      <c r="B107" s="377"/>
      <c r="C107" s="377"/>
      <c r="D107" s="377"/>
      <c r="E107" s="377"/>
      <c r="F107" s="377"/>
      <c r="G107" s="377"/>
      <c r="H107" s="377"/>
      <c r="I107" s="377"/>
      <c r="J107" s="377"/>
      <c r="K107" s="377"/>
      <c r="L107" s="377"/>
      <c r="M107" s="377"/>
      <c r="N107" s="377"/>
      <c r="O107" s="377"/>
      <c r="P107" s="377"/>
      <c r="Q107" s="377"/>
    </row>
    <row r="108" spans="1:20" ht="13">
      <c r="A108" s="2502" t="s">
        <v>1661</v>
      </c>
      <c r="B108" s="2502" t="s">
        <v>529</v>
      </c>
      <c r="C108" s="377"/>
      <c r="D108" s="377"/>
      <c r="E108" s="377"/>
      <c r="F108" s="377"/>
      <c r="G108" s="377"/>
      <c r="H108" s="377"/>
      <c r="I108" s="377"/>
      <c r="J108" s="377"/>
      <c r="K108" s="2473"/>
      <c r="L108" s="2473"/>
      <c r="M108" s="2502" t="s">
        <v>1661</v>
      </c>
      <c r="N108" s="2502" t="s">
        <v>74</v>
      </c>
      <c r="O108" s="377"/>
      <c r="P108" s="377"/>
      <c r="Q108" s="377"/>
    </row>
    <row r="109" spans="1:20">
      <c r="A109" s="2529">
        <f>'Part II-Sources of Funds'!A66</f>
        <v>0</v>
      </c>
      <c r="B109" s="2529"/>
      <c r="C109" s="2529"/>
      <c r="D109" s="2529"/>
      <c r="E109" s="2529"/>
      <c r="F109" s="2529"/>
      <c r="G109" s="2529"/>
      <c r="H109" s="2529"/>
      <c r="I109" s="2529"/>
      <c r="J109" s="2529"/>
      <c r="K109" s="2529"/>
      <c r="L109" s="2529"/>
      <c r="M109" s="2529"/>
      <c r="N109" s="2529"/>
      <c r="O109" s="2529"/>
      <c r="P109" s="2529"/>
      <c r="Q109" s="2529"/>
    </row>
    <row r="112" spans="1:20" ht="13">
      <c r="A112" s="2502" t="str">
        <f>CONCATENATE("PART THREE (A):  USES OF FUNDS","  -  ",'Part I-Project Identification'!$O$7," ",'Part I-Project Identification'!$F$26,", ",'Part I-Project Identification'!F137,", ",'Part I-Project Identification'!J137," County")</f>
        <v>PART THREE (A):  USES OF FUNDS  -  2024-5 , ,  County</v>
      </c>
      <c r="B112" s="2502"/>
      <c r="C112" s="2502"/>
      <c r="D112" s="2502"/>
      <c r="E112" s="2502"/>
      <c r="F112" s="2502"/>
      <c r="G112" s="2502"/>
      <c r="H112" s="2502"/>
      <c r="I112" s="2502"/>
      <c r="J112" s="2502"/>
      <c r="K112" s="2502"/>
      <c r="L112" s="2502"/>
      <c r="M112" s="2502"/>
      <c r="N112" s="2502"/>
      <c r="O112" s="2502"/>
      <c r="P112" s="2502"/>
      <c r="Q112" s="2502"/>
      <c r="R112" s="2502"/>
      <c r="S112" s="2502"/>
      <c r="T112" s="2502"/>
    </row>
    <row r="113" spans="1:20" ht="13">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
      <c r="A114" s="2502"/>
      <c r="B114" s="2502"/>
      <c r="C114" s="2502"/>
      <c r="D114" s="2502"/>
      <c r="E114" s="2502"/>
      <c r="F114" s="2502"/>
      <c r="G114" s="2502"/>
      <c r="H114" s="2502"/>
      <c r="I114" s="2502"/>
      <c r="J114" s="2502"/>
      <c r="K114" s="2502"/>
      <c r="L114" s="2502"/>
      <c r="M114" s="2502"/>
      <c r="N114" s="2502"/>
      <c r="O114" s="2502"/>
      <c r="P114" s="2502"/>
      <c r="Q114" s="2502"/>
      <c r="R114" s="2502"/>
      <c r="S114" s="2502"/>
      <c r="T114" s="2502"/>
    </row>
    <row r="115" spans="1:20" ht="14">
      <c r="A115" s="2503"/>
      <c r="B115" s="2503"/>
      <c r="C115" s="2503"/>
      <c r="D115" s="2553"/>
      <c r="E115" s="2553"/>
      <c r="F115" s="2553"/>
      <c r="G115" s="2553"/>
      <c r="H115" s="2553"/>
      <c r="I115" s="2502"/>
      <c r="J115" s="2503"/>
      <c r="K115" s="2503"/>
      <c r="L115" s="2503"/>
      <c r="M115" s="2503"/>
      <c r="N115" s="2503"/>
      <c r="O115" s="2503"/>
      <c r="P115" s="2503"/>
      <c r="Q115" s="2503"/>
      <c r="R115" s="2503"/>
      <c r="S115" s="2503"/>
      <c r="T115" s="2503"/>
    </row>
    <row r="116" spans="1:20" ht="14.5" customHeight="1">
      <c r="A116" s="2553" t="s">
        <v>572</v>
      </c>
      <c r="B116" s="2553" t="s">
        <v>841</v>
      </c>
      <c r="C116" s="1729"/>
      <c r="D116" s="2504" t="str">
        <f>'Part I-Project Identification'!$A$6</f>
        <v>4% Credit Core
Sept 26, 2024</v>
      </c>
      <c r="E116" s="2504"/>
      <c r="F116" s="2504"/>
      <c r="G116" s="2504"/>
      <c r="H116" s="2504"/>
      <c r="I116" s="2553"/>
      <c r="J116" s="2502" t="s">
        <v>259</v>
      </c>
      <c r="K116" s="2502"/>
      <c r="L116" s="2532"/>
      <c r="M116" s="2554" t="s">
        <v>459</v>
      </c>
      <c r="N116" s="2554"/>
      <c r="O116" s="1729"/>
      <c r="P116" s="2502" t="s">
        <v>260</v>
      </c>
      <c r="Q116" s="2502"/>
      <c r="R116" s="1729"/>
      <c r="S116" s="2502" t="s">
        <v>261</v>
      </c>
      <c r="T116" s="2502"/>
    </row>
    <row r="117" spans="1:20" ht="14">
      <c r="A117" s="1729"/>
      <c r="B117" s="1729"/>
      <c r="C117" s="1729"/>
      <c r="D117" s="2504"/>
      <c r="E117" s="2504"/>
      <c r="F117" s="2504"/>
      <c r="G117" s="2502" t="s">
        <v>95</v>
      </c>
      <c r="H117" s="2502"/>
      <c r="I117" s="1729"/>
      <c r="J117" s="2502"/>
      <c r="K117" s="2502"/>
      <c r="L117" s="2532"/>
      <c r="M117" s="2554"/>
      <c r="N117" s="2554"/>
      <c r="O117" s="1729"/>
      <c r="P117" s="2502"/>
      <c r="Q117" s="2502"/>
      <c r="R117" s="1729"/>
      <c r="S117" s="2502"/>
      <c r="T117" s="2502"/>
    </row>
    <row r="118" spans="1:20" ht="13">
      <c r="A118" s="1729"/>
      <c r="B118" s="2502" t="s">
        <v>96</v>
      </c>
      <c r="C118" s="1729"/>
      <c r="D118" s="1729"/>
      <c r="E118" s="1729"/>
      <c r="F118" s="1729"/>
      <c r="G118" s="1729"/>
      <c r="H118" s="1729"/>
      <c r="I118" s="1729"/>
      <c r="J118" s="1729"/>
      <c r="K118" s="1729"/>
      <c r="L118" s="1729"/>
      <c r="M118" s="1729"/>
      <c r="N118" s="1729"/>
      <c r="O118" s="2503" t="str">
        <f>B118</f>
        <v>PRE-DEVELOPMENT COSTS</v>
      </c>
      <c r="P118" s="1729"/>
      <c r="Q118" s="1729"/>
      <c r="R118" s="1729"/>
      <c r="S118" s="1729"/>
      <c r="T118" s="1729"/>
    </row>
    <row r="119" spans="1:20" ht="13">
      <c r="A119" s="1729"/>
      <c r="B119" s="1729" t="s">
        <v>1850</v>
      </c>
      <c r="C119" s="1729"/>
      <c r="D119" s="1729"/>
      <c r="E119" s="1729"/>
      <c r="F119" s="1729"/>
      <c r="G119" s="2532">
        <f>'Part III-A-Uses of Funds'!G9</f>
        <v>0</v>
      </c>
      <c r="H119" s="2532"/>
      <c r="I119" s="1729"/>
      <c r="J119" s="2532">
        <f>'Part III-A-Uses of Funds'!J9</f>
        <v>0</v>
      </c>
      <c r="K119" s="2532"/>
      <c r="L119" s="2521"/>
      <c r="M119" s="2532">
        <f>'Part III-A-Uses of Funds'!M9</f>
        <v>0</v>
      </c>
      <c r="N119" s="2532"/>
      <c r="O119" s="1729"/>
      <c r="P119" s="2532">
        <f>'Part III-A-Uses of Funds'!P9</f>
        <v>0</v>
      </c>
      <c r="Q119" s="2532"/>
      <c r="R119" s="1729"/>
      <c r="S119" s="2532">
        <f>'Part III-A-Uses of Funds'!S9</f>
        <v>0</v>
      </c>
      <c r="T119" s="2532"/>
    </row>
    <row r="120" spans="1:20" ht="13">
      <c r="A120" s="1729"/>
      <c r="B120" s="1729" t="s">
        <v>430</v>
      </c>
      <c r="C120" s="1729"/>
      <c r="D120" s="1729"/>
      <c r="E120" s="1729"/>
      <c r="F120" s="1729"/>
      <c r="G120" s="2532">
        <f>'Part III-A-Uses of Funds'!G10</f>
        <v>0</v>
      </c>
      <c r="H120" s="2532"/>
      <c r="I120" s="1729"/>
      <c r="J120" s="2532">
        <f>'Part III-A-Uses of Funds'!J10</f>
        <v>0</v>
      </c>
      <c r="K120" s="2532"/>
      <c r="L120" s="2521"/>
      <c r="M120" s="2532">
        <f>'Part III-A-Uses of Funds'!M10</f>
        <v>0</v>
      </c>
      <c r="N120" s="2532"/>
      <c r="O120" s="1729"/>
      <c r="P120" s="2532">
        <f>'Part III-A-Uses of Funds'!P10</f>
        <v>0</v>
      </c>
      <c r="Q120" s="2532"/>
      <c r="R120" s="1729"/>
      <c r="S120" s="2532">
        <f>'Part III-A-Uses of Funds'!S10</f>
        <v>0</v>
      </c>
      <c r="T120" s="2532"/>
    </row>
    <row r="121" spans="1:20" ht="13">
      <c r="A121" s="1729"/>
      <c r="B121" s="1729" t="s">
        <v>457</v>
      </c>
      <c r="C121" s="1729"/>
      <c r="D121" s="1729"/>
      <c r="E121" s="1729"/>
      <c r="F121" s="1729"/>
      <c r="G121" s="2532">
        <f>'Part III-A-Uses of Funds'!G11</f>
        <v>0</v>
      </c>
      <c r="H121" s="2532"/>
      <c r="I121" s="1729"/>
      <c r="J121" s="2532">
        <f>'Part III-A-Uses of Funds'!J11</f>
        <v>0</v>
      </c>
      <c r="K121" s="2532"/>
      <c r="L121" s="2521"/>
      <c r="M121" s="2532">
        <f>'Part III-A-Uses of Funds'!M11</f>
        <v>0</v>
      </c>
      <c r="N121" s="2532"/>
      <c r="O121" s="1729"/>
      <c r="P121" s="2532">
        <f>'Part III-A-Uses of Funds'!P11</f>
        <v>0</v>
      </c>
      <c r="Q121" s="2532"/>
      <c r="R121" s="1729"/>
      <c r="S121" s="2532">
        <f>'Part III-A-Uses of Funds'!S11</f>
        <v>0</v>
      </c>
      <c r="T121" s="2532"/>
    </row>
    <row r="122" spans="1:20" ht="13">
      <c r="A122" s="1729"/>
      <c r="B122" s="1729" t="s">
        <v>458</v>
      </c>
      <c r="C122" s="1729"/>
      <c r="D122" s="1729"/>
      <c r="E122" s="1729"/>
      <c r="F122" s="1729"/>
      <c r="G122" s="2532">
        <f>'Part III-A-Uses of Funds'!G12</f>
        <v>0</v>
      </c>
      <c r="H122" s="2532"/>
      <c r="I122" s="1729"/>
      <c r="J122" s="2532">
        <f>'Part III-A-Uses of Funds'!J12</f>
        <v>0</v>
      </c>
      <c r="K122" s="2532"/>
      <c r="L122" s="2521"/>
      <c r="M122" s="2532">
        <f>'Part III-A-Uses of Funds'!M12</f>
        <v>0</v>
      </c>
      <c r="N122" s="2532"/>
      <c r="O122" s="1729"/>
      <c r="P122" s="2532">
        <f>'Part III-A-Uses of Funds'!P12</f>
        <v>0</v>
      </c>
      <c r="Q122" s="2532"/>
      <c r="R122" s="1729"/>
      <c r="S122" s="2532">
        <f>'Part III-A-Uses of Funds'!S12</f>
        <v>0</v>
      </c>
      <c r="T122" s="2532"/>
    </row>
    <row r="123" spans="1:20" ht="13">
      <c r="A123" s="1729"/>
      <c r="B123" s="1729" t="s">
        <v>2295</v>
      </c>
      <c r="C123" s="1729"/>
      <c r="D123" s="1729"/>
      <c r="E123" s="1729"/>
      <c r="F123" s="1729"/>
      <c r="G123" s="2532">
        <f>'Part III-A-Uses of Funds'!G13</f>
        <v>0</v>
      </c>
      <c r="H123" s="2532"/>
      <c r="I123" s="1729"/>
      <c r="J123" s="2532">
        <f>'Part III-A-Uses of Funds'!J13</f>
        <v>0</v>
      </c>
      <c r="K123" s="2532"/>
      <c r="L123" s="2521"/>
      <c r="M123" s="2532">
        <f>'Part III-A-Uses of Funds'!M13</f>
        <v>0</v>
      </c>
      <c r="N123" s="2532"/>
      <c r="O123" s="1729"/>
      <c r="P123" s="2532">
        <f>'Part III-A-Uses of Funds'!P13</f>
        <v>0</v>
      </c>
      <c r="Q123" s="2532"/>
      <c r="R123" s="1729"/>
      <c r="S123" s="2532">
        <f>'Part III-A-Uses of Funds'!S13</f>
        <v>0</v>
      </c>
      <c r="T123" s="2532"/>
    </row>
    <row r="124" spans="1:20" ht="13">
      <c r="A124" s="1729"/>
      <c r="B124" s="1729" t="s">
        <v>183</v>
      </c>
      <c r="C124" s="1729"/>
      <c r="D124" s="1729"/>
      <c r="E124" s="1729"/>
      <c r="F124" s="1729"/>
      <c r="G124" s="2532">
        <f>'Part III-A-Uses of Funds'!G14</f>
        <v>0</v>
      </c>
      <c r="H124" s="2532"/>
      <c r="I124" s="1729"/>
      <c r="J124" s="2532">
        <f>'Part III-A-Uses of Funds'!J14</f>
        <v>0</v>
      </c>
      <c r="K124" s="2532"/>
      <c r="L124" s="2521"/>
      <c r="M124" s="2532">
        <f>'Part III-A-Uses of Funds'!M14</f>
        <v>0</v>
      </c>
      <c r="N124" s="2532"/>
      <c r="O124" s="1729"/>
      <c r="P124" s="2532">
        <f>'Part III-A-Uses of Funds'!P14</f>
        <v>0</v>
      </c>
      <c r="Q124" s="2532"/>
      <c r="R124" s="1729"/>
      <c r="S124" s="2532">
        <f>'Part III-A-Uses of Funds'!S14</f>
        <v>0</v>
      </c>
      <c r="T124" s="2532"/>
    </row>
    <row r="125" spans="1:20" ht="15.65" customHeight="1">
      <c r="A125" s="2555" t="str">
        <f>IF(AND(G125&gt;0,OR(C125="",C125="&lt;Enter detailed description here; use Comments section if needed&gt;")),"X","")</f>
        <v/>
      </c>
      <c r="B125" s="2508" t="s">
        <v>4173</v>
      </c>
      <c r="C125" s="2474" t="str">
        <f>'Part III-A-Uses of Funds'!C15</f>
        <v>&lt;&lt; Enter description here; provide detail &amp; justification in tab Part III-b &gt;&gt;</v>
      </c>
      <c r="D125" s="2474"/>
      <c r="E125" s="2474"/>
      <c r="F125" s="2474"/>
      <c r="G125" s="2532">
        <f>'Part III-A-Uses of Funds'!G15</f>
        <v>0</v>
      </c>
      <c r="H125" s="2532"/>
      <c r="I125" s="1729"/>
      <c r="J125" s="2532">
        <f>'Part III-A-Uses of Funds'!J15</f>
        <v>0</v>
      </c>
      <c r="K125" s="2532"/>
      <c r="L125" s="2521"/>
      <c r="M125" s="2532">
        <f>'Part III-A-Uses of Funds'!M15</f>
        <v>0</v>
      </c>
      <c r="N125" s="2532"/>
      <c r="O125" s="1729"/>
      <c r="P125" s="2532">
        <f>'Part III-A-Uses of Funds'!P15</f>
        <v>0</v>
      </c>
      <c r="Q125" s="2532"/>
      <c r="R125" s="1729"/>
      <c r="S125" s="2532">
        <f>'Part III-A-Uses of Funds'!S15</f>
        <v>0</v>
      </c>
      <c r="T125" s="2532"/>
    </row>
    <row r="126" spans="1:20" ht="15.65" customHeight="1">
      <c r="A126" s="2555" t="str">
        <f>IF(AND(G126&gt;0,OR(C126="",C126="&lt;Enter detailed description here; use Comments section if needed&gt;")),"X","")</f>
        <v/>
      </c>
      <c r="B126" s="2508" t="s">
        <v>4174</v>
      </c>
      <c r="C126" s="2474" t="str">
        <f>'Part III-A-Uses of Funds'!C16</f>
        <v>&lt;&lt; Enter description here; provide detail &amp; justification in tab Part III-b &gt;&gt;</v>
      </c>
      <c r="D126" s="2474"/>
      <c r="E126" s="2474"/>
      <c r="F126" s="2474"/>
      <c r="G126" s="2532">
        <f>'Part III-A-Uses of Funds'!G16</f>
        <v>0</v>
      </c>
      <c r="H126" s="2532"/>
      <c r="I126" s="1729"/>
      <c r="J126" s="2532">
        <f>'Part III-A-Uses of Funds'!J16</f>
        <v>0</v>
      </c>
      <c r="K126" s="2532"/>
      <c r="L126" s="2521"/>
      <c r="M126" s="2532">
        <f>'Part III-A-Uses of Funds'!M16</f>
        <v>0</v>
      </c>
      <c r="N126" s="2532"/>
      <c r="O126" s="1729"/>
      <c r="P126" s="2532">
        <f>'Part III-A-Uses of Funds'!P16</f>
        <v>0</v>
      </c>
      <c r="Q126" s="2532"/>
      <c r="R126" s="1729"/>
      <c r="S126" s="2532">
        <f>'Part III-A-Uses of Funds'!S16</f>
        <v>0</v>
      </c>
      <c r="T126" s="2532"/>
    </row>
    <row r="127" spans="1:20" ht="16" customHeight="1">
      <c r="A127" s="2555" t="str">
        <f>IF(AND(G127&gt;0,OR(C127="",C127="&lt;Enter detailed description here; use Comments section if needed&gt;")),"X","")</f>
        <v/>
      </c>
      <c r="B127" s="2508" t="s">
        <v>4175</v>
      </c>
      <c r="C127" s="2474" t="str">
        <f>'Part III-A-Uses of Funds'!C17</f>
        <v>&lt;&lt; Enter description here; provide detail &amp; justification in tab Part III-b &gt;&gt;</v>
      </c>
      <c r="D127" s="2474"/>
      <c r="E127" s="2474"/>
      <c r="F127" s="2474"/>
      <c r="G127" s="2532">
        <f>'Part III-A-Uses of Funds'!G17</f>
        <v>0</v>
      </c>
      <c r="H127" s="2532"/>
      <c r="I127" s="1729"/>
      <c r="J127" s="2532">
        <f>'Part III-A-Uses of Funds'!J17</f>
        <v>0</v>
      </c>
      <c r="K127" s="2532"/>
      <c r="L127" s="2521"/>
      <c r="M127" s="2532">
        <f>'Part III-A-Uses of Funds'!M17</f>
        <v>0</v>
      </c>
      <c r="N127" s="2532"/>
      <c r="O127" s="1729"/>
      <c r="P127" s="2532">
        <f>'Part III-A-Uses of Funds'!P17</f>
        <v>0</v>
      </c>
      <c r="Q127" s="2532"/>
      <c r="R127" s="1729"/>
      <c r="S127" s="2532">
        <f>'Part III-A-Uses of Funds'!S17</f>
        <v>0</v>
      </c>
      <c r="T127" s="2532"/>
    </row>
    <row r="128" spans="1:20" ht="13">
      <c r="A128" s="1729"/>
      <c r="B128" s="1729"/>
      <c r="C128" s="1729"/>
      <c r="D128" s="1729"/>
      <c r="E128" s="1729"/>
      <c r="F128" s="2556" t="s">
        <v>184</v>
      </c>
      <c r="G128" s="2532">
        <f>SUM(G119:G127)</f>
        <v>0</v>
      </c>
      <c r="H128" s="2532"/>
      <c r="I128" s="1729"/>
      <c r="J128" s="2532">
        <f>SUM(J119:J127)</f>
        <v>0</v>
      </c>
      <c r="K128" s="2532"/>
      <c r="L128" s="2521"/>
      <c r="M128" s="2532">
        <f>SUM(M119:M127)</f>
        <v>0</v>
      </c>
      <c r="N128" s="2532"/>
      <c r="O128" s="1729"/>
      <c r="P128" s="2532">
        <f>SUM(P119:P127)</f>
        <v>0</v>
      </c>
      <c r="Q128" s="2532"/>
      <c r="R128" s="1729"/>
      <c r="S128" s="2532">
        <f>SUM(S119:S127)</f>
        <v>0</v>
      </c>
      <c r="T128" s="2532"/>
    </row>
    <row r="129" spans="1:20" ht="13">
      <c r="A129" s="1729"/>
      <c r="B129" s="2502" t="s">
        <v>2032</v>
      </c>
      <c r="C129" s="1729"/>
      <c r="D129" s="1729"/>
      <c r="E129" s="1729"/>
      <c r="F129" s="1729"/>
      <c r="G129" s="1729"/>
      <c r="H129" s="1729"/>
      <c r="I129" s="1729"/>
      <c r="J129" s="2532"/>
      <c r="K129" s="2532"/>
      <c r="L129" s="1729"/>
      <c r="M129" s="2532"/>
      <c r="N129" s="2532"/>
      <c r="O129" s="2557" t="str">
        <f>B129</f>
        <v>ACQUISITION</v>
      </c>
      <c r="P129" s="2532"/>
      <c r="Q129" s="2532"/>
      <c r="R129" s="1729"/>
      <c r="S129" s="2532"/>
      <c r="T129" s="2532"/>
    </row>
    <row r="130" spans="1:20" ht="13">
      <c r="A130" s="1729"/>
      <c r="B130" s="1729" t="s">
        <v>2033</v>
      </c>
      <c r="C130" s="1729"/>
      <c r="D130" s="1729"/>
      <c r="E130" s="2558" t="s">
        <v>3137</v>
      </c>
      <c r="F130" s="2559" t="str">
        <f>IF('Part I-Project Identification'!$O$28="","",G130/'Part I-Project Identification'!$O$28)</f>
        <v/>
      </c>
      <c r="G130" s="2532">
        <f>'Part III-A-Uses of Funds'!G20</f>
        <v>0</v>
      </c>
      <c r="H130" s="2532"/>
      <c r="I130" s="1729"/>
      <c r="J130" s="2521"/>
      <c r="K130" s="2532"/>
      <c r="L130" s="2521"/>
      <c r="M130" s="2521"/>
      <c r="N130" s="2532"/>
      <c r="O130" s="1729"/>
      <c r="P130" s="2521"/>
      <c r="Q130" s="2532"/>
      <c r="R130" s="1729"/>
      <c r="S130" s="2532">
        <f>'Part III-A-Uses of Funds'!S20</f>
        <v>0</v>
      </c>
      <c r="T130" s="2532"/>
    </row>
    <row r="131" spans="1:20" ht="13">
      <c r="A131" s="1729"/>
      <c r="B131" s="1729" t="s">
        <v>1053</v>
      </c>
      <c r="C131" s="1729"/>
      <c r="D131" s="1729"/>
      <c r="E131" s="1729"/>
      <c r="F131" s="1729"/>
      <c r="G131" s="2532">
        <f>'Part III-A-Uses of Funds'!G21</f>
        <v>0</v>
      </c>
      <c r="H131" s="2532"/>
      <c r="I131" s="1729"/>
      <c r="J131" s="2521"/>
      <c r="K131" s="2532"/>
      <c r="L131" s="2521"/>
      <c r="M131" s="2521"/>
      <c r="N131" s="2532"/>
      <c r="O131" s="1729"/>
      <c r="P131" s="2521"/>
      <c r="Q131" s="2532"/>
      <c r="R131" s="1729"/>
      <c r="S131" s="2532">
        <f>'Part III-A-Uses of Funds'!S21</f>
        <v>0</v>
      </c>
      <c r="T131" s="2532"/>
    </row>
    <row r="132" spans="1:20" ht="13">
      <c r="A132" s="1729"/>
      <c r="B132" s="1729" t="s">
        <v>431</v>
      </c>
      <c r="C132" s="1729"/>
      <c r="D132" s="1729"/>
      <c r="E132" s="1729"/>
      <c r="F132" s="1729"/>
      <c r="G132" s="2532">
        <f>'Part III-A-Uses of Funds'!G22</f>
        <v>0</v>
      </c>
      <c r="H132" s="2532"/>
      <c r="I132" s="1729"/>
      <c r="J132" s="2521"/>
      <c r="K132" s="2532"/>
      <c r="L132" s="2521"/>
      <c r="M132" s="2532">
        <f>'Part III-A-Uses of Funds'!M22</f>
        <v>0</v>
      </c>
      <c r="N132" s="2532"/>
      <c r="O132" s="1729"/>
      <c r="P132" s="2521"/>
      <c r="Q132" s="2532"/>
      <c r="R132" s="1729"/>
      <c r="S132" s="2532">
        <f>'Part III-A-Uses of Funds'!S22</f>
        <v>0</v>
      </c>
      <c r="T132" s="2532"/>
    </row>
    <row r="133" spans="1:20" ht="13">
      <c r="A133" s="1729"/>
      <c r="B133" s="1729" t="s">
        <v>404</v>
      </c>
      <c r="C133" s="1729"/>
      <c r="D133" s="1729"/>
      <c r="E133" s="1729"/>
      <c r="F133" s="1729"/>
      <c r="G133" s="2532">
        <f>'Part III-A-Uses of Funds'!G23</f>
        <v>0</v>
      </c>
      <c r="H133" s="2532"/>
      <c r="I133" s="1729"/>
      <c r="J133" s="2521"/>
      <c r="K133" s="2532"/>
      <c r="L133" s="2521"/>
      <c r="M133" s="2532">
        <f>'Part III-A-Uses of Funds'!M23</f>
        <v>0</v>
      </c>
      <c r="N133" s="2532"/>
      <c r="O133" s="1729"/>
      <c r="P133" s="2521"/>
      <c r="Q133" s="2532"/>
      <c r="R133" s="1729"/>
      <c r="S133" s="2532">
        <f>'Part III-A-Uses of Funds'!S23</f>
        <v>0</v>
      </c>
      <c r="T133" s="2532"/>
    </row>
    <row r="134" spans="1:20" ht="13">
      <c r="A134" s="1729"/>
      <c r="B134" s="1729"/>
      <c r="C134" s="1729"/>
      <c r="D134" s="1729"/>
      <c r="E134" s="1729"/>
      <c r="F134" s="2556" t="s">
        <v>184</v>
      </c>
      <c r="G134" s="2532">
        <f>SUM(G130:G133)</f>
        <v>0</v>
      </c>
      <c r="H134" s="2532"/>
      <c r="I134" s="1729"/>
      <c r="J134" s="2521"/>
      <c r="K134" s="2532"/>
      <c r="L134" s="2521"/>
      <c r="M134" s="2532">
        <f>SUM(M132:M133)</f>
        <v>0</v>
      </c>
      <c r="N134" s="2532"/>
      <c r="O134" s="1729"/>
      <c r="P134" s="2521"/>
      <c r="Q134" s="2532"/>
      <c r="R134" s="1729"/>
      <c r="S134" s="2532">
        <f>SUM(S130:S133)</f>
        <v>0</v>
      </c>
      <c r="T134" s="2532"/>
    </row>
    <row r="135" spans="1:20" ht="13">
      <c r="A135" s="1729"/>
      <c r="B135" s="2502" t="s">
        <v>1054</v>
      </c>
      <c r="C135" s="1729"/>
      <c r="D135" s="1729"/>
      <c r="E135" s="1729"/>
      <c r="F135" s="1729"/>
      <c r="G135" s="1729"/>
      <c r="H135" s="1729"/>
      <c r="I135" s="1729"/>
      <c r="J135" s="2521"/>
      <c r="K135" s="2532"/>
      <c r="L135" s="1729"/>
      <c r="M135" s="2521"/>
      <c r="N135" s="2532"/>
      <c r="O135" s="2557" t="str">
        <f>B135</f>
        <v>LAND IMPROVEMENTS</v>
      </c>
      <c r="P135" s="2521"/>
      <c r="Q135" s="2532"/>
      <c r="R135" s="1729"/>
      <c r="S135" s="2521"/>
      <c r="T135" s="2532"/>
    </row>
    <row r="136" spans="1:20" ht="13">
      <c r="A136" s="1729"/>
      <c r="B136" s="1729" t="s">
        <v>1055</v>
      </c>
      <c r="C136" s="1729"/>
      <c r="D136" s="1729"/>
      <c r="E136" s="2558" t="s">
        <v>3137</v>
      </c>
      <c r="F136" s="2559" t="str">
        <f>IF('Part I-Project Identification'!$O$28="","",G136/'Part I-Project Identification'!$O$28)</f>
        <v/>
      </c>
      <c r="G136" s="2532">
        <f>'Part III-A-Uses of Funds'!G26</f>
        <v>0</v>
      </c>
      <c r="H136" s="2532"/>
      <c r="I136" s="1729"/>
      <c r="J136" s="2532">
        <f>'Part III-A-Uses of Funds'!J26</f>
        <v>0</v>
      </c>
      <c r="K136" s="2532"/>
      <c r="L136" s="2521"/>
      <c r="M136" s="2532">
        <f>'Part III-A-Uses of Funds'!M26</f>
        <v>0</v>
      </c>
      <c r="N136" s="2532"/>
      <c r="O136" s="1729"/>
      <c r="P136" s="2532">
        <f>'Part III-A-Uses of Funds'!P26</f>
        <v>0</v>
      </c>
      <c r="Q136" s="2532"/>
      <c r="R136" s="1729"/>
      <c r="S136" s="2532">
        <f>'Part III-A-Uses of Funds'!S26</f>
        <v>0</v>
      </c>
      <c r="T136" s="2532"/>
    </row>
    <row r="137" spans="1:20" ht="13">
      <c r="A137" s="1729"/>
      <c r="B137" s="1729" t="s">
        <v>1056</v>
      </c>
      <c r="C137" s="1729"/>
      <c r="D137" s="1729"/>
      <c r="E137" s="1729"/>
      <c r="F137" s="1729"/>
      <c r="G137" s="2532">
        <f>'Part III-A-Uses of Funds'!G27</f>
        <v>0</v>
      </c>
      <c r="H137" s="2532"/>
      <c r="I137" s="1729"/>
      <c r="J137" s="2532">
        <f>'Part III-A-Uses of Funds'!J27</f>
        <v>0</v>
      </c>
      <c r="K137" s="2532"/>
      <c r="L137" s="2560"/>
      <c r="M137" s="2532"/>
      <c r="N137" s="2532"/>
      <c r="O137" s="1729"/>
      <c r="P137" s="2532"/>
      <c r="Q137" s="2532"/>
      <c r="R137" s="1729"/>
      <c r="S137" s="2532">
        <f>'Part III-A-Uses of Funds'!S27</f>
        <v>0</v>
      </c>
      <c r="T137" s="2532"/>
    </row>
    <row r="138" spans="1:20" ht="13">
      <c r="A138" s="1729"/>
      <c r="B138" s="1729"/>
      <c r="C138" s="1729"/>
      <c r="D138" s="1729"/>
      <c r="E138" s="1729"/>
      <c r="F138" s="2556" t="s">
        <v>184</v>
      </c>
      <c r="G138" s="2532">
        <f>SUM(G136:G137)</f>
        <v>0</v>
      </c>
      <c r="H138" s="2532"/>
      <c r="I138" s="1729"/>
      <c r="J138" s="2532">
        <f>SUM(J136:J137)</f>
        <v>0</v>
      </c>
      <c r="K138" s="2532"/>
      <c r="L138" s="2521"/>
      <c r="M138" s="2532">
        <f>M136</f>
        <v>0</v>
      </c>
      <c r="N138" s="2532"/>
      <c r="O138" s="1729"/>
      <c r="P138" s="2532">
        <f>P136</f>
        <v>0</v>
      </c>
      <c r="Q138" s="2532"/>
      <c r="R138" s="1729"/>
      <c r="S138" s="2532">
        <f>SUM(S136:S137)</f>
        <v>0</v>
      </c>
      <c r="T138" s="2532"/>
    </row>
    <row r="139" spans="1:20" ht="13">
      <c r="A139" s="1729"/>
      <c r="B139" s="2502" t="s">
        <v>1057</v>
      </c>
      <c r="C139" s="1729"/>
      <c r="D139" s="1729"/>
      <c r="E139" s="1729"/>
      <c r="F139" s="1729"/>
      <c r="G139" s="1729"/>
      <c r="H139" s="1729"/>
      <c r="I139" s="1729"/>
      <c r="J139" s="2521"/>
      <c r="K139" s="2532"/>
      <c r="L139" s="1729"/>
      <c r="M139" s="2521"/>
      <c r="N139" s="2532"/>
      <c r="O139" s="2557" t="str">
        <f>B139</f>
        <v>STRUCTURES</v>
      </c>
      <c r="P139" s="2521"/>
      <c r="Q139" s="2532"/>
      <c r="R139" s="1729"/>
      <c r="S139" s="2521"/>
      <c r="T139" s="2532"/>
    </row>
    <row r="140" spans="1:20" ht="13">
      <c r="A140" s="1729"/>
      <c r="B140" s="1729" t="s">
        <v>1058</v>
      </c>
      <c r="C140" s="1729"/>
      <c r="D140" s="1729"/>
      <c r="E140" s="1729"/>
      <c r="F140" s="1729"/>
      <c r="G140" s="2532">
        <f>'Part III-A-Uses of Funds'!G30</f>
        <v>0</v>
      </c>
      <c r="H140" s="2532"/>
      <c r="I140" s="1729"/>
      <c r="J140" s="2532">
        <f>'Part III-A-Uses of Funds'!J30</f>
        <v>0</v>
      </c>
      <c r="K140" s="2532"/>
      <c r="L140" s="2521"/>
      <c r="M140" s="2532">
        <f>'Part III-A-Uses of Funds'!M30</f>
        <v>0</v>
      </c>
      <c r="N140" s="2532"/>
      <c r="O140" s="1729"/>
      <c r="P140" s="2532">
        <f>'Part III-A-Uses of Funds'!P30</f>
        <v>0</v>
      </c>
      <c r="Q140" s="2532"/>
      <c r="R140" s="1729"/>
      <c r="S140" s="2532">
        <f>'Part III-A-Uses of Funds'!S30</f>
        <v>0</v>
      </c>
      <c r="T140" s="2532"/>
    </row>
    <row r="141" spans="1:20" ht="13">
      <c r="A141" s="1729"/>
      <c r="B141" s="1729" t="s">
        <v>1059</v>
      </c>
      <c r="C141" s="1729"/>
      <c r="D141" s="1729"/>
      <c r="E141" s="1729"/>
      <c r="F141" s="1729"/>
      <c r="G141" s="2532">
        <f>'Part III-A-Uses of Funds'!G31</f>
        <v>0</v>
      </c>
      <c r="H141" s="2532"/>
      <c r="I141" s="1729"/>
      <c r="J141" s="2532">
        <f>'Part III-A-Uses of Funds'!J31</f>
        <v>0</v>
      </c>
      <c r="K141" s="2532"/>
      <c r="L141" s="2521"/>
      <c r="M141" s="2532">
        <f>'Part III-A-Uses of Funds'!M31</f>
        <v>0</v>
      </c>
      <c r="N141" s="2532"/>
      <c r="O141" s="1729"/>
      <c r="P141" s="2532">
        <f>'Part III-A-Uses of Funds'!P31</f>
        <v>0</v>
      </c>
      <c r="Q141" s="2532"/>
      <c r="R141" s="1729"/>
      <c r="S141" s="2532">
        <f>'Part III-A-Uses of Funds'!S31</f>
        <v>0</v>
      </c>
      <c r="T141" s="2532"/>
    </row>
    <row r="142" spans="1:20" ht="13">
      <c r="A142" s="1729"/>
      <c r="B142" s="1729" t="s">
        <v>3994</v>
      </c>
      <c r="C142" s="1729"/>
      <c r="D142" s="1729"/>
      <c r="E142" s="1729"/>
      <c r="F142" s="1729"/>
      <c r="G142" s="2532">
        <f>'Part III-A-Uses of Funds'!G32</f>
        <v>0</v>
      </c>
      <c r="H142" s="2532"/>
      <c r="I142" s="1729"/>
      <c r="J142" s="2532">
        <f>'Part III-A-Uses of Funds'!J32</f>
        <v>0</v>
      </c>
      <c r="K142" s="2532"/>
      <c r="L142" s="2521"/>
      <c r="M142" s="2532">
        <f>'Part III-A-Uses of Funds'!M32</f>
        <v>0</v>
      </c>
      <c r="N142" s="2532"/>
      <c r="O142" s="1729"/>
      <c r="P142" s="2532">
        <f>'Part III-A-Uses of Funds'!P32</f>
        <v>0</v>
      </c>
      <c r="Q142" s="2532"/>
      <c r="R142" s="1729"/>
      <c r="S142" s="2532">
        <f>'Part III-A-Uses of Funds'!S32</f>
        <v>0</v>
      </c>
      <c r="T142" s="2532"/>
    </row>
    <row r="143" spans="1:20" ht="13">
      <c r="A143" s="1729"/>
      <c r="B143" s="1729" t="s">
        <v>3992</v>
      </c>
      <c r="C143" s="1729"/>
      <c r="D143" s="1729"/>
      <c r="E143" s="1729"/>
      <c r="F143" s="1729"/>
      <c r="G143" s="2532">
        <f>'Part III-A-Uses of Funds'!G33</f>
        <v>0</v>
      </c>
      <c r="H143" s="2532"/>
      <c r="I143" s="1729"/>
      <c r="J143" s="2532">
        <f>'Part III-A-Uses of Funds'!J33</f>
        <v>0</v>
      </c>
      <c r="K143" s="2532"/>
      <c r="L143" s="2521"/>
      <c r="M143" s="2532">
        <f>'Part III-A-Uses of Funds'!M33</f>
        <v>0</v>
      </c>
      <c r="N143" s="2532"/>
      <c r="O143" s="1729"/>
      <c r="P143" s="2532">
        <f>'Part III-A-Uses of Funds'!P33</f>
        <v>0</v>
      </c>
      <c r="Q143" s="2532"/>
      <c r="R143" s="1729"/>
      <c r="S143" s="2532">
        <f>'Part III-A-Uses of Funds'!S33</f>
        <v>0</v>
      </c>
      <c r="T143" s="2532"/>
    </row>
    <row r="144" spans="1:20" ht="13">
      <c r="A144" s="377"/>
      <c r="B144" s="1729" t="s">
        <v>2488</v>
      </c>
      <c r="C144" s="377"/>
      <c r="D144" s="377"/>
      <c r="E144" s="377"/>
      <c r="F144" s="377"/>
      <c r="G144" s="2532">
        <f>'Part III-A-Uses of Funds'!G34</f>
        <v>0</v>
      </c>
      <c r="H144" s="2532"/>
      <c r="I144" s="1729"/>
      <c r="J144" s="2532">
        <f>'Part III-A-Uses of Funds'!J34</f>
        <v>0</v>
      </c>
      <c r="K144" s="2532"/>
      <c r="L144" s="2521"/>
      <c r="M144" s="2532">
        <f>'Part III-A-Uses of Funds'!M34</f>
        <v>0</v>
      </c>
      <c r="N144" s="2532"/>
      <c r="O144" s="1729"/>
      <c r="P144" s="2532">
        <f>'Part III-A-Uses of Funds'!P34</f>
        <v>0</v>
      </c>
      <c r="Q144" s="2532"/>
      <c r="R144" s="1729"/>
      <c r="S144" s="2532">
        <f>'Part III-A-Uses of Funds'!S34</f>
        <v>0</v>
      </c>
      <c r="T144" s="2532"/>
    </row>
    <row r="145" spans="1:20" ht="13">
      <c r="A145" s="377"/>
      <c r="B145" s="1729" t="s">
        <v>3993</v>
      </c>
      <c r="C145" s="377"/>
      <c r="D145" s="377"/>
      <c r="E145" s="377"/>
      <c r="F145" s="377"/>
      <c r="G145" s="2532">
        <f>'Part III-A-Uses of Funds'!G35</f>
        <v>0</v>
      </c>
      <c r="H145" s="2532"/>
      <c r="I145" s="1729"/>
      <c r="J145" s="2532">
        <f>'Part III-A-Uses of Funds'!J35</f>
        <v>0</v>
      </c>
      <c r="K145" s="2532"/>
      <c r="L145" s="2521"/>
      <c r="M145" s="2532">
        <f>'Part III-A-Uses of Funds'!M35</f>
        <v>0</v>
      </c>
      <c r="N145" s="2532"/>
      <c r="O145" s="1729"/>
      <c r="P145" s="2532">
        <f>'Part III-A-Uses of Funds'!P35</f>
        <v>0</v>
      </c>
      <c r="Q145" s="2532"/>
      <c r="R145" s="1729"/>
      <c r="S145" s="2532">
        <f>'Part III-A-Uses of Funds'!S35</f>
        <v>0</v>
      </c>
      <c r="T145" s="2532"/>
    </row>
    <row r="146" spans="1:20" ht="13">
      <c r="A146" s="1729"/>
      <c r="B146" s="1729"/>
      <c r="C146" s="2561"/>
      <c r="D146" s="2561"/>
      <c r="E146" s="2562"/>
      <c r="F146" s="2556" t="s">
        <v>184</v>
      </c>
      <c r="G146" s="2532">
        <f>SUM(G140:G145)</f>
        <v>0</v>
      </c>
      <c r="H146" s="2532"/>
      <c r="I146" s="1729"/>
      <c r="J146" s="2532">
        <f>SUM(J140:J145)</f>
        <v>0</v>
      </c>
      <c r="K146" s="2532"/>
      <c r="L146" s="2521"/>
      <c r="M146" s="2532">
        <f>SUM(M140:M145)</f>
        <v>0</v>
      </c>
      <c r="N146" s="2532"/>
      <c r="O146" s="1729"/>
      <c r="P146" s="2532">
        <f>SUM(P140:P145)</f>
        <v>0</v>
      </c>
      <c r="Q146" s="2532"/>
      <c r="R146" s="1729"/>
      <c r="S146" s="2532">
        <f>SUM(S140:S145)</f>
        <v>0</v>
      </c>
      <c r="T146" s="2532"/>
    </row>
    <row r="147" spans="1:20" ht="13">
      <c r="A147" s="1729"/>
      <c r="B147" s="2502" t="s">
        <v>2157</v>
      </c>
      <c r="C147" s="1729"/>
      <c r="D147" s="2475" t="s">
        <v>3141</v>
      </c>
      <c r="E147" s="2475"/>
      <c r="F147" s="2563">
        <f>SUM(F148:F150)</f>
        <v>0</v>
      </c>
      <c r="G147" s="2564"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1"/>
      <c r="K147" s="2532"/>
      <c r="L147" s="1729"/>
      <c r="M147" s="2521"/>
      <c r="N147" s="2532"/>
      <c r="O147" s="2557" t="str">
        <f>B147</f>
        <v>CONTRACTOR SERVICES</v>
      </c>
      <c r="P147" s="2521"/>
      <c r="Q147" s="2532"/>
      <c r="R147" s="1729"/>
      <c r="S147" s="2521"/>
      <c r="T147" s="2532"/>
    </row>
    <row r="148" spans="1:20" ht="13">
      <c r="A148" s="1729"/>
      <c r="B148" s="1729" t="s">
        <v>2158</v>
      </c>
      <c r="C148" s="1729"/>
      <c r="D148" s="2565">
        <f>'DCA Underwriting Assumptions'!$R$52</f>
        <v>0.06</v>
      </c>
      <c r="E148" s="2566">
        <f>ROUNDDOWN(D148*(G138+G146),0)</f>
        <v>0</v>
      </c>
      <c r="F148" s="2565">
        <f>IF(($G$28+$G$36)=0,0,G148/($G$28+$G$36))</f>
        <v>0</v>
      </c>
      <c r="G148" s="2532">
        <f>'Part III-A-Uses of Funds'!G38</f>
        <v>0</v>
      </c>
      <c r="H148" s="2532"/>
      <c r="I148" s="377"/>
      <c r="J148" s="2532">
        <f>'Part III-A-Uses of Funds'!J38</f>
        <v>0</v>
      </c>
      <c r="K148" s="2532"/>
      <c r="L148" s="2521"/>
      <c r="M148" s="2532">
        <f>'Part III-A-Uses of Funds'!M38</f>
        <v>0</v>
      </c>
      <c r="N148" s="2532"/>
      <c r="O148" s="1729"/>
      <c r="P148" s="2532">
        <f>'Part III-A-Uses of Funds'!P38</f>
        <v>0</v>
      </c>
      <c r="Q148" s="2532"/>
      <c r="R148" s="1729"/>
      <c r="S148" s="2532">
        <f>'Part III-A-Uses of Funds'!S38</f>
        <v>0</v>
      </c>
      <c r="T148" s="2532"/>
    </row>
    <row r="149" spans="1:20" ht="13">
      <c r="A149" s="1729"/>
      <c r="B149" s="1729" t="s">
        <v>2469</v>
      </c>
      <c r="C149" s="1729"/>
      <c r="D149" s="2565">
        <f>'DCA Underwriting Assumptions'!$R$53</f>
        <v>0.02</v>
      </c>
      <c r="E149" s="2566">
        <f>ROUNDDOWN(D149*(G138+G146),0)</f>
        <v>0</v>
      </c>
      <c r="F149" s="2565">
        <f>IF(($G$28+$G$36)=0,0,G149/($G$28+$G$36))</f>
        <v>0</v>
      </c>
      <c r="G149" s="2532">
        <f>'Part III-A-Uses of Funds'!G39</f>
        <v>0</v>
      </c>
      <c r="H149" s="2532"/>
      <c r="I149" s="377"/>
      <c r="J149" s="2532">
        <f>'Part III-A-Uses of Funds'!J39</f>
        <v>0</v>
      </c>
      <c r="K149" s="2532"/>
      <c r="L149" s="2521"/>
      <c r="M149" s="2532">
        <f>'Part III-A-Uses of Funds'!M39</f>
        <v>0</v>
      </c>
      <c r="N149" s="2532"/>
      <c r="O149" s="1729"/>
      <c r="P149" s="2532">
        <f>'Part III-A-Uses of Funds'!P39</f>
        <v>0</v>
      </c>
      <c r="Q149" s="2532"/>
      <c r="R149" s="1729"/>
      <c r="S149" s="2532">
        <f>'Part III-A-Uses of Funds'!S39</f>
        <v>0</v>
      </c>
      <c r="T149" s="2532"/>
    </row>
    <row r="150" spans="1:20" ht="13">
      <c r="A150" s="1729"/>
      <c r="B150" s="1729" t="s">
        <v>2470</v>
      </c>
      <c r="C150" s="1729"/>
      <c r="D150" s="2565">
        <f>'DCA Underwriting Assumptions'!$R$54</f>
        <v>0.06</v>
      </c>
      <c r="E150" s="2566">
        <f>ROUNDDOWN(D150*(G138+G146),0)</f>
        <v>0</v>
      </c>
      <c r="F150" s="2565">
        <f>IF(($G$28+$G$36)=0,0,G150/($G$28+$G$36))</f>
        <v>0</v>
      </c>
      <c r="G150" s="2532">
        <f>'Part III-A-Uses of Funds'!G40</f>
        <v>0</v>
      </c>
      <c r="H150" s="2532"/>
      <c r="I150" s="377"/>
      <c r="J150" s="2532">
        <f>'Part III-A-Uses of Funds'!J40</f>
        <v>0</v>
      </c>
      <c r="K150" s="2532"/>
      <c r="L150" s="2521"/>
      <c r="M150" s="2532">
        <f>'Part III-A-Uses of Funds'!M40</f>
        <v>0</v>
      </c>
      <c r="N150" s="2532"/>
      <c r="O150" s="1729"/>
      <c r="P150" s="2532">
        <f>'Part III-A-Uses of Funds'!P40</f>
        <v>0</v>
      </c>
      <c r="Q150" s="2532"/>
      <c r="R150" s="1729"/>
      <c r="S150" s="2532">
        <f>'Part III-A-Uses of Funds'!S40</f>
        <v>0</v>
      </c>
      <c r="T150" s="2532"/>
    </row>
    <row r="151" spans="1:20" ht="13">
      <c r="A151" s="1729"/>
      <c r="B151" s="2508" t="s">
        <v>3142</v>
      </c>
      <c r="C151" s="1729"/>
      <c r="D151" s="2563">
        <f>SUM(D148:D150)</f>
        <v>0.14000000000000001</v>
      </c>
      <c r="E151" s="2567">
        <f>SUM(E148:E150)</f>
        <v>0</v>
      </c>
      <c r="F151" s="2556" t="s">
        <v>184</v>
      </c>
      <c r="G151" s="2532">
        <f>SUM(G148:G150)</f>
        <v>0</v>
      </c>
      <c r="H151" s="2532"/>
      <c r="I151" s="1729"/>
      <c r="J151" s="2532">
        <f>SUM(J148:J150)</f>
        <v>0</v>
      </c>
      <c r="K151" s="2532"/>
      <c r="L151" s="2521"/>
      <c r="M151" s="2532">
        <f>SUM(M148:M150)</f>
        <v>0</v>
      </c>
      <c r="N151" s="2532"/>
      <c r="O151" s="1729"/>
      <c r="P151" s="2532">
        <f>SUM(P148:P150)</f>
        <v>0</v>
      </c>
      <c r="Q151" s="2532"/>
      <c r="R151" s="1729"/>
      <c r="S151" s="2532">
        <f>SUM(S148:S150)</f>
        <v>0</v>
      </c>
      <c r="T151" s="2532"/>
    </row>
    <row r="152" spans="1:20" ht="13">
      <c r="A152" s="2503"/>
      <c r="B152" s="2503"/>
      <c r="C152" s="2503"/>
      <c r="D152" s="2503"/>
      <c r="E152" s="2503"/>
      <c r="F152" s="2503"/>
      <c r="G152" s="2503"/>
      <c r="H152" s="2503"/>
      <c r="I152" s="2503"/>
      <c r="J152" s="2503"/>
      <c r="K152" s="2503"/>
      <c r="L152" s="2503"/>
      <c r="M152" s="2503"/>
      <c r="N152" s="2503"/>
      <c r="O152" s="2503"/>
      <c r="P152" s="2503"/>
      <c r="Q152" s="2503"/>
      <c r="R152" s="2503"/>
      <c r="S152" s="2503"/>
      <c r="T152" s="2503"/>
    </row>
    <row r="153" spans="1:20" ht="13">
      <c r="A153" s="2503"/>
      <c r="B153" s="1729"/>
      <c r="C153" s="2568" t="s">
        <v>4391</v>
      </c>
      <c r="D153" s="1729"/>
      <c r="E153" s="2503"/>
      <c r="F153" s="2503"/>
      <c r="G153" s="2569">
        <f>G138+G146+G151</f>
        <v>0</v>
      </c>
      <c r="H153" s="2569"/>
      <c r="I153" s="2503"/>
      <c r="J153" s="2503"/>
      <c r="K153" s="2503"/>
      <c r="L153" s="2503"/>
      <c r="M153" s="2503"/>
      <c r="N153" s="2503"/>
      <c r="O153" s="2503"/>
      <c r="P153" s="2503"/>
      <c r="Q153" s="2503"/>
      <c r="R153" s="2503"/>
      <c r="S153" s="2503"/>
      <c r="T153" s="2503"/>
    </row>
    <row r="154" spans="1:20" ht="13">
      <c r="A154" s="2502"/>
      <c r="B154" s="2502"/>
      <c r="C154" s="2502"/>
      <c r="D154" s="2502"/>
      <c r="E154" s="2502"/>
      <c r="F154" s="2502"/>
      <c r="G154" s="2502"/>
      <c r="H154" s="2502"/>
      <c r="I154" s="2502"/>
      <c r="J154" s="2502"/>
      <c r="K154" s="2502"/>
      <c r="L154" s="2502"/>
      <c r="M154" s="2502"/>
      <c r="N154" s="2502"/>
      <c r="O154" s="2502"/>
      <c r="P154" s="2502"/>
      <c r="Q154" s="2502"/>
      <c r="R154" s="2502"/>
      <c r="S154" s="2502"/>
      <c r="T154" s="2502"/>
    </row>
    <row r="155" spans="1:20" ht="13">
      <c r="A155" s="1729"/>
      <c r="B155" s="2502" t="s">
        <v>5068</v>
      </c>
      <c r="C155" s="1729"/>
      <c r="D155" s="1729"/>
      <c r="E155" s="1729"/>
      <c r="F155" s="1729"/>
      <c r="G155" s="1729"/>
      <c r="H155" s="1729"/>
      <c r="I155" s="1729"/>
      <c r="J155" s="2521"/>
      <c r="K155" s="2532"/>
      <c r="L155" s="1729"/>
      <c r="M155" s="2521"/>
      <c r="N155" s="2532"/>
      <c r="O155" s="2557" t="str">
        <f>B155</f>
        <v>OTHER CONSTRUCTION HARD COSTS (Non-GC work scope items done by Owner)</v>
      </c>
      <c r="P155" s="2521"/>
      <c r="Q155" s="2532"/>
      <c r="R155" s="1729"/>
      <c r="S155" s="2521"/>
      <c r="T155" s="2532"/>
    </row>
    <row r="156" spans="1:20" ht="13" customHeight="1">
      <c r="A156" s="377"/>
      <c r="B156" s="2508" t="s">
        <v>4176</v>
      </c>
      <c r="C156" s="2474" t="str">
        <f>'Part III-A-Uses of Funds'!C46</f>
        <v>&lt;&lt; Enter description here; provide detail &amp; justification in tab Part III-b &gt;&gt;</v>
      </c>
      <c r="D156" s="2474"/>
      <c r="E156" s="2474"/>
      <c r="F156" s="2474"/>
      <c r="G156" s="2532">
        <f>'Part III-A-Uses of Funds'!G46</f>
        <v>0</v>
      </c>
      <c r="H156" s="2532"/>
      <c r="I156" s="1729"/>
      <c r="J156" s="2532">
        <f>'Part III-A-Uses of Funds'!J46</f>
        <v>0</v>
      </c>
      <c r="K156" s="2532"/>
      <c r="L156" s="2521"/>
      <c r="M156" s="2532">
        <f>'Part III-A-Uses of Funds'!M46</f>
        <v>0</v>
      </c>
      <c r="N156" s="2532"/>
      <c r="O156" s="1729"/>
      <c r="P156" s="2532">
        <f>'Part III-A-Uses of Funds'!P46</f>
        <v>0</v>
      </c>
      <c r="Q156" s="2532"/>
      <c r="R156" s="1729"/>
      <c r="S156" s="2532">
        <f>'Part III-A-Uses of Funds'!S46</f>
        <v>0</v>
      </c>
      <c r="T156" s="2532"/>
    </row>
    <row r="157" spans="1:20" ht="13">
      <c r="A157" s="2503"/>
      <c r="B157" s="2503"/>
      <c r="C157" s="2503"/>
      <c r="D157" s="2503"/>
      <c r="E157" s="2503"/>
      <c r="F157" s="2503"/>
      <c r="G157" s="2503"/>
      <c r="H157" s="2503"/>
      <c r="I157" s="2503"/>
      <c r="J157" s="2503"/>
      <c r="K157" s="2503"/>
      <c r="L157" s="2503"/>
      <c r="M157" s="2503"/>
      <c r="N157" s="2503"/>
      <c r="O157" s="2503"/>
      <c r="P157" s="2503"/>
      <c r="Q157" s="2503"/>
      <c r="R157" s="2503"/>
      <c r="S157" s="2503"/>
      <c r="T157" s="2503"/>
    </row>
    <row r="158" spans="1:20" ht="13" customHeight="1">
      <c r="A158" s="1729"/>
      <c r="B158" s="2570" t="s">
        <v>5069</v>
      </c>
      <c r="C158" s="2571"/>
      <c r="D158" s="1729"/>
      <c r="E158" s="2502" t="s">
        <v>2472</v>
      </c>
      <c r="F158" s="2572" t="e">
        <f>C159/'Part V-Revenues &amp; Expenses'!$P$65</f>
        <v>#DIV/0!</v>
      </c>
      <c r="G158" s="2573" t="s">
        <v>5070</v>
      </c>
      <c r="H158" s="1729"/>
      <c r="I158" s="1729"/>
      <c r="J158" s="2574" t="e">
        <f>C159/'Part V-Revenues &amp; Expenses'!$P$67</f>
        <v>#DIV/0!</v>
      </c>
      <c r="K158" s="2574"/>
      <c r="L158" s="1729"/>
      <c r="M158" s="2575" t="s">
        <v>4377</v>
      </c>
      <c r="N158" s="2575"/>
      <c r="O158" s="1729"/>
      <c r="P158" s="2574" t="e">
        <f>C159/'Part V-Revenues &amp; Expenses'!$K$179</f>
        <v>#DIV/0!</v>
      </c>
      <c r="Q158" s="2574"/>
      <c r="R158" s="1729"/>
      <c r="S158" s="2576" t="s">
        <v>4379</v>
      </c>
      <c r="T158" s="2576"/>
    </row>
    <row r="159" spans="1:20" ht="13">
      <c r="A159" s="1729"/>
      <c r="B159" s="2577" t="s">
        <v>4390</v>
      </c>
      <c r="C159" s="2578">
        <f>G138+G146+G151+G156</f>
        <v>0</v>
      </c>
      <c r="D159" s="1729"/>
      <c r="E159" s="2502"/>
      <c r="F159" s="2572" t="e">
        <f>C159/'Part V-Revenues &amp; Expenses'!$P$170</f>
        <v>#DIV/0!</v>
      </c>
      <c r="G159" s="2576" t="s">
        <v>5071</v>
      </c>
      <c r="H159" s="1729"/>
      <c r="I159" s="1729"/>
      <c r="J159" s="2574" t="e">
        <f>C159/'Part V-Revenues &amp; Expenses'!$P$172</f>
        <v>#DIV/0!</v>
      </c>
      <c r="K159" s="2574"/>
      <c r="L159" s="1729"/>
      <c r="M159" s="2576" t="s">
        <v>4378</v>
      </c>
      <c r="N159" s="2576"/>
      <c r="O159" s="1729"/>
      <c r="P159" s="1729"/>
      <c r="Q159" s="1729"/>
      <c r="R159" s="1729"/>
      <c r="S159" s="1729"/>
      <c r="T159" s="1729"/>
    </row>
    <row r="160" spans="1:20" ht="13">
      <c r="A160" s="2503"/>
      <c r="B160" s="2503"/>
      <c r="C160" s="2503"/>
      <c r="D160" s="2503"/>
      <c r="E160" s="2503"/>
      <c r="F160" s="2503"/>
      <c r="G160" s="2503"/>
      <c r="H160" s="2503"/>
      <c r="I160" s="2503"/>
      <c r="J160" s="2503"/>
      <c r="K160" s="2503"/>
      <c r="L160" s="2503"/>
      <c r="M160" s="2503"/>
      <c r="N160" s="2503"/>
      <c r="O160" s="2503"/>
      <c r="P160" s="2503"/>
      <c r="Q160" s="2503"/>
      <c r="R160" s="2503"/>
      <c r="S160" s="2503"/>
      <c r="T160" s="2503"/>
    </row>
    <row r="161" spans="1:20" ht="14.5" customHeight="1">
      <c r="A161" s="2553" t="s">
        <v>572</v>
      </c>
      <c r="B161" s="2553" t="s">
        <v>5072</v>
      </c>
      <c r="C161" s="1729"/>
      <c r="D161" s="1729"/>
      <c r="E161" s="1729"/>
      <c r="F161" s="1729"/>
      <c r="G161" s="1729"/>
      <c r="H161" s="1729"/>
      <c r="I161" s="1729"/>
      <c r="J161" s="2502" t="s">
        <v>259</v>
      </c>
      <c r="K161" s="2502"/>
      <c r="L161" s="2532"/>
      <c r="M161" s="2554" t="s">
        <v>459</v>
      </c>
      <c r="N161" s="2554"/>
      <c r="O161" s="1729"/>
      <c r="P161" s="2502" t="s">
        <v>260</v>
      </c>
      <c r="Q161" s="2502"/>
      <c r="R161" s="1729"/>
      <c r="S161" s="2502" t="s">
        <v>261</v>
      </c>
      <c r="T161" s="2502"/>
    </row>
    <row r="162" spans="1:20" ht="13">
      <c r="A162" s="1729"/>
      <c r="B162" s="1729"/>
      <c r="C162" s="1729"/>
      <c r="D162" s="1729"/>
      <c r="E162" s="1729"/>
      <c r="F162" s="1729"/>
      <c r="G162" s="2502" t="s">
        <v>95</v>
      </c>
      <c r="H162" s="2502"/>
      <c r="I162" s="1729"/>
      <c r="J162" s="2502"/>
      <c r="K162" s="2502"/>
      <c r="L162" s="2532"/>
      <c r="M162" s="2554"/>
      <c r="N162" s="2554"/>
      <c r="O162" s="1729"/>
      <c r="P162" s="2502"/>
      <c r="Q162" s="2502"/>
      <c r="R162" s="1729"/>
      <c r="S162" s="2502"/>
      <c r="T162" s="2502"/>
    </row>
    <row r="163" spans="1:20" ht="13">
      <c r="A163" s="2503"/>
      <c r="B163" s="2503"/>
      <c r="C163" s="2503"/>
      <c r="D163" s="2503"/>
      <c r="E163" s="2503"/>
      <c r="F163" s="2503"/>
      <c r="G163" s="2503"/>
      <c r="H163" s="2503"/>
      <c r="I163" s="2503"/>
      <c r="J163" s="2503"/>
      <c r="K163" s="2503"/>
      <c r="L163" s="2503"/>
      <c r="M163" s="2503"/>
      <c r="N163" s="2503"/>
      <c r="O163" s="2503"/>
      <c r="P163" s="2503"/>
      <c r="Q163" s="2503"/>
      <c r="R163" s="2503"/>
      <c r="S163" s="2503"/>
      <c r="T163" s="2503"/>
    </row>
    <row r="164" spans="1:20" ht="13">
      <c r="A164" s="1729"/>
      <c r="B164" s="2502" t="s">
        <v>4198</v>
      </c>
      <c r="C164" s="1729"/>
      <c r="D164" s="1729"/>
      <c r="E164" s="1729"/>
      <c r="F164" s="1257" t="s">
        <v>3325</v>
      </c>
      <c r="G164" s="2502" t="str">
        <f>IF(G165&gt;E165,"Check Contingency Amount!!!!","")</f>
        <v/>
      </c>
      <c r="H164" s="1729"/>
      <c r="I164" s="1729"/>
      <c r="J164" s="2521"/>
      <c r="K164" s="2532"/>
      <c r="L164" s="1729"/>
      <c r="M164" s="2521"/>
      <c r="N164" s="2532"/>
      <c r="O164" s="2557" t="str">
        <f>B164</f>
        <v>CONSTRUCTION CONTINGENCY (CC)</v>
      </c>
      <c r="P164" s="2521"/>
      <c r="Q164" s="2532"/>
      <c r="R164" s="1729"/>
      <c r="S164" s="2521"/>
      <c r="T164" s="2532"/>
    </row>
    <row r="165" spans="1:20" ht="13">
      <c r="A165" s="377"/>
      <c r="B165" s="1729" t="s">
        <v>1816</v>
      </c>
      <c r="C165" s="377"/>
      <c r="D165" s="2558" t="s">
        <v>3324</v>
      </c>
      <c r="E165" s="2579" t="str">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
      </c>
      <c r="F165" s="2540" t="e">
        <f>G165/C159</f>
        <v>#DIV/0!</v>
      </c>
      <c r="G165" s="2532">
        <f>'Part III-A-Uses of Funds'!G55</f>
        <v>0</v>
      </c>
      <c r="H165" s="2532"/>
      <c r="I165" s="1729"/>
      <c r="J165" s="2532">
        <f>'Part III-A-Uses of Funds'!J55</f>
        <v>0</v>
      </c>
      <c r="K165" s="2532"/>
      <c r="L165" s="2521"/>
      <c r="M165" s="2532">
        <f>'Part III-A-Uses of Funds'!M55</f>
        <v>0</v>
      </c>
      <c r="N165" s="2532"/>
      <c r="O165" s="1729"/>
      <c r="P165" s="2532">
        <f>'Part III-A-Uses of Funds'!P55</f>
        <v>0</v>
      </c>
      <c r="Q165" s="2532"/>
      <c r="R165" s="1729"/>
      <c r="S165" s="2532">
        <f>'Part III-A-Uses of Funds'!S55</f>
        <v>0</v>
      </c>
      <c r="T165" s="2532"/>
    </row>
    <row r="166" spans="1:20" ht="13">
      <c r="A166" s="2503"/>
      <c r="B166" s="2503"/>
      <c r="C166" s="2503"/>
      <c r="D166" s="2503"/>
      <c r="E166" s="2503"/>
      <c r="F166" s="2503"/>
      <c r="G166" s="2503"/>
      <c r="H166" s="2503"/>
      <c r="I166" s="2503"/>
      <c r="J166" s="2503"/>
      <c r="K166" s="2503"/>
      <c r="L166" s="2503"/>
      <c r="M166" s="2503"/>
      <c r="N166" s="2503"/>
      <c r="O166" s="2503"/>
      <c r="P166" s="2503"/>
      <c r="Q166" s="2503"/>
      <c r="R166" s="2503"/>
      <c r="S166" s="2503"/>
      <c r="T166" s="2503"/>
    </row>
    <row r="167" spans="1:20" ht="13" customHeight="1">
      <c r="A167" s="1729"/>
      <c r="B167" s="2580" t="s">
        <v>4199</v>
      </c>
      <c r="C167" s="2571"/>
      <c r="D167" s="1729"/>
      <c r="E167" s="2502" t="s">
        <v>4200</v>
      </c>
      <c r="F167" s="2572" t="e">
        <f>B168/'Part V-Revenues &amp; Expenses'!$P$65</f>
        <v>#DIV/0!</v>
      </c>
      <c r="G167" s="2573" t="s">
        <v>5070</v>
      </c>
      <c r="H167" s="1729"/>
      <c r="I167" s="1729"/>
      <c r="J167" s="2574" t="e">
        <f>B168/'Part V-Revenues &amp; Expenses'!$P$67</f>
        <v>#DIV/0!</v>
      </c>
      <c r="K167" s="2574"/>
      <c r="L167" s="1729"/>
      <c r="M167" s="2575" t="s">
        <v>4377</v>
      </c>
      <c r="N167" s="2575"/>
      <c r="O167" s="1729"/>
      <c r="P167" s="2574" t="e">
        <f>B168/'Part V-Revenues &amp; Expenses'!$K$179</f>
        <v>#DIV/0!</v>
      </c>
      <c r="Q167" s="2574"/>
      <c r="R167" s="1729"/>
      <c r="S167" s="2576" t="s">
        <v>4379</v>
      </c>
      <c r="T167" s="2576"/>
    </row>
    <row r="168" spans="1:20" ht="13">
      <c r="A168" s="1729"/>
      <c r="B168" s="2578">
        <f>C159+G165</f>
        <v>0</v>
      </c>
      <c r="C168" s="2578"/>
      <c r="D168" s="1729"/>
      <c r="E168" s="2502"/>
      <c r="F168" s="2572" t="e">
        <f>B168/'Part V-Revenues &amp; Expenses'!$P$170</f>
        <v>#DIV/0!</v>
      </c>
      <c r="G168" s="2576" t="s">
        <v>5071</v>
      </c>
      <c r="H168" s="1729"/>
      <c r="I168" s="1729"/>
      <c r="J168" s="2574" t="e">
        <f>B168/'Part V-Revenues &amp; Expenses'!$P$172</f>
        <v>#DIV/0!</v>
      </c>
      <c r="K168" s="2574"/>
      <c r="L168" s="1729"/>
      <c r="M168" s="2576" t="s">
        <v>4378</v>
      </c>
      <c r="N168" s="2576"/>
      <c r="O168" s="1729"/>
      <c r="P168" s="1729"/>
      <c r="Q168" s="1729"/>
      <c r="R168" s="1729"/>
      <c r="S168" s="1729"/>
      <c r="T168" s="1729"/>
    </row>
    <row r="169" spans="1:20" ht="13">
      <c r="A169" s="2503"/>
      <c r="B169" s="2503"/>
      <c r="C169" s="2503"/>
      <c r="D169" s="2503"/>
      <c r="E169" s="2503"/>
      <c r="F169" s="2503"/>
      <c r="G169" s="2503"/>
      <c r="H169" s="2503"/>
      <c r="I169" s="2503"/>
      <c r="J169" s="2503"/>
      <c r="K169" s="2503"/>
      <c r="L169" s="2503"/>
      <c r="M169" s="2503"/>
      <c r="N169" s="2503"/>
      <c r="O169" s="2503"/>
      <c r="P169" s="2503"/>
      <c r="Q169" s="2503"/>
      <c r="R169" s="2503"/>
      <c r="S169" s="2503"/>
      <c r="T169" s="2503"/>
    </row>
    <row r="170" spans="1:20" ht="13">
      <c r="A170" s="1729"/>
      <c r="B170" s="2502" t="s">
        <v>674</v>
      </c>
      <c r="C170" s="1729"/>
      <c r="D170" s="1729"/>
      <c r="E170" s="1729"/>
      <c r="F170" s="1729"/>
      <c r="G170" s="1729"/>
      <c r="H170" s="1729"/>
      <c r="I170" s="1729"/>
      <c r="J170" s="2521"/>
      <c r="K170" s="2532"/>
      <c r="L170" s="1729"/>
      <c r="M170" s="2521"/>
      <c r="N170" s="2532"/>
      <c r="O170" s="2557" t="str">
        <f>B170</f>
        <v>CONSTRUCTION PERIOD FINANCING</v>
      </c>
      <c r="P170" s="2521"/>
      <c r="Q170" s="2532"/>
      <c r="R170" s="1729"/>
      <c r="S170" s="2521"/>
      <c r="T170" s="2532"/>
    </row>
    <row r="171" spans="1:20" ht="13">
      <c r="A171" s="1729"/>
      <c r="B171" s="1729" t="s">
        <v>3143</v>
      </c>
      <c r="C171" s="1729"/>
      <c r="D171" s="1729"/>
      <c r="E171" s="1729"/>
      <c r="F171" s="1729"/>
      <c r="G171" s="2532">
        <f>'Part III-A-Uses of Funds'!G61</f>
        <v>0</v>
      </c>
      <c r="H171" s="2532"/>
      <c r="I171" s="1729"/>
      <c r="J171" s="2532">
        <f>'Part III-A-Uses of Funds'!J61</f>
        <v>0</v>
      </c>
      <c r="K171" s="2532"/>
      <c r="L171" s="2521"/>
      <c r="M171" s="2532">
        <f>'Part III-A-Uses of Funds'!M61</f>
        <v>0</v>
      </c>
      <c r="N171" s="2532"/>
      <c r="O171" s="1729"/>
      <c r="P171" s="2532">
        <f>'Part III-A-Uses of Funds'!P61</f>
        <v>0</v>
      </c>
      <c r="Q171" s="2532"/>
      <c r="R171" s="1729"/>
      <c r="S171" s="2532">
        <f>'Part III-A-Uses of Funds'!S61</f>
        <v>0</v>
      </c>
      <c r="T171" s="2532"/>
    </row>
    <row r="172" spans="1:20" ht="13">
      <c r="A172" s="1729"/>
      <c r="B172" s="1729" t="s">
        <v>3144</v>
      </c>
      <c r="C172" s="1729"/>
      <c r="D172" s="1729"/>
      <c r="E172" s="1729"/>
      <c r="F172" s="1729"/>
      <c r="G172" s="2532">
        <f>'Part III-A-Uses of Funds'!G62</f>
        <v>0</v>
      </c>
      <c r="H172" s="2532"/>
      <c r="I172" s="1729"/>
      <c r="J172" s="2532">
        <f>'Part III-A-Uses of Funds'!J62</f>
        <v>0</v>
      </c>
      <c r="K172" s="2532"/>
      <c r="L172" s="2521"/>
      <c r="M172" s="2532">
        <f>'Part III-A-Uses of Funds'!M62</f>
        <v>0</v>
      </c>
      <c r="N172" s="2532"/>
      <c r="O172" s="1729"/>
      <c r="P172" s="2532">
        <f>'Part III-A-Uses of Funds'!P62</f>
        <v>0</v>
      </c>
      <c r="Q172" s="2532"/>
      <c r="R172" s="1729"/>
      <c r="S172" s="2532">
        <f>'Part III-A-Uses of Funds'!S62</f>
        <v>0</v>
      </c>
      <c r="T172" s="2532"/>
    </row>
    <row r="173" spans="1:20" ht="13">
      <c r="A173" s="1729"/>
      <c r="B173" s="1729" t="s">
        <v>2160</v>
      </c>
      <c r="C173" s="1729"/>
      <c r="D173" s="1729"/>
      <c r="E173" s="1729"/>
      <c r="F173" s="1729"/>
      <c r="G173" s="2532">
        <f>'Part III-A-Uses of Funds'!G63</f>
        <v>0</v>
      </c>
      <c r="H173" s="2532"/>
      <c r="I173" s="1729"/>
      <c r="J173" s="2532">
        <f>'Part III-A-Uses of Funds'!J63</f>
        <v>0</v>
      </c>
      <c r="K173" s="2532"/>
      <c r="L173" s="2521"/>
      <c r="M173" s="2532">
        <f>'Part III-A-Uses of Funds'!M63</f>
        <v>0</v>
      </c>
      <c r="N173" s="2532"/>
      <c r="O173" s="1729"/>
      <c r="P173" s="2532">
        <f>'Part III-A-Uses of Funds'!P63</f>
        <v>0</v>
      </c>
      <c r="Q173" s="2532"/>
      <c r="R173" s="1729"/>
      <c r="S173" s="2532">
        <f>'Part III-A-Uses of Funds'!S63</f>
        <v>0</v>
      </c>
      <c r="T173" s="2532"/>
    </row>
    <row r="174" spans="1:20" ht="13">
      <c r="A174" s="1729"/>
      <c r="B174" s="1729" t="s">
        <v>2161</v>
      </c>
      <c r="C174" s="1729"/>
      <c r="D174" s="1729"/>
      <c r="E174" s="1729"/>
      <c r="F174" s="1729"/>
      <c r="G174" s="2532">
        <f>'Part III-A-Uses of Funds'!G64</f>
        <v>0</v>
      </c>
      <c r="H174" s="2532"/>
      <c r="I174" s="1729"/>
      <c r="J174" s="2532">
        <f>'Part III-A-Uses of Funds'!J64</f>
        <v>0</v>
      </c>
      <c r="K174" s="2532"/>
      <c r="L174" s="2521"/>
      <c r="M174" s="2532">
        <f>'Part III-A-Uses of Funds'!M64</f>
        <v>0</v>
      </c>
      <c r="N174" s="2532"/>
      <c r="O174" s="1729"/>
      <c r="P174" s="2532">
        <f>'Part III-A-Uses of Funds'!P64</f>
        <v>0</v>
      </c>
      <c r="Q174" s="2532"/>
      <c r="R174" s="1729"/>
      <c r="S174" s="2532">
        <f>'Part III-A-Uses of Funds'!S64</f>
        <v>0</v>
      </c>
      <c r="T174" s="2532"/>
    </row>
    <row r="175" spans="1:20" ht="13">
      <c r="A175" s="1729"/>
      <c r="B175" s="1729" t="s">
        <v>2162</v>
      </c>
      <c r="C175" s="1729"/>
      <c r="D175" s="1729"/>
      <c r="E175" s="1729"/>
      <c r="F175" s="1729"/>
      <c r="G175" s="2532">
        <f>'Part III-A-Uses of Funds'!G65</f>
        <v>0</v>
      </c>
      <c r="H175" s="2532"/>
      <c r="I175" s="1729"/>
      <c r="J175" s="2532">
        <f>'Part III-A-Uses of Funds'!J65</f>
        <v>0</v>
      </c>
      <c r="K175" s="2532"/>
      <c r="L175" s="2521"/>
      <c r="M175" s="2532">
        <f>'Part III-A-Uses of Funds'!M65</f>
        <v>0</v>
      </c>
      <c r="N175" s="2532"/>
      <c r="O175" s="1729"/>
      <c r="P175" s="2532">
        <f>'Part III-A-Uses of Funds'!P65</f>
        <v>0</v>
      </c>
      <c r="Q175" s="2532"/>
      <c r="R175" s="1729"/>
      <c r="S175" s="2532">
        <f>'Part III-A-Uses of Funds'!S65</f>
        <v>0</v>
      </c>
      <c r="T175" s="2532"/>
    </row>
    <row r="176" spans="1:20" ht="13">
      <c r="A176" s="1729"/>
      <c r="B176" s="1729" t="s">
        <v>2443</v>
      </c>
      <c r="C176" s="1729"/>
      <c r="D176" s="1729"/>
      <c r="E176" s="1729"/>
      <c r="F176" s="1729"/>
      <c r="G176" s="2532">
        <f>'Part III-A-Uses of Funds'!G66</f>
        <v>0</v>
      </c>
      <c r="H176" s="2532"/>
      <c r="I176" s="1729"/>
      <c r="J176" s="2532">
        <f>'Part III-A-Uses of Funds'!J66</f>
        <v>0</v>
      </c>
      <c r="K176" s="2532"/>
      <c r="L176" s="2521"/>
      <c r="M176" s="2532">
        <f>'Part III-A-Uses of Funds'!M66</f>
        <v>0</v>
      </c>
      <c r="N176" s="2532"/>
      <c r="O176" s="1729"/>
      <c r="P176" s="2532">
        <f>'Part III-A-Uses of Funds'!P66</f>
        <v>0</v>
      </c>
      <c r="Q176" s="2532"/>
      <c r="R176" s="1729"/>
      <c r="S176" s="2532">
        <f>'Part III-A-Uses of Funds'!S66</f>
        <v>0</v>
      </c>
      <c r="T176" s="2532"/>
    </row>
    <row r="177" spans="1:20" ht="13">
      <c r="A177" s="1729"/>
      <c r="B177" s="1729" t="s">
        <v>675</v>
      </c>
      <c r="C177" s="1729"/>
      <c r="D177" s="1729"/>
      <c r="E177" s="1729"/>
      <c r="F177" s="1729"/>
      <c r="G177" s="2532">
        <f>'Part III-A-Uses of Funds'!G67</f>
        <v>0</v>
      </c>
      <c r="H177" s="2532"/>
      <c r="I177" s="1729"/>
      <c r="J177" s="2532">
        <f>'Part III-A-Uses of Funds'!J67</f>
        <v>0</v>
      </c>
      <c r="K177" s="2532"/>
      <c r="L177" s="2521"/>
      <c r="M177" s="2532">
        <f>'Part III-A-Uses of Funds'!M67</f>
        <v>0</v>
      </c>
      <c r="N177" s="2532"/>
      <c r="O177" s="1729"/>
      <c r="P177" s="2532">
        <f>'Part III-A-Uses of Funds'!P67</f>
        <v>0</v>
      </c>
      <c r="Q177" s="2532"/>
      <c r="R177" s="1729"/>
      <c r="S177" s="2532">
        <f>'Part III-A-Uses of Funds'!S67</f>
        <v>0</v>
      </c>
      <c r="T177" s="2532"/>
    </row>
    <row r="178" spans="1:20" ht="13">
      <c r="A178" s="1729"/>
      <c r="B178" s="1729" t="s">
        <v>2163</v>
      </c>
      <c r="C178" s="1729"/>
      <c r="D178" s="1729"/>
      <c r="E178" s="1729"/>
      <c r="F178" s="1729"/>
      <c r="G178" s="2532">
        <f>'Part III-A-Uses of Funds'!G68</f>
        <v>0</v>
      </c>
      <c r="H178" s="2532"/>
      <c r="I178" s="1729"/>
      <c r="J178" s="2532">
        <f>'Part III-A-Uses of Funds'!J68</f>
        <v>0</v>
      </c>
      <c r="K178" s="2532"/>
      <c r="L178" s="2521"/>
      <c r="M178" s="2532">
        <f>'Part III-A-Uses of Funds'!M68</f>
        <v>0</v>
      </c>
      <c r="N178" s="2532"/>
      <c r="O178" s="1729"/>
      <c r="P178" s="2532">
        <f>'Part III-A-Uses of Funds'!P68</f>
        <v>0</v>
      </c>
      <c r="Q178" s="2532"/>
      <c r="R178" s="1729"/>
      <c r="S178" s="2532">
        <f>'Part III-A-Uses of Funds'!S68</f>
        <v>0</v>
      </c>
      <c r="T178" s="2532"/>
    </row>
    <row r="179" spans="1:20" ht="13">
      <c r="A179" s="1729"/>
      <c r="B179" s="1729" t="s">
        <v>1198</v>
      </c>
      <c r="C179" s="1729"/>
      <c r="D179" s="1729"/>
      <c r="E179" s="1729"/>
      <c r="F179" s="1729"/>
      <c r="G179" s="2532">
        <f>'Part III-A-Uses of Funds'!G69</f>
        <v>0</v>
      </c>
      <c r="H179" s="2532"/>
      <c r="I179" s="1729"/>
      <c r="J179" s="2532">
        <f>'Part III-A-Uses of Funds'!J69</f>
        <v>0</v>
      </c>
      <c r="K179" s="2532"/>
      <c r="L179" s="2521"/>
      <c r="M179" s="2532">
        <f>'Part III-A-Uses of Funds'!M69</f>
        <v>0</v>
      </c>
      <c r="N179" s="2532"/>
      <c r="O179" s="1729"/>
      <c r="P179" s="2532">
        <f>'Part III-A-Uses of Funds'!P69</f>
        <v>0</v>
      </c>
      <c r="Q179" s="2532"/>
      <c r="R179" s="1729"/>
      <c r="S179" s="2532">
        <f>'Part III-A-Uses of Funds'!S69</f>
        <v>0</v>
      </c>
      <c r="T179" s="2532"/>
    </row>
    <row r="180" spans="1:20" ht="13">
      <c r="A180" s="1729"/>
      <c r="B180" s="2581" t="s">
        <v>1084</v>
      </c>
      <c r="C180" s="1729"/>
      <c r="D180" s="2582"/>
      <c r="E180" s="2582"/>
      <c r="F180" s="2583"/>
      <c r="G180" s="2532">
        <f>'Part III-A-Uses of Funds'!G70</f>
        <v>0</v>
      </c>
      <c r="H180" s="2532"/>
      <c r="I180" s="377"/>
      <c r="J180" s="2532">
        <f>'Part III-A-Uses of Funds'!J70</f>
        <v>0</v>
      </c>
      <c r="K180" s="2532"/>
      <c r="L180" s="2521"/>
      <c r="M180" s="2532">
        <f>'Part III-A-Uses of Funds'!M70</f>
        <v>0</v>
      </c>
      <c r="N180" s="2532"/>
      <c r="O180" s="1729"/>
      <c r="P180" s="2532">
        <f>'Part III-A-Uses of Funds'!P70</f>
        <v>0</v>
      </c>
      <c r="Q180" s="2532"/>
      <c r="R180" s="1729"/>
      <c r="S180" s="2532">
        <f>'Part III-A-Uses of Funds'!S70</f>
        <v>0</v>
      </c>
      <c r="T180" s="2532"/>
    </row>
    <row r="181" spans="1:20" ht="15.65" customHeight="1">
      <c r="A181" s="2555" t="str">
        <f>IF(AND(G181&gt;0,OR(C181="",C181="&lt;Enter detailed description here; use Comments section if needed&gt;")),"X","")</f>
        <v/>
      </c>
      <c r="B181" s="2508" t="s">
        <v>4178</v>
      </c>
      <c r="C181" s="2474" t="str">
        <f>'Part III-A-Uses of Funds'!C71</f>
        <v>&lt;&lt; Enter description here; provide detail &amp; justification in tab Part III-b &gt;&gt;</v>
      </c>
      <c r="D181" s="2474"/>
      <c r="E181" s="2474"/>
      <c r="F181" s="2474"/>
      <c r="G181" s="2532">
        <f>'Part III-A-Uses of Funds'!G71</f>
        <v>0</v>
      </c>
      <c r="H181" s="2532"/>
      <c r="I181" s="1729"/>
      <c r="J181" s="2532">
        <f>'Part III-A-Uses of Funds'!J71</f>
        <v>0</v>
      </c>
      <c r="K181" s="2532"/>
      <c r="L181" s="2521"/>
      <c r="M181" s="2532">
        <f>'Part III-A-Uses of Funds'!M71</f>
        <v>0</v>
      </c>
      <c r="N181" s="2532"/>
      <c r="O181" s="1729"/>
      <c r="P181" s="2532">
        <f>'Part III-A-Uses of Funds'!P71</f>
        <v>0</v>
      </c>
      <c r="Q181" s="2532"/>
      <c r="R181" s="1729"/>
      <c r="S181" s="2532">
        <f>'Part III-A-Uses of Funds'!S71</f>
        <v>0</v>
      </c>
      <c r="T181" s="2532"/>
    </row>
    <row r="182" spans="1:20" ht="16" customHeight="1">
      <c r="A182" s="2555" t="str">
        <f>IF(AND(G182&gt;0,OR(C182="",C182="&lt;Enter detailed description here; use Comments section if needed&gt;")),"X","")</f>
        <v/>
      </c>
      <c r="B182" s="2508" t="s">
        <v>4179</v>
      </c>
      <c r="C182" s="2474" t="str">
        <f>'Part III-A-Uses of Funds'!C72</f>
        <v>&lt;&lt; Enter description here; provide detail &amp; justification in tab Part III-b &gt;&gt;</v>
      </c>
      <c r="D182" s="2474"/>
      <c r="E182" s="2474"/>
      <c r="F182" s="2474"/>
      <c r="G182" s="2532">
        <f>'Part III-A-Uses of Funds'!G72</f>
        <v>0</v>
      </c>
      <c r="H182" s="2532"/>
      <c r="I182" s="1729"/>
      <c r="J182" s="2532">
        <f>'Part III-A-Uses of Funds'!J72</f>
        <v>0</v>
      </c>
      <c r="K182" s="2532"/>
      <c r="L182" s="2521"/>
      <c r="M182" s="2532">
        <f>'Part III-A-Uses of Funds'!M72</f>
        <v>0</v>
      </c>
      <c r="N182" s="2532"/>
      <c r="O182" s="1729"/>
      <c r="P182" s="2532">
        <f>'Part III-A-Uses of Funds'!P72</f>
        <v>0</v>
      </c>
      <c r="Q182" s="2532"/>
      <c r="R182" s="1729"/>
      <c r="S182" s="2532">
        <f>'Part III-A-Uses of Funds'!S72</f>
        <v>0</v>
      </c>
      <c r="T182" s="2532"/>
    </row>
    <row r="183" spans="1:20" ht="13">
      <c r="A183" s="1729"/>
      <c r="B183" s="1729"/>
      <c r="C183" s="1729"/>
      <c r="D183" s="1729"/>
      <c r="E183" s="1729"/>
      <c r="F183" s="2556" t="s">
        <v>184</v>
      </c>
      <c r="G183" s="2532">
        <f>SUM(G171:G182)</f>
        <v>0</v>
      </c>
      <c r="H183" s="2532"/>
      <c r="I183" s="1729"/>
      <c r="J183" s="2532">
        <f>SUM(J171:J182)</f>
        <v>0</v>
      </c>
      <c r="K183" s="2532"/>
      <c r="L183" s="2521"/>
      <c r="M183" s="2532">
        <f>SUM(M171:M182)</f>
        <v>0</v>
      </c>
      <c r="N183" s="2532"/>
      <c r="O183" s="1729"/>
      <c r="P183" s="2532">
        <f>SUM(P171:P182)</f>
        <v>0</v>
      </c>
      <c r="Q183" s="2532"/>
      <c r="R183" s="1729"/>
      <c r="S183" s="2532">
        <f>SUM(S171:S182)</f>
        <v>0</v>
      </c>
      <c r="T183" s="2532"/>
    </row>
    <row r="184" spans="1:20" ht="13">
      <c r="A184" s="1729"/>
      <c r="B184" s="2502" t="s">
        <v>448</v>
      </c>
      <c r="C184" s="1729"/>
      <c r="D184" s="1729"/>
      <c r="E184" s="1729"/>
      <c r="F184" s="1729"/>
      <c r="G184" s="2532"/>
      <c r="H184" s="2532"/>
      <c r="I184" s="1729"/>
      <c r="J184" s="2532"/>
      <c r="K184" s="2532"/>
      <c r="L184" s="1729"/>
      <c r="M184" s="2532"/>
      <c r="N184" s="2532"/>
      <c r="O184" s="2557" t="str">
        <f>B184</f>
        <v>PROFESSIONAL SERVICES</v>
      </c>
      <c r="P184" s="2532"/>
      <c r="Q184" s="2532"/>
      <c r="R184" s="1729"/>
      <c r="S184" s="2532"/>
      <c r="T184" s="2532"/>
    </row>
    <row r="185" spans="1:20" ht="13">
      <c r="A185" s="1729"/>
      <c r="B185" s="1729" t="s">
        <v>449</v>
      </c>
      <c r="C185" s="1729"/>
      <c r="D185" s="1729"/>
      <c r="E185" s="1729"/>
      <c r="F185" s="1729"/>
      <c r="G185" s="2532">
        <f>'Part III-A-Uses of Funds'!G75</f>
        <v>0</v>
      </c>
      <c r="H185" s="2532"/>
      <c r="I185" s="1729"/>
      <c r="J185" s="2532">
        <f>'Part III-A-Uses of Funds'!J75</f>
        <v>0</v>
      </c>
      <c r="K185" s="2532"/>
      <c r="L185" s="2521"/>
      <c r="M185" s="2532">
        <f>'Part III-A-Uses of Funds'!M75</f>
        <v>0</v>
      </c>
      <c r="N185" s="2532"/>
      <c r="O185" s="1729"/>
      <c r="P185" s="2532">
        <f>'Part III-A-Uses of Funds'!P75</f>
        <v>0</v>
      </c>
      <c r="Q185" s="2532"/>
      <c r="R185" s="1729"/>
      <c r="S185" s="2532">
        <f>'Part III-A-Uses of Funds'!S75</f>
        <v>0</v>
      </c>
      <c r="T185" s="2532"/>
    </row>
    <row r="186" spans="1:20" ht="13">
      <c r="A186" s="1729"/>
      <c r="B186" s="1729" t="s">
        <v>450</v>
      </c>
      <c r="C186" s="1729"/>
      <c r="D186" s="1729"/>
      <c r="E186" s="1729"/>
      <c r="F186" s="1729"/>
      <c r="G186" s="2532">
        <f>'Part III-A-Uses of Funds'!G76</f>
        <v>0</v>
      </c>
      <c r="H186" s="2532"/>
      <c r="I186" s="1729"/>
      <c r="J186" s="2532">
        <f>'Part III-A-Uses of Funds'!J76</f>
        <v>0</v>
      </c>
      <c r="K186" s="2532"/>
      <c r="L186" s="2521"/>
      <c r="M186" s="2532">
        <f>'Part III-A-Uses of Funds'!M76</f>
        <v>0</v>
      </c>
      <c r="N186" s="2532"/>
      <c r="O186" s="1729"/>
      <c r="P186" s="2532">
        <f>'Part III-A-Uses of Funds'!P76</f>
        <v>0</v>
      </c>
      <c r="Q186" s="2532"/>
      <c r="R186" s="1729"/>
      <c r="S186" s="2532">
        <f>'Part III-A-Uses of Funds'!S76</f>
        <v>0</v>
      </c>
      <c r="T186" s="2532"/>
    </row>
    <row r="187" spans="1:20" ht="13">
      <c r="A187" s="1729"/>
      <c r="B187" s="1729" t="s">
        <v>1060</v>
      </c>
      <c r="C187" s="1729"/>
      <c r="D187" s="2513"/>
      <c r="E187" s="2584"/>
      <c r="F187" s="2502"/>
      <c r="G187" s="2532">
        <f>'Part III-A-Uses of Funds'!G77</f>
        <v>0</v>
      </c>
      <c r="H187" s="2532"/>
      <c r="I187" s="1729"/>
      <c r="J187" s="2532">
        <f>'Part III-A-Uses of Funds'!J77</f>
        <v>0</v>
      </c>
      <c r="K187" s="2532"/>
      <c r="L187" s="2521"/>
      <c r="M187" s="2532">
        <f>'Part III-A-Uses of Funds'!M77</f>
        <v>0</v>
      </c>
      <c r="N187" s="2532"/>
      <c r="O187" s="1729"/>
      <c r="P187" s="2532">
        <f>'Part III-A-Uses of Funds'!P77</f>
        <v>0</v>
      </c>
      <c r="Q187" s="2532"/>
      <c r="R187" s="1729"/>
      <c r="S187" s="2532">
        <f>'Part III-A-Uses of Funds'!S77</f>
        <v>0</v>
      </c>
      <c r="T187" s="2532"/>
    </row>
    <row r="188" spans="1:20" ht="13">
      <c r="A188" s="1729"/>
      <c r="B188" s="1729" t="s">
        <v>1061</v>
      </c>
      <c r="C188" s="1729"/>
      <c r="D188" s="1729"/>
      <c r="E188" s="1729"/>
      <c r="F188" s="1729"/>
      <c r="G188" s="2532">
        <f>'Part III-A-Uses of Funds'!G78</f>
        <v>0</v>
      </c>
      <c r="H188" s="2532"/>
      <c r="I188" s="1729"/>
      <c r="J188" s="2532">
        <f>'Part III-A-Uses of Funds'!J78</f>
        <v>0</v>
      </c>
      <c r="K188" s="2532"/>
      <c r="L188" s="2521"/>
      <c r="M188" s="2532">
        <f>'Part III-A-Uses of Funds'!M78</f>
        <v>0</v>
      </c>
      <c r="N188" s="2532"/>
      <c r="O188" s="1729"/>
      <c r="P188" s="2532">
        <f>'Part III-A-Uses of Funds'!P78</f>
        <v>0</v>
      </c>
      <c r="Q188" s="2532"/>
      <c r="R188" s="1729"/>
      <c r="S188" s="2532">
        <f>'Part III-A-Uses of Funds'!S78</f>
        <v>0</v>
      </c>
      <c r="T188" s="2532"/>
    </row>
    <row r="189" spans="1:20" ht="13">
      <c r="A189" s="1729"/>
      <c r="B189" s="1729" t="s">
        <v>1062</v>
      </c>
      <c r="C189" s="1729"/>
      <c r="D189" s="1729"/>
      <c r="E189" s="1729"/>
      <c r="F189" s="1729"/>
      <c r="G189" s="2532">
        <f>'Part III-A-Uses of Funds'!G79</f>
        <v>0</v>
      </c>
      <c r="H189" s="2532"/>
      <c r="I189" s="1729"/>
      <c r="J189" s="2532">
        <f>'Part III-A-Uses of Funds'!J79</f>
        <v>0</v>
      </c>
      <c r="K189" s="2532"/>
      <c r="L189" s="2521"/>
      <c r="M189" s="2532">
        <f>'Part III-A-Uses of Funds'!M79</f>
        <v>0</v>
      </c>
      <c r="N189" s="2532"/>
      <c r="O189" s="1729"/>
      <c r="P189" s="2532">
        <f>'Part III-A-Uses of Funds'!P79</f>
        <v>0</v>
      </c>
      <c r="Q189" s="2532"/>
      <c r="R189" s="1729"/>
      <c r="S189" s="2532">
        <f>'Part III-A-Uses of Funds'!S79</f>
        <v>0</v>
      </c>
      <c r="T189" s="2532"/>
    </row>
    <row r="190" spans="1:20" ht="13">
      <c r="A190" s="1729"/>
      <c r="B190" s="1729" t="s">
        <v>1063</v>
      </c>
      <c r="C190" s="1729"/>
      <c r="D190" s="1729"/>
      <c r="E190" s="1729"/>
      <c r="F190" s="1729"/>
      <c r="G190" s="2532">
        <f>'Part III-A-Uses of Funds'!G80</f>
        <v>0</v>
      </c>
      <c r="H190" s="2532"/>
      <c r="I190" s="1729"/>
      <c r="J190" s="2532">
        <f>'Part III-A-Uses of Funds'!J80</f>
        <v>0</v>
      </c>
      <c r="K190" s="2532"/>
      <c r="L190" s="2521"/>
      <c r="M190" s="2532">
        <f>'Part III-A-Uses of Funds'!M80</f>
        <v>0</v>
      </c>
      <c r="N190" s="2532"/>
      <c r="O190" s="1729"/>
      <c r="P190" s="2532">
        <f>'Part III-A-Uses of Funds'!P80</f>
        <v>0</v>
      </c>
      <c r="Q190" s="2532"/>
      <c r="R190" s="1729"/>
      <c r="S190" s="2532">
        <f>'Part III-A-Uses of Funds'!S80</f>
        <v>0</v>
      </c>
      <c r="T190" s="2532"/>
    </row>
    <row r="191" spans="1:20" ht="13">
      <c r="A191" s="1729"/>
      <c r="B191" s="1729" t="s">
        <v>451</v>
      </c>
      <c r="C191" s="1729"/>
      <c r="D191" s="1729"/>
      <c r="E191" s="1729"/>
      <c r="F191" s="1729"/>
      <c r="G191" s="2532">
        <f>'Part III-A-Uses of Funds'!G81</f>
        <v>0</v>
      </c>
      <c r="H191" s="2532"/>
      <c r="I191" s="1729"/>
      <c r="J191" s="2532">
        <f>'Part III-A-Uses of Funds'!J81</f>
        <v>0</v>
      </c>
      <c r="K191" s="2532"/>
      <c r="L191" s="2521"/>
      <c r="M191" s="2532">
        <f>'Part III-A-Uses of Funds'!M81</f>
        <v>0</v>
      </c>
      <c r="N191" s="2532"/>
      <c r="O191" s="1729"/>
      <c r="P191" s="2532">
        <f>'Part III-A-Uses of Funds'!P81</f>
        <v>0</v>
      </c>
      <c r="Q191" s="2532"/>
      <c r="R191" s="1729"/>
      <c r="S191" s="2532">
        <f>'Part III-A-Uses of Funds'!S81</f>
        <v>0</v>
      </c>
      <c r="T191" s="2532"/>
    </row>
    <row r="192" spans="1:20" ht="13">
      <c r="A192" s="1729"/>
      <c r="B192" s="1729" t="s">
        <v>452</v>
      </c>
      <c r="C192" s="1729"/>
      <c r="D192" s="1729"/>
      <c r="E192" s="1729"/>
      <c r="F192" s="1729"/>
      <c r="G192" s="2532">
        <f>'Part III-A-Uses of Funds'!G82</f>
        <v>0</v>
      </c>
      <c r="H192" s="2532"/>
      <c r="I192" s="1729"/>
      <c r="J192" s="2532">
        <f>'Part III-A-Uses of Funds'!J82</f>
        <v>0</v>
      </c>
      <c r="K192" s="2532"/>
      <c r="L192" s="2521"/>
      <c r="M192" s="2532">
        <f>'Part III-A-Uses of Funds'!M82</f>
        <v>0</v>
      </c>
      <c r="N192" s="2532"/>
      <c r="O192" s="1729"/>
      <c r="P192" s="2532">
        <f>'Part III-A-Uses of Funds'!P82</f>
        <v>0</v>
      </c>
      <c r="Q192" s="2532"/>
      <c r="R192" s="1729"/>
      <c r="S192" s="2532">
        <f>'Part III-A-Uses of Funds'!S82</f>
        <v>0</v>
      </c>
      <c r="T192" s="2532"/>
    </row>
    <row r="193" spans="1:20" ht="13">
      <c r="A193" s="1729"/>
      <c r="B193" s="1729" t="s">
        <v>1894</v>
      </c>
      <c r="C193" s="1729"/>
      <c r="D193" s="1729"/>
      <c r="E193" s="1729"/>
      <c r="F193" s="1729"/>
      <c r="G193" s="2532">
        <f>'Part III-A-Uses of Funds'!G83</f>
        <v>0</v>
      </c>
      <c r="H193" s="2532"/>
      <c r="I193" s="1729"/>
      <c r="J193" s="2532">
        <f>'Part III-A-Uses of Funds'!J83</f>
        <v>0</v>
      </c>
      <c r="K193" s="2532"/>
      <c r="L193" s="2521"/>
      <c r="M193" s="2532">
        <f>'Part III-A-Uses of Funds'!M83</f>
        <v>0</v>
      </c>
      <c r="N193" s="2532"/>
      <c r="O193" s="1729"/>
      <c r="P193" s="2532">
        <f>'Part III-A-Uses of Funds'!P83</f>
        <v>0</v>
      </c>
      <c r="Q193" s="2532"/>
      <c r="R193" s="1729"/>
      <c r="S193" s="2532">
        <f>'Part III-A-Uses of Funds'!S83</f>
        <v>0</v>
      </c>
      <c r="T193" s="2532"/>
    </row>
    <row r="194" spans="1:20" ht="13">
      <c r="A194" s="1729"/>
      <c r="B194" s="1729" t="s">
        <v>1199</v>
      </c>
      <c r="C194" s="1729"/>
      <c r="D194" s="1729"/>
      <c r="E194" s="1729"/>
      <c r="F194" s="1729"/>
      <c r="G194" s="2532">
        <f>'Part III-A-Uses of Funds'!G84</f>
        <v>0</v>
      </c>
      <c r="H194" s="2532"/>
      <c r="I194" s="1729"/>
      <c r="J194" s="2532">
        <f>'Part III-A-Uses of Funds'!J84</f>
        <v>0</v>
      </c>
      <c r="K194" s="2532"/>
      <c r="L194" s="2521"/>
      <c r="M194" s="2532">
        <f>'Part III-A-Uses of Funds'!M84</f>
        <v>0</v>
      </c>
      <c r="N194" s="2532"/>
      <c r="O194" s="1729"/>
      <c r="P194" s="2532">
        <f>'Part III-A-Uses of Funds'!P84</f>
        <v>0</v>
      </c>
      <c r="Q194" s="2532"/>
      <c r="R194" s="1729"/>
      <c r="S194" s="2532">
        <f>'Part III-A-Uses of Funds'!S84</f>
        <v>0</v>
      </c>
      <c r="T194" s="2532"/>
    </row>
    <row r="195" spans="1:20" ht="16" customHeight="1">
      <c r="A195" s="2555" t="str">
        <f>IF(AND(G195&gt;0,OR(C195="",C195="&lt;Enter detailed description here; use Comments section if needed&gt;")),"X","")</f>
        <v/>
      </c>
      <c r="B195" s="2508" t="s">
        <v>4180</v>
      </c>
      <c r="C195" s="2474" t="str">
        <f>'Part III-A-Uses of Funds'!C85</f>
        <v>&lt;&lt; Enter description here; provide detail &amp; justification in tab Part III-b &gt;&gt;</v>
      </c>
      <c r="D195" s="2474"/>
      <c r="E195" s="2474"/>
      <c r="F195" s="2474"/>
      <c r="G195" s="2532">
        <f>'Part III-A-Uses of Funds'!G85</f>
        <v>0</v>
      </c>
      <c r="H195" s="2532"/>
      <c r="I195" s="1729"/>
      <c r="J195" s="2532">
        <f>'Part III-A-Uses of Funds'!J85</f>
        <v>0</v>
      </c>
      <c r="K195" s="2532"/>
      <c r="L195" s="2521"/>
      <c r="M195" s="2532">
        <f>'Part III-A-Uses of Funds'!M85</f>
        <v>0</v>
      </c>
      <c r="N195" s="2532"/>
      <c r="O195" s="1729"/>
      <c r="P195" s="2532">
        <f>'Part III-A-Uses of Funds'!P85</f>
        <v>0</v>
      </c>
      <c r="Q195" s="2532"/>
      <c r="R195" s="1729"/>
      <c r="S195" s="2532">
        <f>'Part III-A-Uses of Funds'!S85</f>
        <v>0</v>
      </c>
      <c r="T195" s="2532"/>
    </row>
    <row r="196" spans="1:20" ht="13">
      <c r="A196" s="1729"/>
      <c r="B196" s="1729"/>
      <c r="C196" s="1729"/>
      <c r="D196" s="1729"/>
      <c r="E196" s="1729"/>
      <c r="F196" s="2556" t="s">
        <v>184</v>
      </c>
      <c r="G196" s="2532">
        <f>SUM(G185:G195)</f>
        <v>0</v>
      </c>
      <c r="H196" s="2532"/>
      <c r="I196" s="1729"/>
      <c r="J196" s="2532">
        <f>SUM(J185:J195)</f>
        <v>0</v>
      </c>
      <c r="K196" s="2532"/>
      <c r="L196" s="2521"/>
      <c r="M196" s="2532">
        <f>SUM(M185:M195)</f>
        <v>0</v>
      </c>
      <c r="N196" s="2532"/>
      <c r="O196" s="1729"/>
      <c r="P196" s="2532">
        <f>SUM(P185:P195)</f>
        <v>0</v>
      </c>
      <c r="Q196" s="2532"/>
      <c r="R196" s="1729"/>
      <c r="S196" s="2532">
        <f>SUM(S185:S195)</f>
        <v>0</v>
      </c>
      <c r="T196" s="2532"/>
    </row>
    <row r="197" spans="1:20" ht="13">
      <c r="A197" s="1729"/>
      <c r="B197" s="2502" t="s">
        <v>1191</v>
      </c>
      <c r="C197" s="1729"/>
      <c r="D197" s="2585" t="s">
        <v>3147</v>
      </c>
      <c r="E197" s="2586" t="e">
        <f>G202/'Part V-Revenues &amp; Expenses'!$P$67</f>
        <v>#DIV/0!</v>
      </c>
      <c r="F197" s="1729"/>
      <c r="G197" s="1729"/>
      <c r="H197" s="1729"/>
      <c r="I197" s="1729"/>
      <c r="J197" s="2521"/>
      <c r="K197" s="2521"/>
      <c r="L197" s="377"/>
      <c r="M197" s="2521"/>
      <c r="N197" s="2521"/>
      <c r="O197" s="2557" t="str">
        <f>B197</f>
        <v>LOCAL GOVERNMENT FEES</v>
      </c>
      <c r="P197" s="2521"/>
      <c r="Q197" s="2521"/>
      <c r="R197" s="377"/>
      <c r="S197" s="2521"/>
      <c r="T197" s="2521"/>
    </row>
    <row r="198" spans="1:20" ht="13">
      <c r="A198" s="1729"/>
      <c r="B198" s="1729" t="s">
        <v>1192</v>
      </c>
      <c r="C198" s="1729"/>
      <c r="D198" s="1729"/>
      <c r="E198" s="1729"/>
      <c r="F198" s="1729"/>
      <c r="G198" s="2532">
        <f>'Part III-A-Uses of Funds'!G88</f>
        <v>0</v>
      </c>
      <c r="H198" s="2532"/>
      <c r="I198" s="1729"/>
      <c r="J198" s="2532">
        <f>'Part III-A-Uses of Funds'!J88</f>
        <v>0</v>
      </c>
      <c r="K198" s="2532"/>
      <c r="L198" s="2521"/>
      <c r="M198" s="2532">
        <f>'Part III-A-Uses of Funds'!M88</f>
        <v>0</v>
      </c>
      <c r="N198" s="2532"/>
      <c r="O198" s="1729"/>
      <c r="P198" s="2532">
        <f>'Part III-A-Uses of Funds'!P88</f>
        <v>0</v>
      </c>
      <c r="Q198" s="2532"/>
      <c r="R198" s="1729"/>
      <c r="S198" s="2532">
        <f>'Part III-A-Uses of Funds'!S88</f>
        <v>0</v>
      </c>
      <c r="T198" s="2532"/>
    </row>
    <row r="199" spans="1:20" ht="13">
      <c r="A199" s="1729"/>
      <c r="B199" s="1729" t="s">
        <v>1193</v>
      </c>
      <c r="C199" s="1729"/>
      <c r="D199" s="1729"/>
      <c r="E199" s="1729"/>
      <c r="F199" s="1729"/>
      <c r="G199" s="2532">
        <f>'Part III-A-Uses of Funds'!G89</f>
        <v>0</v>
      </c>
      <c r="H199" s="2532"/>
      <c r="I199" s="1729"/>
      <c r="J199" s="2532">
        <f>'Part III-A-Uses of Funds'!J89</f>
        <v>0</v>
      </c>
      <c r="K199" s="2532"/>
      <c r="L199" s="2521"/>
      <c r="M199" s="2532">
        <f>'Part III-A-Uses of Funds'!M89</f>
        <v>0</v>
      </c>
      <c r="N199" s="2532"/>
      <c r="O199" s="1729"/>
      <c r="P199" s="2532">
        <f>'Part III-A-Uses of Funds'!P89</f>
        <v>0</v>
      </c>
      <c r="Q199" s="2532"/>
      <c r="R199" s="1729"/>
      <c r="S199" s="2532">
        <f>'Part III-A-Uses of Funds'!S89</f>
        <v>0</v>
      </c>
      <c r="T199" s="2532"/>
    </row>
    <row r="200" spans="1:20" ht="13">
      <c r="A200" s="1729"/>
      <c r="B200" s="1729" t="s">
        <v>1194</v>
      </c>
      <c r="C200" s="1729"/>
      <c r="D200" s="2587" t="s">
        <v>1322</v>
      </c>
      <c r="E200" s="2588">
        <f>'Part III-A-Uses of Funds'!E90</f>
        <v>0</v>
      </c>
      <c r="F200" s="1729"/>
      <c r="G200" s="2532">
        <f>'Part III-A-Uses of Funds'!G90</f>
        <v>0</v>
      </c>
      <c r="H200" s="2532"/>
      <c r="I200" s="377"/>
      <c r="J200" s="2532">
        <f>'Part III-A-Uses of Funds'!J90</f>
        <v>0</v>
      </c>
      <c r="K200" s="2532"/>
      <c r="L200" s="2521"/>
      <c r="M200" s="2532">
        <f>'Part III-A-Uses of Funds'!M90</f>
        <v>0</v>
      </c>
      <c r="N200" s="2532"/>
      <c r="O200" s="1729"/>
      <c r="P200" s="2532">
        <f>'Part III-A-Uses of Funds'!P90</f>
        <v>0</v>
      </c>
      <c r="Q200" s="2532"/>
      <c r="R200" s="1729"/>
      <c r="S200" s="2532">
        <f>'Part III-A-Uses of Funds'!S90</f>
        <v>0</v>
      </c>
      <c r="T200" s="2532"/>
    </row>
    <row r="201" spans="1:20" ht="13">
      <c r="A201" s="1729"/>
      <c r="B201" s="1729" t="s">
        <v>1195</v>
      </c>
      <c r="C201" s="1729"/>
      <c r="D201" s="2587" t="s">
        <v>1322</v>
      </c>
      <c r="E201" s="2588">
        <f>'Part III-A-Uses of Funds'!E91</f>
        <v>0</v>
      </c>
      <c r="F201" s="1729"/>
      <c r="G201" s="2532">
        <f>'Part III-A-Uses of Funds'!G91</f>
        <v>0</v>
      </c>
      <c r="H201" s="2532"/>
      <c r="I201" s="377"/>
      <c r="J201" s="2532">
        <f>'Part III-A-Uses of Funds'!J91</f>
        <v>0</v>
      </c>
      <c r="K201" s="2532"/>
      <c r="L201" s="2521"/>
      <c r="M201" s="2532">
        <f>'Part III-A-Uses of Funds'!M91</f>
        <v>0</v>
      </c>
      <c r="N201" s="2532"/>
      <c r="O201" s="1729"/>
      <c r="P201" s="2532">
        <f>'Part III-A-Uses of Funds'!P91</f>
        <v>0</v>
      </c>
      <c r="Q201" s="2532"/>
      <c r="R201" s="1729"/>
      <c r="S201" s="2532">
        <f>'Part III-A-Uses of Funds'!S91</f>
        <v>0</v>
      </c>
      <c r="T201" s="2532"/>
    </row>
    <row r="202" spans="1:20" ht="13">
      <c r="A202" s="1729"/>
      <c r="B202" s="1729"/>
      <c r="C202" s="1729"/>
      <c r="D202" s="1729"/>
      <c r="E202" s="1729"/>
      <c r="F202" s="2556" t="s">
        <v>184</v>
      </c>
      <c r="G202" s="2532">
        <f>SUM(G198:G201)</f>
        <v>0</v>
      </c>
      <c r="H202" s="2532"/>
      <c r="I202" s="1729"/>
      <c r="J202" s="2532">
        <f>SUM(J198:J201)</f>
        <v>0</v>
      </c>
      <c r="K202" s="2532"/>
      <c r="L202" s="2521"/>
      <c r="M202" s="2532">
        <f>SUM(M198:M201)</f>
        <v>0</v>
      </c>
      <c r="N202" s="2532"/>
      <c r="O202" s="1729"/>
      <c r="P202" s="2532">
        <f>SUM(P198:P201)</f>
        <v>0</v>
      </c>
      <c r="Q202" s="2532"/>
      <c r="R202" s="1729"/>
      <c r="S202" s="2532">
        <f>SUM(S198:S201)</f>
        <v>0</v>
      </c>
      <c r="T202" s="2532"/>
    </row>
    <row r="203" spans="1:20" ht="13">
      <c r="A203" s="2503"/>
      <c r="B203" s="2503"/>
      <c r="C203" s="2503"/>
      <c r="D203" s="2503"/>
      <c r="E203" s="2503"/>
      <c r="F203" s="2503"/>
      <c r="G203" s="2503"/>
      <c r="H203" s="2503"/>
      <c r="I203" s="2503"/>
      <c r="J203" s="2503"/>
      <c r="K203" s="2503"/>
      <c r="L203" s="2503"/>
      <c r="M203" s="2503"/>
      <c r="N203" s="2503"/>
      <c r="O203" s="2503"/>
      <c r="P203" s="2503"/>
      <c r="Q203" s="2503"/>
      <c r="R203" s="2503"/>
      <c r="S203" s="2503"/>
      <c r="T203" s="2503"/>
    </row>
    <row r="204" spans="1:20" ht="14.5" customHeight="1">
      <c r="A204" s="2553" t="s">
        <v>572</v>
      </c>
      <c r="B204" s="2553" t="s">
        <v>5073</v>
      </c>
      <c r="C204" s="1729"/>
      <c r="D204" s="1729"/>
      <c r="E204" s="1729"/>
      <c r="F204" s="1729"/>
      <c r="G204" s="1729"/>
      <c r="H204" s="1729"/>
      <c r="I204" s="1729"/>
      <c r="J204" s="2502" t="s">
        <v>259</v>
      </c>
      <c r="K204" s="2502"/>
      <c r="L204" s="2532"/>
      <c r="M204" s="2554" t="s">
        <v>459</v>
      </c>
      <c r="N204" s="2554"/>
      <c r="O204" s="1729"/>
      <c r="P204" s="2502" t="s">
        <v>260</v>
      </c>
      <c r="Q204" s="2502"/>
      <c r="R204" s="1729"/>
      <c r="S204" s="2502" t="s">
        <v>261</v>
      </c>
      <c r="T204" s="2502"/>
    </row>
    <row r="205" spans="1:20" ht="13">
      <c r="A205" s="1729"/>
      <c r="B205" s="1729"/>
      <c r="C205" s="1729"/>
      <c r="D205" s="1729"/>
      <c r="E205" s="1729"/>
      <c r="F205" s="1729"/>
      <c r="G205" s="2502" t="s">
        <v>95</v>
      </c>
      <c r="H205" s="2502"/>
      <c r="I205" s="1729"/>
      <c r="J205" s="2502"/>
      <c r="K205" s="2502"/>
      <c r="L205" s="2532"/>
      <c r="M205" s="2554"/>
      <c r="N205" s="2554"/>
      <c r="O205" s="1729"/>
      <c r="P205" s="2502"/>
      <c r="Q205" s="2502"/>
      <c r="R205" s="1729"/>
      <c r="S205" s="2502"/>
      <c r="T205" s="2502"/>
    </row>
    <row r="206" spans="1:20" ht="13">
      <c r="A206" s="1729"/>
      <c r="B206" s="2502" t="s">
        <v>676</v>
      </c>
      <c r="C206" s="1729"/>
      <c r="D206" s="1729"/>
      <c r="E206" s="1729"/>
      <c r="F206" s="1729"/>
      <c r="G206" s="1729"/>
      <c r="H206" s="1729"/>
      <c r="I206" s="1729"/>
      <c r="J206" s="2521"/>
      <c r="K206" s="2521"/>
      <c r="L206" s="1729"/>
      <c r="M206" s="2521"/>
      <c r="N206" s="2521"/>
      <c r="O206" s="2557" t="str">
        <f>B206</f>
        <v>PERMANENT FINANCING FEES</v>
      </c>
      <c r="P206" s="2521"/>
      <c r="Q206" s="2521"/>
      <c r="R206" s="1729"/>
      <c r="S206" s="2521"/>
      <c r="T206" s="2521"/>
    </row>
    <row r="207" spans="1:20" ht="13">
      <c r="A207" s="1729"/>
      <c r="B207" s="1729" t="s">
        <v>1196</v>
      </c>
      <c r="C207" s="1729"/>
      <c r="D207" s="1729"/>
      <c r="E207" s="1729"/>
      <c r="F207" s="1729"/>
      <c r="G207" s="2532">
        <f>'Part III-A-Uses of Funds'!G97</f>
        <v>0</v>
      </c>
      <c r="H207" s="2532"/>
      <c r="I207" s="1729"/>
      <c r="J207" s="2532"/>
      <c r="K207" s="2532"/>
      <c r="L207" s="2521"/>
      <c r="M207" s="2532"/>
      <c r="N207" s="2532"/>
      <c r="O207" s="1729"/>
      <c r="P207" s="2532"/>
      <c r="Q207" s="2532"/>
      <c r="R207" s="1729"/>
      <c r="S207" s="2532">
        <f>'Part III-A-Uses of Funds'!S97</f>
        <v>0</v>
      </c>
      <c r="T207" s="2532"/>
    </row>
    <row r="208" spans="1:20" ht="13">
      <c r="A208" s="1729"/>
      <c r="B208" s="1729" t="s">
        <v>1197</v>
      </c>
      <c r="C208" s="1729"/>
      <c r="D208" s="1729"/>
      <c r="E208" s="1729"/>
      <c r="F208" s="1729"/>
      <c r="G208" s="2532">
        <f>'Part III-A-Uses of Funds'!G98</f>
        <v>0</v>
      </c>
      <c r="H208" s="2532"/>
      <c r="I208" s="1729"/>
      <c r="J208" s="2532"/>
      <c r="K208" s="2532"/>
      <c r="L208" s="2521"/>
      <c r="M208" s="2532"/>
      <c r="N208" s="2532"/>
      <c r="O208" s="1729"/>
      <c r="P208" s="2532"/>
      <c r="Q208" s="2532"/>
      <c r="R208" s="1729"/>
      <c r="S208" s="2532">
        <f>'Part III-A-Uses of Funds'!S98</f>
        <v>0</v>
      </c>
      <c r="T208" s="2532"/>
    </row>
    <row r="209" spans="1:20" ht="13">
      <c r="A209" s="1729"/>
      <c r="B209" s="1729" t="s">
        <v>1198</v>
      </c>
      <c r="C209" s="1729"/>
      <c r="D209" s="1729"/>
      <c r="E209" s="1729"/>
      <c r="F209" s="1729"/>
      <c r="G209" s="2532">
        <f>'Part III-A-Uses of Funds'!G99</f>
        <v>0</v>
      </c>
      <c r="H209" s="2532"/>
      <c r="I209" s="1729"/>
      <c r="J209" s="2532"/>
      <c r="K209" s="2532"/>
      <c r="L209" s="2521"/>
      <c r="M209" s="2532"/>
      <c r="N209" s="2532"/>
      <c r="O209" s="1729"/>
      <c r="P209" s="2532"/>
      <c r="Q209" s="2532"/>
      <c r="R209" s="1729"/>
      <c r="S209" s="2532">
        <f>'Part III-A-Uses of Funds'!S99</f>
        <v>0</v>
      </c>
      <c r="T209" s="2532"/>
    </row>
    <row r="210" spans="1:20" ht="13">
      <c r="A210" s="1729"/>
      <c r="B210" s="1729" t="s">
        <v>1200</v>
      </c>
      <c r="C210" s="1729"/>
      <c r="D210" s="1729"/>
      <c r="E210" s="1729"/>
      <c r="F210" s="1729"/>
      <c r="G210" s="2532">
        <f>'Part III-A-Uses of Funds'!G100</f>
        <v>0</v>
      </c>
      <c r="H210" s="2532"/>
      <c r="I210" s="1729"/>
      <c r="J210" s="2532"/>
      <c r="K210" s="2532"/>
      <c r="L210" s="2521"/>
      <c r="M210" s="2532"/>
      <c r="N210" s="2532"/>
      <c r="O210" s="1729"/>
      <c r="P210" s="2532"/>
      <c r="Q210" s="2532"/>
      <c r="R210" s="1729"/>
      <c r="S210" s="2532">
        <f>'Part III-A-Uses of Funds'!S100</f>
        <v>0</v>
      </c>
      <c r="T210" s="2532"/>
    </row>
    <row r="211" spans="1:20" ht="13">
      <c r="A211" s="1729"/>
      <c r="B211" s="1729" t="s">
        <v>2115</v>
      </c>
      <c r="C211" s="1729"/>
      <c r="D211" s="1729"/>
      <c r="E211" s="1729"/>
      <c r="F211" s="1729"/>
      <c r="G211" s="2532">
        <f>'Part III-A-Uses of Funds'!G101</f>
        <v>0</v>
      </c>
      <c r="H211" s="2532"/>
      <c r="I211" s="1729"/>
      <c r="J211" s="2532"/>
      <c r="K211" s="2532"/>
      <c r="L211" s="2521"/>
      <c r="M211" s="2532"/>
      <c r="N211" s="2532"/>
      <c r="O211" s="1729"/>
      <c r="P211" s="2532"/>
      <c r="Q211" s="2532"/>
      <c r="R211" s="1729"/>
      <c r="S211" s="2532">
        <f>'Part III-A-Uses of Funds'!S101</f>
        <v>0</v>
      </c>
      <c r="T211" s="2532"/>
    </row>
    <row r="212" spans="1:20" ht="16" customHeight="1">
      <c r="A212" s="2555" t="str">
        <f>IF(AND(G212&gt;0,OR(C212="",C212="&lt;Enter detailed description here; use Comments section if needed&gt;")),"X","")</f>
        <v/>
      </c>
      <c r="B212" s="2508" t="s">
        <v>4181</v>
      </c>
      <c r="C212" s="2474" t="str">
        <f>'Part III-A-Uses of Funds'!C102</f>
        <v>&lt;&lt; Enter description here; provide detail &amp; justification in tab Part III-b &gt;&gt;</v>
      </c>
      <c r="D212" s="2474"/>
      <c r="E212" s="2474"/>
      <c r="F212" s="2474"/>
      <c r="G212" s="2532">
        <f>'Part III-A-Uses of Funds'!G102</f>
        <v>0</v>
      </c>
      <c r="H212" s="2532"/>
      <c r="I212" s="1729"/>
      <c r="J212" s="2532"/>
      <c r="K212" s="2532"/>
      <c r="L212" s="2521"/>
      <c r="M212" s="2532"/>
      <c r="N212" s="2532"/>
      <c r="O212" s="1729"/>
      <c r="P212" s="2532"/>
      <c r="Q212" s="2532"/>
      <c r="R212" s="1729"/>
      <c r="S212" s="2532">
        <f>'Part III-A-Uses of Funds'!S102</f>
        <v>0</v>
      </c>
      <c r="T212" s="2532"/>
    </row>
    <row r="213" spans="1:20" ht="13">
      <c r="A213" s="1729"/>
      <c r="B213" s="1729"/>
      <c r="C213" s="1729"/>
      <c r="D213" s="1729"/>
      <c r="E213" s="1729"/>
      <c r="F213" s="2556" t="s">
        <v>184</v>
      </c>
      <c r="G213" s="2532">
        <f>SUM(G207:G212)</f>
        <v>0</v>
      </c>
      <c r="H213" s="2532"/>
      <c r="I213" s="1729"/>
      <c r="J213" s="2532"/>
      <c r="K213" s="2532"/>
      <c r="L213" s="2521"/>
      <c r="M213" s="2532"/>
      <c r="N213" s="2532"/>
      <c r="O213" s="1729"/>
      <c r="P213" s="2532"/>
      <c r="Q213" s="2532"/>
      <c r="R213" s="1729"/>
      <c r="S213" s="2532">
        <f>SUM(S207:S212)</f>
        <v>0</v>
      </c>
      <c r="T213" s="2532"/>
    </row>
    <row r="214" spans="1:20" ht="13">
      <c r="A214" s="1729"/>
      <c r="B214" s="2502" t="s">
        <v>677</v>
      </c>
      <c r="C214" s="1729"/>
      <c r="D214" s="1729"/>
      <c r="E214" s="1729"/>
      <c r="F214" s="1729"/>
      <c r="G214" s="1729"/>
      <c r="H214" s="1729"/>
      <c r="I214" s="1729"/>
      <c r="J214" s="2521"/>
      <c r="K214" s="2521"/>
      <c r="L214" s="1729"/>
      <c r="M214" s="2521"/>
      <c r="N214" s="2521"/>
      <c r="O214" s="2557" t="str">
        <f>B214</f>
        <v>DCA-RELATED COSTS</v>
      </c>
      <c r="P214" s="2521"/>
      <c r="Q214" s="2521"/>
      <c r="R214" s="1729"/>
      <c r="S214" s="2521"/>
      <c r="T214" s="2521"/>
    </row>
    <row r="215" spans="1:20" ht="13">
      <c r="A215" s="1729"/>
      <c r="B215" s="1729" t="s">
        <v>5014</v>
      </c>
      <c r="C215" s="1729"/>
      <c r="D215" s="1729"/>
      <c r="E215" s="1729"/>
      <c r="F215" s="1729"/>
      <c r="G215" s="2532">
        <f>'Part III-A-Uses of Funds'!G105</f>
        <v>0</v>
      </c>
      <c r="H215" s="2532"/>
      <c r="I215" s="1729"/>
      <c r="J215" s="2521"/>
      <c r="K215" s="2521"/>
      <c r="L215" s="2521"/>
      <c r="M215" s="2521"/>
      <c r="N215" s="2521"/>
      <c r="O215" s="1729"/>
      <c r="P215" s="2521"/>
      <c r="Q215" s="2521"/>
      <c r="R215" s="1729"/>
      <c r="S215" s="2532">
        <f>'Part III-A-Uses of Funds'!S105</f>
        <v>0</v>
      </c>
      <c r="T215" s="2532"/>
    </row>
    <row r="216" spans="1:20" ht="13">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2">
        <f>'Part III-A-Uses of Funds'!G106</f>
        <v>0</v>
      </c>
      <c r="H216" s="2532"/>
      <c r="I216" s="1729"/>
      <c r="J216" s="2521"/>
      <c r="K216" s="2521"/>
      <c r="L216" s="2589"/>
      <c r="M216" s="2521"/>
      <c r="N216" s="2521"/>
      <c r="O216" s="1729"/>
      <c r="P216" s="2521"/>
      <c r="Q216" s="2521"/>
      <c r="R216" s="1729"/>
      <c r="S216" s="2532">
        <f>'Part III-A-Uses of Funds'!S106</f>
        <v>0</v>
      </c>
      <c r="T216" s="2532"/>
    </row>
    <row r="217" spans="1:20" ht="13">
      <c r="A217" s="1729"/>
      <c r="B217" s="1729" t="s">
        <v>5015</v>
      </c>
      <c r="C217" s="1729"/>
      <c r="D217" s="1729"/>
      <c r="E217" s="1729"/>
      <c r="F217" s="1729"/>
      <c r="G217" s="2532">
        <f>'Part III-A-Uses of Funds'!G107</f>
        <v>0</v>
      </c>
      <c r="H217" s="2532"/>
      <c r="I217" s="1729"/>
      <c r="J217" s="2521"/>
      <c r="K217" s="2521"/>
      <c r="L217" s="2589"/>
      <c r="M217" s="2521"/>
      <c r="N217" s="2521"/>
      <c r="O217" s="1729"/>
      <c r="P217" s="2521"/>
      <c r="Q217" s="2521"/>
      <c r="R217" s="1729"/>
      <c r="S217" s="2532">
        <f>'Part III-A-Uses of Funds'!S107</f>
        <v>0</v>
      </c>
      <c r="T217" s="2532"/>
    </row>
    <row r="218" spans="1:20" ht="13">
      <c r="A218" s="1729"/>
      <c r="B218" s="1729" t="s">
        <v>485</v>
      </c>
      <c r="C218" s="1729"/>
      <c r="D218" s="1729"/>
      <c r="E218" s="2590">
        <f>ROUNDUP('DCA Underwriting Assumptions'!$Q$70*J301,0)</f>
        <v>0</v>
      </c>
      <c r="F218" s="2590"/>
      <c r="G218" s="2532">
        <f>'Part III-A-Uses of Funds'!G108</f>
        <v>0</v>
      </c>
      <c r="H218" s="2532"/>
      <c r="I218" s="1729"/>
      <c r="J218" s="2591" t="str">
        <f>IF(E218&gt;G218,"WARNING!  LIHTC Allocation Fee proposed is below minimum required.","")</f>
        <v/>
      </c>
      <c r="K218" s="2521"/>
      <c r="L218" s="2521"/>
      <c r="M218" s="2521"/>
      <c r="N218" s="2521"/>
      <c r="O218" s="1729"/>
      <c r="P218" s="2521"/>
      <c r="Q218" s="2521"/>
      <c r="R218" s="1729"/>
      <c r="S218" s="2532">
        <f>'Part III-A-Uses of Funds'!S108</f>
        <v>0</v>
      </c>
      <c r="T218" s="2532"/>
    </row>
    <row r="219" spans="1:20" ht="13">
      <c r="A219" s="1729"/>
      <c r="B219" s="1729" t="s">
        <v>701</v>
      </c>
      <c r="C219" s="1729"/>
      <c r="D219" s="1729"/>
      <c r="E219" s="2590">
        <f>AF221+AF225</f>
        <v>0</v>
      </c>
      <c r="F219" s="2590"/>
      <c r="G219" s="2532">
        <f>'Part III-A-Uses of Funds'!G109</f>
        <v>0</v>
      </c>
      <c r="H219" s="2532"/>
      <c r="I219" s="2592" t="str">
        <f>IF(E219&gt;G219,"WARNING!  LIHTC Compliance Fee proposed is below minimum required.","")</f>
        <v/>
      </c>
      <c r="J219" s="2592"/>
      <c r="K219" s="2592"/>
      <c r="L219" s="2592"/>
      <c r="M219" s="2592"/>
      <c r="N219" s="2592"/>
      <c r="O219" s="2592"/>
      <c r="P219" s="2592"/>
      <c r="Q219" s="2592"/>
      <c r="R219" s="2592"/>
      <c r="S219" s="2532">
        <f>'Part III-A-Uses of Funds'!S109</f>
        <v>0</v>
      </c>
      <c r="T219" s="2532"/>
    </row>
    <row r="220" spans="1:20" ht="13">
      <c r="A220" s="1729"/>
      <c r="B220" s="1729" t="s">
        <v>3364</v>
      </c>
      <c r="C220" s="1729"/>
      <c r="D220" s="1729"/>
      <c r="E220" s="1729"/>
      <c r="F220" s="2593"/>
      <c r="G220" s="2532">
        <f>'Part III-A-Uses of Funds'!G110</f>
        <v>0</v>
      </c>
      <c r="H220" s="2532"/>
      <c r="I220" s="2592"/>
      <c r="J220" s="2592"/>
      <c r="K220" s="2592"/>
      <c r="L220" s="2592"/>
      <c r="M220" s="2592"/>
      <c r="N220" s="2592"/>
      <c r="O220" s="2592"/>
      <c r="P220" s="2592"/>
      <c r="Q220" s="2592"/>
      <c r="R220" s="2592"/>
      <c r="S220" s="2532">
        <f>'Part III-A-Uses of Funds'!S110</f>
        <v>0</v>
      </c>
      <c r="T220" s="2532"/>
    </row>
    <row r="221" spans="1:20" ht="13">
      <c r="A221" s="1729"/>
      <c r="B221" s="1729" t="s">
        <v>4745</v>
      </c>
      <c r="C221" s="1729"/>
      <c r="D221" s="1729"/>
      <c r="E221" s="1729"/>
      <c r="F221" s="2593">
        <f>ROUNDUP('DCA Underwriting Assumptions'!$Q$73,0)</f>
        <v>8000</v>
      </c>
      <c r="G221" s="2532">
        <f>'Part III-A-Uses of Funds'!G111</f>
        <v>0</v>
      </c>
      <c r="H221" s="2532"/>
      <c r="I221" s="1729"/>
      <c r="J221" s="377"/>
      <c r="K221" s="377"/>
      <c r="L221" s="377"/>
      <c r="M221" s="377"/>
      <c r="N221" s="377"/>
      <c r="O221" s="377"/>
      <c r="P221" s="377"/>
      <c r="Q221" s="377"/>
      <c r="R221" s="1729"/>
      <c r="S221" s="2532">
        <f>'Part III-A-Uses of Funds'!S111</f>
        <v>0</v>
      </c>
      <c r="T221" s="2532"/>
    </row>
    <row r="222" spans="1:20" ht="15.65" customHeight="1">
      <c r="A222" s="2555" t="str">
        <f>IF(AND(G222&gt;0,OR(C222="",C222="&lt;Enter detailed description here; use Comments section if needed&gt;")),"X","")</f>
        <v/>
      </c>
      <c r="B222" s="2508" t="s">
        <v>4177</v>
      </c>
      <c r="C222" s="2474" t="str">
        <f>'Part III-A-Uses of Funds'!C112</f>
        <v>&lt;&lt; Enter description here; provide detail &amp; justification in tab Part III-b &gt;&gt;</v>
      </c>
      <c r="D222" s="2474"/>
      <c r="E222" s="2474"/>
      <c r="F222" s="2474"/>
      <c r="G222" s="2532">
        <f>'Part III-A-Uses of Funds'!G112</f>
        <v>0</v>
      </c>
      <c r="H222" s="2532"/>
      <c r="I222" s="1729"/>
      <c r="J222" s="377"/>
      <c r="K222" s="377"/>
      <c r="L222" s="377"/>
      <c r="M222" s="377"/>
      <c r="N222" s="377"/>
      <c r="O222" s="377"/>
      <c r="P222" s="377"/>
      <c r="Q222" s="377"/>
      <c r="R222" s="1729"/>
      <c r="S222" s="2532">
        <f>'Part III-A-Uses of Funds'!S112</f>
        <v>0</v>
      </c>
      <c r="T222" s="2532"/>
    </row>
    <row r="223" spans="1:20" ht="16" customHeight="1">
      <c r="A223" s="2555" t="str">
        <f>IF(AND(G223&gt;0,OR(C223="",C223="&lt;Enter detailed description here; use Comments section if needed&gt;")),"X","")</f>
        <v/>
      </c>
      <c r="B223" s="2508" t="s">
        <v>4177</v>
      </c>
      <c r="C223" s="2474" t="str">
        <f>'Part III-A-Uses of Funds'!C113</f>
        <v>&lt;&lt; Enter description here; provide detail &amp; justification in tab Part III-b &gt;&gt;</v>
      </c>
      <c r="D223" s="2474"/>
      <c r="E223" s="2474"/>
      <c r="F223" s="2474"/>
      <c r="G223" s="2532">
        <f>'Part III-A-Uses of Funds'!G113</f>
        <v>0</v>
      </c>
      <c r="H223" s="2532"/>
      <c r="I223" s="1729"/>
      <c r="J223" s="377"/>
      <c r="K223" s="377"/>
      <c r="L223" s="377"/>
      <c r="M223" s="377"/>
      <c r="N223" s="377"/>
      <c r="O223" s="377"/>
      <c r="P223" s="377"/>
      <c r="Q223" s="377"/>
      <c r="R223" s="1729"/>
      <c r="S223" s="2532">
        <f>'Part III-A-Uses of Funds'!S113</f>
        <v>0</v>
      </c>
      <c r="T223" s="2532"/>
    </row>
    <row r="224" spans="1:20" ht="13">
      <c r="A224" s="1729"/>
      <c r="B224" s="1729"/>
      <c r="C224" s="1729"/>
      <c r="D224" s="1729"/>
      <c r="E224" s="1729"/>
      <c r="F224" s="2556" t="s">
        <v>184</v>
      </c>
      <c r="G224" s="2532">
        <f>SUM(G215:G223)</f>
        <v>0</v>
      </c>
      <c r="H224" s="2532"/>
      <c r="I224" s="1729"/>
      <c r="J224" s="2521"/>
      <c r="K224" s="2521"/>
      <c r="L224" s="2521"/>
      <c r="M224" s="2521"/>
      <c r="N224" s="2521"/>
      <c r="O224" s="1729"/>
      <c r="P224" s="2521"/>
      <c r="Q224" s="2521"/>
      <c r="R224" s="1729"/>
      <c r="S224" s="2532">
        <f>SUM(S215:S223)</f>
        <v>0</v>
      </c>
      <c r="T224" s="2532"/>
    </row>
    <row r="225" spans="1:20" ht="13">
      <c r="A225" s="1729"/>
      <c r="B225" s="2502" t="s">
        <v>2116</v>
      </c>
      <c r="C225" s="1729"/>
      <c r="D225" s="1729"/>
      <c r="E225" s="1729"/>
      <c r="F225" s="1729"/>
      <c r="G225" s="1729"/>
      <c r="H225" s="1729"/>
      <c r="I225" s="1729"/>
      <c r="J225" s="2521"/>
      <c r="K225" s="2521"/>
      <c r="L225" s="1729"/>
      <c r="M225" s="2521"/>
      <c r="N225" s="2521"/>
      <c r="O225" s="2557" t="str">
        <f>B225</f>
        <v>EQUITY COSTS</v>
      </c>
      <c r="P225" s="2521"/>
      <c r="Q225" s="2521"/>
      <c r="R225" s="1729"/>
      <c r="S225" s="2521"/>
      <c r="T225" s="2521"/>
    </row>
    <row r="226" spans="1:20" ht="13">
      <c r="A226" s="1729"/>
      <c r="B226" s="1729" t="s">
        <v>267</v>
      </c>
      <c r="C226" s="1729"/>
      <c r="D226" s="1729"/>
      <c r="E226" s="1729"/>
      <c r="F226" s="1729"/>
      <c r="G226" s="2532">
        <f>'Part III-A-Uses of Funds'!G116</f>
        <v>0</v>
      </c>
      <c r="H226" s="2532"/>
      <c r="I226" s="1729"/>
      <c r="J226" s="2532"/>
      <c r="K226" s="2532"/>
      <c r="L226" s="2521"/>
      <c r="M226" s="2532"/>
      <c r="N226" s="2532"/>
      <c r="O226" s="1729"/>
      <c r="P226" s="2532"/>
      <c r="Q226" s="2532"/>
      <c r="R226" s="1729"/>
      <c r="S226" s="2532">
        <f>'Part III-A-Uses of Funds'!S116</f>
        <v>0</v>
      </c>
      <c r="T226" s="2532"/>
    </row>
    <row r="227" spans="1:20" ht="13">
      <c r="A227" s="1729"/>
      <c r="B227" s="1729" t="s">
        <v>268</v>
      </c>
      <c r="C227" s="1729"/>
      <c r="D227" s="1729"/>
      <c r="E227" s="1729"/>
      <c r="F227" s="1729"/>
      <c r="G227" s="2532">
        <f>'Part III-A-Uses of Funds'!G117</f>
        <v>0</v>
      </c>
      <c r="H227" s="2532"/>
      <c r="I227" s="1729"/>
      <c r="J227" s="2532"/>
      <c r="K227" s="2532"/>
      <c r="L227" s="2521"/>
      <c r="M227" s="2532"/>
      <c r="N227" s="2532"/>
      <c r="O227" s="1729"/>
      <c r="P227" s="2532"/>
      <c r="Q227" s="2532"/>
      <c r="R227" s="1729"/>
      <c r="S227" s="2532">
        <f>'Part III-A-Uses of Funds'!S117</f>
        <v>0</v>
      </c>
      <c r="T227" s="2532"/>
    </row>
    <row r="228" spans="1:20" ht="13">
      <c r="A228" s="1729"/>
      <c r="B228" s="1729" t="s">
        <v>2194</v>
      </c>
      <c r="C228" s="1729"/>
      <c r="D228" s="1729"/>
      <c r="E228" s="1729"/>
      <c r="F228" s="1729"/>
      <c r="G228" s="2532">
        <f>'Part III-A-Uses of Funds'!G118</f>
        <v>0</v>
      </c>
      <c r="H228" s="2532"/>
      <c r="I228" s="1729"/>
      <c r="J228" s="2532"/>
      <c r="K228" s="2532"/>
      <c r="L228" s="2521"/>
      <c r="M228" s="2532"/>
      <c r="N228" s="2532"/>
      <c r="O228" s="1729"/>
      <c r="P228" s="2532"/>
      <c r="Q228" s="2532"/>
      <c r="R228" s="1729"/>
      <c r="S228" s="2532">
        <f>'Part III-A-Uses of Funds'!S118</f>
        <v>0</v>
      </c>
      <c r="T228" s="2532"/>
    </row>
    <row r="229" spans="1:20" ht="16" customHeight="1">
      <c r="A229" s="2555" t="str">
        <f>IF(AND(G229&gt;0,OR(C229="",C229="&lt;Enter detailed description here; use Comments section if needed&gt;")),"X","")</f>
        <v/>
      </c>
      <c r="B229" s="2508" t="s">
        <v>4177</v>
      </c>
      <c r="C229" s="2474" t="str">
        <f>'Part III-A-Uses of Funds'!C119</f>
        <v>&lt;&lt; Enter description here; provide detail &amp; justification in tab Part III-b &gt;&gt;</v>
      </c>
      <c r="D229" s="2474"/>
      <c r="E229" s="2474"/>
      <c r="F229" s="2474"/>
      <c r="G229" s="2532">
        <f>'Part III-A-Uses of Funds'!G119</f>
        <v>0</v>
      </c>
      <c r="H229" s="2532"/>
      <c r="I229" s="1729"/>
      <c r="J229" s="2532"/>
      <c r="K229" s="2532"/>
      <c r="L229" s="2521"/>
      <c r="M229" s="2532"/>
      <c r="N229" s="2532"/>
      <c r="O229" s="1729"/>
      <c r="P229" s="2532"/>
      <c r="Q229" s="2532"/>
      <c r="R229" s="1729"/>
      <c r="S229" s="2532">
        <f>'Part III-A-Uses of Funds'!S119</f>
        <v>0</v>
      </c>
      <c r="T229" s="2532"/>
    </row>
    <row r="230" spans="1:20" ht="13">
      <c r="A230" s="1729"/>
      <c r="B230" s="1729"/>
      <c r="C230" s="1729"/>
      <c r="D230" s="1729"/>
      <c r="E230" s="1729"/>
      <c r="F230" s="2556" t="s">
        <v>184</v>
      </c>
      <c r="G230" s="2532">
        <f>SUM(G226:G229)</f>
        <v>0</v>
      </c>
      <c r="H230" s="2532"/>
      <c r="I230" s="1729"/>
      <c r="J230" s="2532"/>
      <c r="K230" s="2532"/>
      <c r="L230" s="2521"/>
      <c r="M230" s="2532"/>
      <c r="N230" s="2532"/>
      <c r="O230" s="1729"/>
      <c r="P230" s="2532"/>
      <c r="Q230" s="2532"/>
      <c r="R230" s="1729"/>
      <c r="S230" s="2532">
        <f>SUM(S226:S229)</f>
        <v>0</v>
      </c>
      <c r="T230" s="2532"/>
    </row>
    <row r="231" spans="1:20" ht="13">
      <c r="A231" s="1729"/>
      <c r="B231" s="2502" t="s">
        <v>269</v>
      </c>
      <c r="C231" s="1729"/>
      <c r="D231" s="1729"/>
      <c r="E231" s="2545" t="s">
        <v>3805</v>
      </c>
      <c r="F231" s="2506"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1"/>
      <c r="K231" s="2532"/>
      <c r="L231" s="1729"/>
      <c r="M231" s="2521"/>
      <c r="N231" s="2532"/>
      <c r="O231" s="2557" t="str">
        <f>B231</f>
        <v>DEVELOPER'S FEE</v>
      </c>
      <c r="P231" s="2521"/>
      <c r="Q231" s="2532"/>
      <c r="R231" s="1729"/>
      <c r="S231" s="2521"/>
      <c r="T231" s="2532"/>
    </row>
    <row r="232" spans="1:20" ht="13">
      <c r="A232" s="1729"/>
      <c r="B232" s="1729" t="s">
        <v>1719</v>
      </c>
      <c r="C232" s="1729"/>
      <c r="D232" s="1729"/>
      <c r="E232" s="1729"/>
      <c r="F232" s="2538">
        <f>IF($G$127=0,0,G232/$G$127)</f>
        <v>0</v>
      </c>
      <c r="G232" s="2532">
        <f>'Part III-A-Uses of Funds'!G122</f>
        <v>0</v>
      </c>
      <c r="H232" s="2532"/>
      <c r="I232" s="1729"/>
      <c r="J232" s="2532">
        <f>'Part III-A-Uses of Funds'!J122</f>
        <v>0</v>
      </c>
      <c r="K232" s="2532"/>
      <c r="L232" s="2557"/>
      <c r="M232" s="2532">
        <f>'Part III-A-Uses of Funds'!M122</f>
        <v>0</v>
      </c>
      <c r="N232" s="2532"/>
      <c r="O232" s="1729"/>
      <c r="P232" s="2532">
        <f>'Part III-A-Uses of Funds'!P122</f>
        <v>0</v>
      </c>
      <c r="Q232" s="2532"/>
      <c r="R232" s="1729"/>
      <c r="S232" s="2532">
        <f>'Part III-A-Uses of Funds'!S122</f>
        <v>0</v>
      </c>
      <c r="T232" s="2532"/>
    </row>
    <row r="233" spans="1:20" ht="13">
      <c r="A233" s="1729"/>
      <c r="B233" s="1729" t="s">
        <v>3326</v>
      </c>
      <c r="C233" s="1729"/>
      <c r="D233" s="1729"/>
      <c r="E233" s="1729"/>
      <c r="F233" s="2594">
        <f>'Part III-A-Uses of Funds'!F123</f>
        <v>0</v>
      </c>
      <c r="G233" s="2595" t="s">
        <v>4621</v>
      </c>
      <c r="H233" s="1729"/>
      <c r="I233" s="1729"/>
      <c r="J233" s="1729"/>
      <c r="K233" s="1729"/>
      <c r="L233" s="1729"/>
      <c r="M233" s="1729"/>
      <c r="N233" s="1729"/>
      <c r="O233" s="1729"/>
      <c r="P233" s="1729"/>
      <c r="Q233" s="1729"/>
      <c r="R233" s="1729"/>
      <c r="S233" s="1729"/>
      <c r="T233" s="1729"/>
    </row>
    <row r="234" spans="1:20" ht="13">
      <c r="A234" s="1729"/>
      <c r="B234" s="1729" t="s">
        <v>1720</v>
      </c>
      <c r="C234" s="1729"/>
      <c r="D234" s="1729"/>
      <c r="E234" s="1729"/>
      <c r="F234" s="2538">
        <f>IF($G$127=0,0,G234/$G$127)</f>
        <v>0</v>
      </c>
      <c r="G234" s="2532">
        <f>'Part III-A-Uses of Funds'!G124</f>
        <v>0</v>
      </c>
      <c r="H234" s="2532"/>
      <c r="I234" s="1729"/>
      <c r="J234" s="2532">
        <f>'Part III-A-Uses of Funds'!J124</f>
        <v>0</v>
      </c>
      <c r="K234" s="2532"/>
      <c r="L234" s="2521"/>
      <c r="M234" s="2532">
        <f>'Part III-A-Uses of Funds'!M124</f>
        <v>0</v>
      </c>
      <c r="N234" s="2532"/>
      <c r="O234" s="1729"/>
      <c r="P234" s="2532">
        <f>'Part III-A-Uses of Funds'!P124</f>
        <v>0</v>
      </c>
      <c r="Q234" s="2532"/>
      <c r="R234" s="1729"/>
      <c r="S234" s="2532">
        <f>'Part III-A-Uses of Funds'!S124</f>
        <v>0</v>
      </c>
      <c r="T234" s="2532"/>
    </row>
    <row r="235" spans="1:20" ht="13">
      <c r="A235" s="1729"/>
      <c r="B235" s="1729" t="s">
        <v>3080</v>
      </c>
      <c r="C235" s="1729"/>
      <c r="D235" s="1729"/>
      <c r="E235" s="1729"/>
      <c r="F235" s="2538">
        <f>IF($G$127=0,0,G235/$G$127)</f>
        <v>0</v>
      </c>
      <c r="G235" s="2532">
        <f>'Part III-A-Uses of Funds'!G125</f>
        <v>0</v>
      </c>
      <c r="H235" s="2532"/>
      <c r="I235" s="1729"/>
      <c r="J235" s="2532">
        <f>'Part III-A-Uses of Funds'!J125</f>
        <v>0</v>
      </c>
      <c r="K235" s="2532"/>
      <c r="L235" s="2521"/>
      <c r="M235" s="2532">
        <f>'Part III-A-Uses of Funds'!M125</f>
        <v>0</v>
      </c>
      <c r="N235" s="2532"/>
      <c r="O235" s="1729"/>
      <c r="P235" s="2532">
        <f>'Part III-A-Uses of Funds'!P125</f>
        <v>0</v>
      </c>
      <c r="Q235" s="2532"/>
      <c r="R235" s="1729"/>
      <c r="S235" s="2532">
        <f>'Part III-A-Uses of Funds'!S125</f>
        <v>0</v>
      </c>
      <c r="T235" s="2532"/>
    </row>
    <row r="236" spans="1:20" ht="13">
      <c r="A236" s="1729"/>
      <c r="B236" s="1729" t="s">
        <v>1712</v>
      </c>
      <c r="C236" s="1729"/>
      <c r="D236" s="1729"/>
      <c r="E236" s="1729"/>
      <c r="F236" s="2538">
        <f>IF($G$127=0,0,G236/$G$127)</f>
        <v>0</v>
      </c>
      <c r="G236" s="2532">
        <f>'Part III-A-Uses of Funds'!G126</f>
        <v>0</v>
      </c>
      <c r="H236" s="2532"/>
      <c r="I236" s="1729"/>
      <c r="J236" s="2532">
        <f>'Part III-A-Uses of Funds'!J126</f>
        <v>0</v>
      </c>
      <c r="K236" s="2532"/>
      <c r="L236" s="2521"/>
      <c r="M236" s="2532">
        <f>'Part III-A-Uses of Funds'!M126</f>
        <v>0</v>
      </c>
      <c r="N236" s="2532"/>
      <c r="O236" s="1729"/>
      <c r="P236" s="2532">
        <f>'Part III-A-Uses of Funds'!P126</f>
        <v>0</v>
      </c>
      <c r="Q236" s="2532"/>
      <c r="R236" s="1729"/>
      <c r="S236" s="2532">
        <f>'Part III-A-Uses of Funds'!S126</f>
        <v>0</v>
      </c>
      <c r="T236" s="2532"/>
    </row>
    <row r="237" spans="1:20" ht="13">
      <c r="A237" s="2596" t="str">
        <f>IF(G237&gt;E237,"DF over limit!  Round down/Enter nbr.","")</f>
        <v/>
      </c>
      <c r="B237" s="2597"/>
      <c r="C237" s="1729"/>
      <c r="D237" s="2545" t="s">
        <v>3801</v>
      </c>
      <c r="E237" s="2598" t="str">
        <f>IF(AF232+AF235=0,"Fill in Rent Chart!",IF(F231="9%",AH232,IF(F231="4%",AH235,"Select App Type!")))</f>
        <v>Fill in Rent Chart!</v>
      </c>
      <c r="F237" s="2556" t="s">
        <v>184</v>
      </c>
      <c r="G237" s="2532">
        <f>SUM(G232:G236)</f>
        <v>0</v>
      </c>
      <c r="H237" s="2532"/>
      <c r="I237" s="1729"/>
      <c r="J237" s="2532">
        <f>SUM(J232:J236)</f>
        <v>0</v>
      </c>
      <c r="K237" s="2532"/>
      <c r="L237" s="2521"/>
      <c r="M237" s="2532">
        <f>SUM(M232:M236)</f>
        <v>0</v>
      </c>
      <c r="N237" s="2532"/>
      <c r="O237" s="1729"/>
      <c r="P237" s="2532">
        <f>SUM(P232:P236)</f>
        <v>0</v>
      </c>
      <c r="Q237" s="2532"/>
      <c r="R237" s="1729"/>
      <c r="S237" s="2532">
        <f>SUM(S232:S236)</f>
        <v>0</v>
      </c>
      <c r="T237" s="2532"/>
    </row>
    <row r="238" spans="1:20" ht="13">
      <c r="A238" s="1729"/>
      <c r="B238" s="2502" t="s">
        <v>1229</v>
      </c>
      <c r="C238" s="1729"/>
      <c r="D238" s="1729"/>
      <c r="E238" s="1729"/>
      <c r="F238" s="1729"/>
      <c r="G238" s="1729"/>
      <c r="H238" s="1729"/>
      <c r="I238" s="1729"/>
      <c r="J238" s="2532"/>
      <c r="K238" s="2532"/>
      <c r="L238" s="1729"/>
      <c r="M238" s="2532"/>
      <c r="N238" s="2532"/>
      <c r="O238" s="2557" t="str">
        <f>B238</f>
        <v>START-UP AND RESERVES</v>
      </c>
      <c r="P238" s="2532"/>
      <c r="Q238" s="2532"/>
      <c r="R238" s="1729"/>
      <c r="S238" s="2532"/>
      <c r="T238" s="2532"/>
    </row>
    <row r="239" spans="1:20" ht="13">
      <c r="A239" s="1729"/>
      <c r="B239" s="1729" t="s">
        <v>241</v>
      </c>
      <c r="C239" s="1729"/>
      <c r="D239" s="1729"/>
      <c r="E239" s="1729"/>
      <c r="F239" s="1729"/>
      <c r="G239" s="2532">
        <f>'Part III-A-Uses of Funds'!G129</f>
        <v>0</v>
      </c>
      <c r="H239" s="2532"/>
      <c r="I239" s="1729"/>
      <c r="J239" s="2589"/>
      <c r="K239" s="2589"/>
      <c r="L239" s="2589"/>
      <c r="M239" s="2589"/>
      <c r="N239" s="2589"/>
      <c r="O239" s="1729"/>
      <c r="P239" s="2589"/>
      <c r="Q239" s="2589"/>
      <c r="R239" s="1729"/>
      <c r="S239" s="2532">
        <f>'Part III-A-Uses of Funds'!S129</f>
        <v>0</v>
      </c>
      <c r="T239" s="2532"/>
    </row>
    <row r="240" spans="1:20" ht="13">
      <c r="A240" s="1729"/>
      <c r="B240" s="1729" t="s">
        <v>1434</v>
      </c>
      <c r="C240" s="1729"/>
      <c r="D240" s="1729"/>
      <c r="E240" s="1729"/>
      <c r="F240" s="2599">
        <f>+'Part V-Revenues &amp; Expenses'!$Q$232*('DCA Underwriting Assumptions'!$Q$104/12)</f>
        <v>0</v>
      </c>
      <c r="G240" s="2532">
        <f>'Part III-A-Uses of Funds'!G130</f>
        <v>0</v>
      </c>
      <c r="H240" s="2532"/>
      <c r="I240" s="1729"/>
      <c r="J240" s="2600" t="str">
        <f>IF(E240&gt;G240,"WARNING! Rent-Up Reserves proposed is below minimum - add comment.","")</f>
        <v/>
      </c>
      <c r="K240" s="2600"/>
      <c r="L240" s="2521"/>
      <c r="M240" s="2532"/>
      <c r="N240" s="2532"/>
      <c r="O240" s="1729"/>
      <c r="P240" s="2532"/>
      <c r="Q240" s="2532"/>
      <c r="R240" s="1729"/>
      <c r="S240" s="2532">
        <f>'Part III-A-Uses of Funds'!S130</f>
        <v>0</v>
      </c>
      <c r="T240" s="2532"/>
    </row>
    <row r="241" spans="1:20" ht="13">
      <c r="A241" s="1729"/>
      <c r="B241" s="1729" t="s">
        <v>631</v>
      </c>
      <c r="C241" s="1729"/>
      <c r="D241" s="1729"/>
      <c r="E241" s="1729"/>
      <c r="F241" s="2599">
        <f>'Part V-Revenues &amp; Expenses'!$Q$232*('DCA Underwriting Assumptions'!$Q$103/12)+('Part VI-Pro Forma'!$B$26+'Part VI-Pro Forma'!$B$27+'Part VI-Pro Forma'!$B$28+'Part VI-Pro Forma'!$B$29)*'DCA Underwriting Assumptions'!$Q$102/(-12)</f>
        <v>0</v>
      </c>
      <c r="G241" s="2532">
        <f>'Part III-A-Uses of Funds'!G131</f>
        <v>0</v>
      </c>
      <c r="H241" s="2532"/>
      <c r="I241" s="1729"/>
      <c r="J241" s="2600" t="str">
        <f>IF(E241&gt;G241,"WARNING! ODR proposed is below minimum - add comment.","")</f>
        <v/>
      </c>
      <c r="K241" s="2589"/>
      <c r="L241" s="2589"/>
      <c r="M241" s="2589"/>
      <c r="N241" s="2589"/>
      <c r="O241" s="1729"/>
      <c r="P241" s="2589"/>
      <c r="Q241" s="2589"/>
      <c r="R241" s="1729"/>
      <c r="S241" s="2532">
        <f>'Part III-A-Uses of Funds'!S131</f>
        <v>0</v>
      </c>
      <c r="T241" s="2532"/>
    </row>
    <row r="242" spans="1:20" ht="13">
      <c r="A242" s="1729"/>
      <c r="B242" s="1729" t="s">
        <v>1169</v>
      </c>
      <c r="C242" s="1729"/>
      <c r="D242" s="1729"/>
      <c r="E242" s="1729"/>
      <c r="F242" s="1729"/>
      <c r="G242" s="2532">
        <f>'Part III-A-Uses of Funds'!G132</f>
        <v>0</v>
      </c>
      <c r="H242" s="2532"/>
      <c r="I242" s="1729"/>
      <c r="J242" s="2589"/>
      <c r="K242" s="2589"/>
      <c r="L242" s="2589"/>
      <c r="M242" s="2589"/>
      <c r="N242" s="2589"/>
      <c r="O242" s="1729"/>
      <c r="P242" s="2589"/>
      <c r="Q242" s="2589"/>
      <c r="R242" s="1729"/>
      <c r="S242" s="2532">
        <f>'Part III-A-Uses of Funds'!S132</f>
        <v>0</v>
      </c>
      <c r="T242" s="2532"/>
    </row>
    <row r="243" spans="1:20" ht="13">
      <c r="A243" s="1729"/>
      <c r="B243" s="1729" t="s">
        <v>1170</v>
      </c>
      <c r="C243" s="1729"/>
      <c r="D243" s="1729"/>
      <c r="E243" s="2558" t="s">
        <v>3054</v>
      </c>
      <c r="F243" s="2599">
        <f>IF('Part V-Revenues &amp; Expenses'!$P$67=0,0,G243/'Part V-Revenues &amp; Expenses'!$P$67)</f>
        <v>0</v>
      </c>
      <c r="G243" s="2532">
        <f>'Part III-A-Uses of Funds'!G133</f>
        <v>0</v>
      </c>
      <c r="H243" s="2532"/>
      <c r="I243" s="1729"/>
      <c r="J243" s="2532">
        <f>'Part III-A-Uses of Funds'!J133</f>
        <v>0</v>
      </c>
      <c r="K243" s="2532"/>
      <c r="L243" s="2521"/>
      <c r="M243" s="2532">
        <f>'Part III-A-Uses of Funds'!M133</f>
        <v>0</v>
      </c>
      <c r="N243" s="2532"/>
      <c r="O243" s="1729"/>
      <c r="P243" s="2532">
        <f>'Part III-A-Uses of Funds'!P133</f>
        <v>0</v>
      </c>
      <c r="Q243" s="2532"/>
      <c r="R243" s="1729"/>
      <c r="S243" s="2532">
        <f>'Part III-A-Uses of Funds'!S133</f>
        <v>0</v>
      </c>
      <c r="T243" s="2532"/>
    </row>
    <row r="244" spans="1:20" ht="16" customHeight="1">
      <c r="A244" s="2555" t="str">
        <f>IF(AND(G244&gt;0,OR(C244="",C244="&lt;Enter detailed description here; use Comments section if needed&gt;")),"X","")</f>
        <v/>
      </c>
      <c r="B244" s="2508" t="s">
        <v>4177</v>
      </c>
      <c r="C244" s="2474" t="str">
        <f>'Part III-A-Uses of Funds'!C134</f>
        <v>&lt;&lt; Enter description here; provide detail &amp; justification in tab Part III-b &gt;&gt;</v>
      </c>
      <c r="D244" s="2474"/>
      <c r="E244" s="2474"/>
      <c r="F244" s="2474"/>
      <c r="G244" s="2532">
        <f>'Part III-A-Uses of Funds'!G134</f>
        <v>0</v>
      </c>
      <c r="H244" s="2532"/>
      <c r="I244" s="1729"/>
      <c r="J244" s="2532">
        <f>'Part III-A-Uses of Funds'!J134</f>
        <v>0</v>
      </c>
      <c r="K244" s="2532"/>
      <c r="L244" s="2521"/>
      <c r="M244" s="2532">
        <f>'Part III-A-Uses of Funds'!M134</f>
        <v>0</v>
      </c>
      <c r="N244" s="2532"/>
      <c r="O244" s="1729"/>
      <c r="P244" s="2532">
        <f>'Part III-A-Uses of Funds'!P134</f>
        <v>0</v>
      </c>
      <c r="Q244" s="2532"/>
      <c r="R244" s="1729"/>
      <c r="S244" s="2532">
        <f>'Part III-A-Uses of Funds'!S134</f>
        <v>0</v>
      </c>
      <c r="T244" s="2532"/>
    </row>
    <row r="245" spans="1:20" ht="13">
      <c r="A245" s="1729"/>
      <c r="B245" s="2601"/>
      <c r="C245" s="1729"/>
      <c r="D245" s="1729"/>
      <c r="E245" s="1729"/>
      <c r="F245" s="2556" t="s">
        <v>184</v>
      </c>
      <c r="G245" s="2532">
        <f>SUM(G239:G244)</f>
        <v>0</v>
      </c>
      <c r="H245" s="2532"/>
      <c r="I245" s="1729"/>
      <c r="J245" s="2532">
        <f>SUM(J243:J244)</f>
        <v>0</v>
      </c>
      <c r="K245" s="2532"/>
      <c r="L245" s="2521"/>
      <c r="M245" s="2532">
        <f>SUM(M243:M244)</f>
        <v>0</v>
      </c>
      <c r="N245" s="2532"/>
      <c r="O245" s="1729"/>
      <c r="P245" s="2532">
        <f>SUM(P243:P244)</f>
        <v>0</v>
      </c>
      <c r="Q245" s="2532"/>
      <c r="R245" s="1729"/>
      <c r="S245" s="2532">
        <f>SUM(S239:S244)</f>
        <v>0</v>
      </c>
      <c r="T245" s="2532"/>
    </row>
    <row r="246" spans="1:20" ht="13">
      <c r="A246" s="1729"/>
      <c r="B246" s="1729"/>
      <c r="C246" s="1729"/>
      <c r="D246" s="1729"/>
      <c r="E246" s="1729"/>
      <c r="F246" s="1729"/>
      <c r="G246" s="1729"/>
      <c r="H246" s="1729"/>
      <c r="I246" s="2602"/>
      <c r="J246" s="1729"/>
      <c r="K246" s="1729"/>
      <c r="L246" s="2602"/>
      <c r="M246" s="1729"/>
      <c r="N246" s="1729"/>
      <c r="O246" s="1729"/>
      <c r="P246" s="1729"/>
      <c r="Q246" s="1729"/>
      <c r="R246" s="1729"/>
      <c r="S246" s="1729"/>
      <c r="T246" s="1729"/>
    </row>
    <row r="247" spans="1:20" ht="13">
      <c r="A247" s="1729"/>
      <c r="B247" s="1729"/>
      <c r="C247" s="1729"/>
      <c r="D247" s="2509"/>
      <c r="E247" s="2509"/>
      <c r="F247" s="1729"/>
      <c r="G247" s="1729"/>
      <c r="H247" s="1729"/>
      <c r="I247" s="2603"/>
      <c r="J247" s="2603"/>
      <c r="K247" s="2604"/>
      <c r="L247" s="2509"/>
      <c r="M247" s="1729"/>
      <c r="N247" s="1729"/>
      <c r="O247" s="1729"/>
      <c r="P247" s="1729"/>
      <c r="Q247" s="1729"/>
      <c r="R247" s="1729"/>
      <c r="S247" s="1729"/>
      <c r="T247" s="1729"/>
    </row>
    <row r="248" spans="1:20" ht="13">
      <c r="A248" s="2503"/>
      <c r="B248" s="2503"/>
      <c r="C248" s="2503"/>
      <c r="D248" s="2503"/>
      <c r="E248" s="2503"/>
      <c r="F248" s="2503"/>
      <c r="G248" s="2503"/>
      <c r="H248" s="2503"/>
      <c r="I248" s="2503"/>
      <c r="J248" s="2503"/>
      <c r="K248" s="2503"/>
      <c r="L248" s="2503"/>
      <c r="M248" s="2503"/>
      <c r="N248" s="2503"/>
      <c r="O248" s="2503"/>
      <c r="P248" s="2503"/>
      <c r="Q248" s="2503"/>
      <c r="R248" s="2503"/>
      <c r="S248" s="2503"/>
      <c r="T248" s="2503"/>
    </row>
    <row r="249" spans="1:20" ht="14.5" customHeight="1">
      <c r="A249" s="2553" t="s">
        <v>572</v>
      </c>
      <c r="B249" s="2553" t="s">
        <v>5073</v>
      </c>
      <c r="C249" s="1729"/>
      <c r="D249" s="1729"/>
      <c r="E249" s="1729"/>
      <c r="F249" s="1729"/>
      <c r="G249" s="1729"/>
      <c r="H249" s="1729"/>
      <c r="I249" s="1729"/>
      <c r="J249" s="2502" t="s">
        <v>259</v>
      </c>
      <c r="K249" s="2502"/>
      <c r="L249" s="2532"/>
      <c r="M249" s="2554" t="s">
        <v>459</v>
      </c>
      <c r="N249" s="2554"/>
      <c r="O249" s="1729"/>
      <c r="P249" s="2502" t="s">
        <v>260</v>
      </c>
      <c r="Q249" s="2502"/>
      <c r="R249" s="1729"/>
      <c r="S249" s="2502" t="s">
        <v>261</v>
      </c>
      <c r="T249" s="2502"/>
    </row>
    <row r="250" spans="1:20" ht="13">
      <c r="A250" s="1729"/>
      <c r="B250" s="1729"/>
      <c r="C250" s="1729"/>
      <c r="D250" s="1729"/>
      <c r="E250" s="1729"/>
      <c r="F250" s="1729"/>
      <c r="G250" s="2502" t="s">
        <v>95</v>
      </c>
      <c r="H250" s="2502"/>
      <c r="I250" s="1729"/>
      <c r="J250" s="2502"/>
      <c r="K250" s="2502"/>
      <c r="L250" s="2532"/>
      <c r="M250" s="2554"/>
      <c r="N250" s="2554"/>
      <c r="O250" s="1729"/>
      <c r="P250" s="2502"/>
      <c r="Q250" s="2502"/>
      <c r="R250" s="1729"/>
      <c r="S250" s="2502"/>
      <c r="T250" s="2502"/>
    </row>
    <row r="251" spans="1:20" ht="13">
      <c r="A251" s="1729"/>
      <c r="B251" s="2502" t="s">
        <v>567</v>
      </c>
      <c r="C251" s="2509"/>
      <c r="D251" s="1729"/>
      <c r="E251" s="1729"/>
      <c r="F251" s="1729"/>
      <c r="G251" s="1729"/>
      <c r="H251" s="2603"/>
      <c r="I251" s="2603"/>
      <c r="J251" s="2532"/>
      <c r="K251" s="2532"/>
      <c r="L251" s="1729"/>
      <c r="M251" s="2532"/>
      <c r="N251" s="2532"/>
      <c r="O251" s="2557" t="str">
        <f>B251</f>
        <v>OTHER COSTS</v>
      </c>
      <c r="P251" s="2532"/>
      <c r="Q251" s="2532"/>
      <c r="R251" s="1729"/>
      <c r="S251" s="2532"/>
      <c r="T251" s="2532"/>
    </row>
    <row r="252" spans="1:20" ht="13">
      <c r="A252" s="1729"/>
      <c r="B252" s="1729" t="s">
        <v>568</v>
      </c>
      <c r="C252" s="2509"/>
      <c r="D252" s="1729"/>
      <c r="E252" s="1729"/>
      <c r="F252" s="1729"/>
      <c r="G252" s="2532">
        <f>'Part III-A-Uses of Funds'!G142</f>
        <v>0</v>
      </c>
      <c r="H252" s="2532"/>
      <c r="I252" s="1729"/>
      <c r="J252" s="2532">
        <f>'Part III-A-Uses of Funds'!J142</f>
        <v>0</v>
      </c>
      <c r="K252" s="2532"/>
      <c r="L252" s="2557"/>
      <c r="M252" s="2532">
        <f>'Part III-A-Uses of Funds'!M142</f>
        <v>0</v>
      </c>
      <c r="N252" s="2532"/>
      <c r="O252" s="1729"/>
      <c r="P252" s="2532">
        <f>'Part III-A-Uses of Funds'!P142</f>
        <v>0</v>
      </c>
      <c r="Q252" s="2532"/>
      <c r="R252" s="1729"/>
      <c r="S252" s="2532">
        <f>'Part III-A-Uses of Funds'!S142</f>
        <v>0</v>
      </c>
      <c r="T252" s="2532"/>
    </row>
    <row r="253" spans="1:20" ht="16" customHeight="1">
      <c r="A253" s="2555" t="str">
        <f>IF(AND(G253&gt;0,OR(C253="",C253="&lt;Enter detailed description here; use Comments section if needed&gt;")),"X","")</f>
        <v/>
      </c>
      <c r="B253" s="2508" t="s">
        <v>4177</v>
      </c>
      <c r="C253" s="2474" t="str">
        <f>'Part III-A-Uses of Funds'!C143</f>
        <v>&lt;&lt; Enter description here; provide detail &amp; justification in tab Part III-b &gt;&gt;</v>
      </c>
      <c r="D253" s="2474"/>
      <c r="E253" s="2474"/>
      <c r="F253" s="2474"/>
      <c r="G253" s="2532">
        <f>'Part III-A-Uses of Funds'!G143</f>
        <v>0</v>
      </c>
      <c r="H253" s="2532"/>
      <c r="I253" s="1729"/>
      <c r="J253" s="2532">
        <f>'Part III-A-Uses of Funds'!J143</f>
        <v>0</v>
      </c>
      <c r="K253" s="2532"/>
      <c r="L253" s="2521"/>
      <c r="M253" s="2532">
        <f>'Part III-A-Uses of Funds'!M143</f>
        <v>0</v>
      </c>
      <c r="N253" s="2532"/>
      <c r="O253" s="1729"/>
      <c r="P253" s="2532">
        <f>'Part III-A-Uses of Funds'!P143</f>
        <v>0</v>
      </c>
      <c r="Q253" s="2532"/>
      <c r="R253" s="1729"/>
      <c r="S253" s="2532">
        <f>'Part III-A-Uses of Funds'!S143</f>
        <v>0</v>
      </c>
      <c r="T253" s="2532"/>
    </row>
    <row r="254" spans="1:20" ht="13">
      <c r="A254" s="1729"/>
      <c r="B254" s="1729"/>
      <c r="C254" s="2509"/>
      <c r="D254" s="1729"/>
      <c r="E254" s="1729"/>
      <c r="F254" s="2556" t="s">
        <v>184</v>
      </c>
      <c r="G254" s="2532">
        <f>SUM(G252:G253)</f>
        <v>0</v>
      </c>
      <c r="H254" s="2532"/>
      <c r="I254" s="1729"/>
      <c r="J254" s="2532">
        <f>SUM(J252:J253)</f>
        <v>0</v>
      </c>
      <c r="K254" s="2532"/>
      <c r="L254" s="2521"/>
      <c r="M254" s="2532">
        <f>SUM(M252:M253)</f>
        <v>0</v>
      </c>
      <c r="N254" s="2532"/>
      <c r="O254" s="1729"/>
      <c r="P254" s="2532">
        <f>SUM(P252:P253)</f>
        <v>0</v>
      </c>
      <c r="Q254" s="2532"/>
      <c r="R254" s="1729"/>
      <c r="S254" s="2532">
        <f>SUM(S252:S253)</f>
        <v>0</v>
      </c>
      <c r="T254" s="2532"/>
    </row>
    <row r="255" spans="1:20" ht="13">
      <c r="A255" s="1729"/>
      <c r="B255" s="1729"/>
      <c r="C255" s="2509"/>
      <c r="D255" s="1729"/>
      <c r="E255" s="1729"/>
      <c r="F255" s="1729"/>
      <c r="G255" s="1729"/>
      <c r="H255" s="2603"/>
      <c r="I255" s="2603"/>
      <c r="J255" s="1729"/>
      <c r="K255" s="1729"/>
      <c r="L255" s="1729"/>
      <c r="M255" s="1729"/>
      <c r="N255" s="1729"/>
      <c r="O255" s="1729"/>
      <c r="P255" s="1729"/>
      <c r="Q255" s="1729"/>
      <c r="R255" s="1729"/>
      <c r="S255" s="1729"/>
      <c r="T255" s="1729"/>
    </row>
    <row r="256" spans="1:20" ht="14">
      <c r="A256" s="1729"/>
      <c r="B256" s="2605" t="s">
        <v>5074</v>
      </c>
      <c r="C256" s="1729"/>
      <c r="D256" s="1729"/>
      <c r="E256" s="2558"/>
      <c r="F256" s="2606"/>
      <c r="G256" s="2554">
        <f>G128+G134+G138+G146+G151+G156+G165+G183+G196+G202+G213+G224+G230+G237+G245+G254</f>
        <v>0</v>
      </c>
      <c r="H256" s="2554"/>
      <c r="I256" s="1729"/>
      <c r="J256" s="2554">
        <f>J128+J134+J138+J146+J151+J156+J165+J183+J196+J202+J213+J224+J230+J237+J245+J254</f>
        <v>0</v>
      </c>
      <c r="K256" s="2554"/>
      <c r="L256" s="1729"/>
      <c r="M256" s="2554">
        <f>M128+M134+M138+M146+M151+M156+M165+M183+M196+M202+M213+M224+M230+M237+M245+M254</f>
        <v>0</v>
      </c>
      <c r="N256" s="2554"/>
      <c r="O256" s="1729"/>
      <c r="P256" s="2554">
        <f>P128+P134+P138+P146+P151+P156+P165+P183+P196+P202+P213+P224+P230+P237+P245+P254</f>
        <v>0</v>
      </c>
      <c r="Q256" s="2554"/>
      <c r="R256" s="1729"/>
      <c r="S256" s="2554">
        <f>S128+S134+S138+S146+S151+S156+S165+S183+S196+S202+S213+S224+S230+S237+S245+S254</f>
        <v>0</v>
      </c>
      <c r="T256" s="2554"/>
    </row>
    <row r="257" spans="1:20" ht="13">
      <c r="A257" s="1729"/>
      <c r="B257" s="1729"/>
      <c r="C257" s="2509"/>
      <c r="D257" s="1729"/>
      <c r="E257" s="1729"/>
      <c r="F257" s="1729"/>
      <c r="G257" s="1729"/>
      <c r="H257" s="2603"/>
      <c r="I257" s="2603"/>
      <c r="J257" s="1729"/>
      <c r="K257" s="1729"/>
      <c r="L257" s="1729"/>
      <c r="M257" s="1729"/>
      <c r="N257" s="1729"/>
      <c r="O257" s="1729"/>
      <c r="P257" s="1729"/>
      <c r="Q257" s="1729"/>
      <c r="R257" s="1729"/>
      <c r="S257" s="1729"/>
      <c r="T257" s="1729"/>
    </row>
    <row r="258" spans="1:20" ht="13">
      <c r="A258" s="1729"/>
      <c r="B258" s="2607" t="s">
        <v>5075</v>
      </c>
      <c r="C258" s="2571"/>
      <c r="D258" s="2608">
        <f>IF('Part V-Revenues &amp; Expenses'!$P$67=0,0,G256/'Part V-Revenues &amp; Expenses'!$P$67)</f>
        <v>0</v>
      </c>
      <c r="E258" s="2608"/>
      <c r="F258" s="2588" t="s">
        <v>2481</v>
      </c>
      <c r="G258" s="2608">
        <f>IF('Part V-Revenues &amp; Expenses'!$K$179=0,0,G256/'Part V-Revenues &amp; Expenses'!$K$179)</f>
        <v>0</v>
      </c>
      <c r="H258" s="2608"/>
      <c r="I258" s="2602"/>
      <c r="J258" s="1729"/>
      <c r="K258" s="1729"/>
      <c r="L258" s="1729"/>
      <c r="M258" s="1729"/>
      <c r="N258" s="1729"/>
      <c r="O258" s="1729"/>
      <c r="P258" s="1729"/>
      <c r="Q258" s="1729"/>
      <c r="R258" s="1729"/>
      <c r="S258" s="1729"/>
      <c r="T258" s="1729"/>
    </row>
    <row r="259" spans="1:20" ht="13">
      <c r="A259" s="1729"/>
      <c r="B259" s="2607"/>
      <c r="C259" s="2571"/>
      <c r="D259" s="2609"/>
      <c r="E259" s="2609"/>
      <c r="F259" s="2588"/>
      <c r="G259" s="2608"/>
      <c r="H259" s="2608"/>
      <c r="I259" s="2602"/>
      <c r="J259" s="1729"/>
      <c r="K259" s="1729"/>
      <c r="L259" s="1729"/>
      <c r="M259" s="1729"/>
      <c r="N259" s="1729"/>
      <c r="O259" s="1729"/>
      <c r="P259" s="1729"/>
      <c r="Q259" s="1729"/>
      <c r="R259" s="1729"/>
      <c r="S259" s="1729"/>
      <c r="T259" s="1729"/>
    </row>
    <row r="260" spans="1:20" ht="14.15" customHeight="1">
      <c r="A260" s="2553" t="s">
        <v>688</v>
      </c>
      <c r="B260" s="2610" t="s">
        <v>1339</v>
      </c>
      <c r="C260" s="2503"/>
      <c r="D260" s="2521"/>
      <c r="E260" s="2521"/>
      <c r="F260" s="2521"/>
      <c r="G260" s="1729"/>
      <c r="H260" s="1729"/>
      <c r="I260" s="2611"/>
      <c r="J260" s="2502" t="s">
        <v>259</v>
      </c>
      <c r="K260" s="2502"/>
      <c r="L260" s="1729"/>
      <c r="M260" s="2502" t="s">
        <v>94</v>
      </c>
      <c r="N260" s="2502"/>
      <c r="O260" s="1729"/>
      <c r="P260" s="2502" t="s">
        <v>260</v>
      </c>
      <c r="Q260" s="2502"/>
      <c r="R260" s="1729"/>
      <c r="S260" s="1729"/>
      <c r="T260" s="1729"/>
    </row>
    <row r="261" spans="1:20" ht="13">
      <c r="A261" s="1729"/>
      <c r="B261" s="2512" t="s">
        <v>1889</v>
      </c>
      <c r="C261" s="1729"/>
      <c r="D261" s="2521"/>
      <c r="E261" s="2521"/>
      <c r="F261" s="1729"/>
      <c r="G261" s="1729"/>
      <c r="H261" s="1729"/>
      <c r="I261" s="2611"/>
      <c r="J261" s="2502"/>
      <c r="K261" s="2502"/>
      <c r="L261" s="2503"/>
      <c r="M261" s="2502"/>
      <c r="N261" s="2502"/>
      <c r="O261" s="1729"/>
      <c r="P261" s="2502"/>
      <c r="Q261" s="2502"/>
      <c r="R261" s="1729"/>
      <c r="S261" s="1729"/>
      <c r="T261" s="1729"/>
    </row>
    <row r="262" spans="1:20" ht="13">
      <c r="A262" s="1729"/>
      <c r="B262" s="1729"/>
      <c r="C262" s="1729"/>
      <c r="D262" s="2509"/>
      <c r="E262" s="2509"/>
      <c r="F262" s="1729"/>
      <c r="G262" s="1729"/>
      <c r="H262" s="1729"/>
      <c r="I262" s="2603"/>
      <c r="J262" s="2603"/>
      <c r="K262" s="2604"/>
      <c r="L262" s="2509"/>
      <c r="M262" s="1729"/>
      <c r="N262" s="1729"/>
      <c r="O262" s="1729"/>
      <c r="P262" s="1729"/>
      <c r="Q262" s="1729"/>
      <c r="R262" s="1729"/>
      <c r="S262" s="1729"/>
      <c r="T262" s="1729"/>
    </row>
    <row r="263" spans="1:20" ht="13">
      <c r="A263" s="1729"/>
      <c r="B263" s="2509" t="s">
        <v>138</v>
      </c>
      <c r="C263" s="1729"/>
      <c r="D263" s="1729"/>
      <c r="E263" s="1729"/>
      <c r="F263" s="1729"/>
      <c r="G263" s="1729"/>
      <c r="H263" s="1729"/>
      <c r="I263" s="2611"/>
      <c r="J263" s="2532">
        <f>'Part III-A-Uses of Funds'!J153</f>
        <v>0</v>
      </c>
      <c r="K263" s="2532"/>
      <c r="L263" s="1729"/>
      <c r="M263" s="1729"/>
      <c r="N263" s="1729"/>
      <c r="O263" s="1729"/>
      <c r="P263" s="2532">
        <f>'Part III-A-Uses of Funds'!P153</f>
        <v>0</v>
      </c>
      <c r="Q263" s="2532"/>
      <c r="R263" s="1729"/>
      <c r="S263" s="1729"/>
      <c r="T263" s="1729"/>
    </row>
    <row r="264" spans="1:20" ht="13">
      <c r="A264" s="1729"/>
      <c r="B264" s="1729" t="s">
        <v>1993</v>
      </c>
      <c r="C264" s="1729"/>
      <c r="D264" s="1729"/>
      <c r="E264" s="1729"/>
      <c r="F264" s="1729"/>
      <c r="G264" s="1729"/>
      <c r="H264" s="1729"/>
      <c r="I264" s="2611"/>
      <c r="J264" s="2532">
        <f>'Part III-A-Uses of Funds'!J154</f>
        <v>0</v>
      </c>
      <c r="K264" s="2532"/>
      <c r="L264" s="1729"/>
      <c r="M264" s="1729"/>
      <c r="N264" s="1729"/>
      <c r="O264" s="1729"/>
      <c r="P264" s="2532">
        <f>'Part III-A-Uses of Funds'!P154</f>
        <v>0</v>
      </c>
      <c r="Q264" s="2532"/>
      <c r="R264" s="1729"/>
      <c r="S264" s="1729"/>
      <c r="T264" s="1729"/>
    </row>
    <row r="265" spans="1:20" ht="13">
      <c r="A265" s="1729"/>
      <c r="B265" s="1729" t="s">
        <v>1722</v>
      </c>
      <c r="C265" s="1729"/>
      <c r="D265" s="1729"/>
      <c r="E265" s="1729"/>
      <c r="F265" s="1729"/>
      <c r="G265" s="1729"/>
      <c r="H265" s="1729"/>
      <c r="I265" s="2611"/>
      <c r="J265" s="2532">
        <f>'Part III-A-Uses of Funds'!J155</f>
        <v>0</v>
      </c>
      <c r="K265" s="2532"/>
      <c r="L265" s="1729"/>
      <c r="M265" s="1729"/>
      <c r="N265" s="1729"/>
      <c r="O265" s="1729"/>
      <c r="P265" s="2532">
        <f>'Part III-A-Uses of Funds'!P155</f>
        <v>0</v>
      </c>
      <c r="Q265" s="2532"/>
      <c r="R265" s="1729"/>
      <c r="S265" s="1729"/>
      <c r="T265" s="1729"/>
    </row>
    <row r="266" spans="1:20" ht="13">
      <c r="A266" s="1729"/>
      <c r="B266" s="1729" t="s">
        <v>1723</v>
      </c>
      <c r="C266" s="1729"/>
      <c r="D266" s="1729"/>
      <c r="E266" s="1729"/>
      <c r="F266" s="1729"/>
      <c r="G266" s="1729"/>
      <c r="H266" s="1729"/>
      <c r="I266" s="2611"/>
      <c r="J266" s="2532">
        <f>'Part III-A-Uses of Funds'!J156</f>
        <v>0</v>
      </c>
      <c r="K266" s="2532"/>
      <c r="L266" s="1729"/>
      <c r="M266" s="1729"/>
      <c r="N266" s="1729"/>
      <c r="O266" s="1729"/>
      <c r="P266" s="2532">
        <f>'Part III-A-Uses of Funds'!P156</f>
        <v>0</v>
      </c>
      <c r="Q266" s="2532"/>
      <c r="R266" s="1729"/>
      <c r="S266" s="1729"/>
      <c r="T266" s="1729"/>
    </row>
    <row r="267" spans="1:20" ht="13">
      <c r="A267" s="1729"/>
      <c r="B267" s="1729" t="s">
        <v>243</v>
      </c>
      <c r="C267" s="1729"/>
      <c r="D267" s="1729"/>
      <c r="E267" s="1729"/>
      <c r="F267" s="1729"/>
      <c r="G267" s="1729"/>
      <c r="H267" s="1729"/>
      <c r="I267" s="2611"/>
      <c r="J267" s="2532">
        <f>'Part III-A-Uses of Funds'!J157</f>
        <v>0</v>
      </c>
      <c r="K267" s="2532"/>
      <c r="L267" s="1729"/>
      <c r="M267" s="1729"/>
      <c r="N267" s="1729"/>
      <c r="O267" s="1729"/>
      <c r="P267" s="2532">
        <f>'Part III-A-Uses of Funds'!P157</f>
        <v>0</v>
      </c>
      <c r="Q267" s="2532"/>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2">
        <f>'Part III-A-Uses of Funds'!J158</f>
        <v>0</v>
      </c>
      <c r="K268" s="2532"/>
      <c r="L268" s="1729"/>
      <c r="M268" s="1729"/>
      <c r="N268" s="1729"/>
      <c r="O268" s="1729"/>
      <c r="P268" s="2532">
        <f>'Part III-A-Uses of Funds'!P158</f>
        <v>0</v>
      </c>
      <c r="Q268" s="2532"/>
      <c r="R268" s="1729"/>
      <c r="S268" s="1729"/>
      <c r="T268" s="1729"/>
    </row>
    <row r="269" spans="1:20" ht="13">
      <c r="A269" s="1729"/>
      <c r="B269" s="2502" t="s">
        <v>1724</v>
      </c>
      <c r="C269" s="2612"/>
      <c r="D269" s="1729"/>
      <c r="E269" s="1729"/>
      <c r="F269" s="1729"/>
      <c r="G269" s="1729"/>
      <c r="H269" s="1729"/>
      <c r="I269" s="1729"/>
      <c r="J269" s="2536">
        <f>SUM(J263:K268)</f>
        <v>0</v>
      </c>
      <c r="K269" s="2536"/>
      <c r="L269" s="1729"/>
      <c r="M269" s="1729"/>
      <c r="N269" s="1729"/>
      <c r="O269" s="1729"/>
      <c r="P269" s="2536">
        <f>SUM(P263:Q268)</f>
        <v>0</v>
      </c>
      <c r="Q269" s="2536"/>
      <c r="R269" s="1729"/>
      <c r="S269" s="1729"/>
      <c r="T269" s="1729"/>
    </row>
    <row r="270" spans="1:20" ht="13">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
      <c r="A271" s="1729"/>
      <c r="B271" s="2502"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3" customHeight="1">
      <c r="A272" s="1729"/>
      <c r="B272" s="1729" t="s">
        <v>1660</v>
      </c>
      <c r="C272" s="1729"/>
      <c r="D272" s="1729"/>
      <c r="E272" s="1729"/>
      <c r="F272" s="1729"/>
      <c r="G272" s="1729"/>
      <c r="H272" s="1729"/>
      <c r="I272" s="1729"/>
      <c r="J272" s="2537">
        <f>J256</f>
        <v>0</v>
      </c>
      <c r="K272" s="2537"/>
      <c r="L272" s="1729"/>
      <c r="M272" s="2537">
        <f>M256</f>
        <v>0</v>
      </c>
      <c r="N272" s="2537"/>
      <c r="O272" s="1729"/>
      <c r="P272" s="2537">
        <f>P256</f>
        <v>0</v>
      </c>
      <c r="Q272" s="2537"/>
      <c r="R272" s="2613" t="s">
        <v>4756</v>
      </c>
      <c r="S272" s="2613"/>
      <c r="T272" s="2613"/>
    </row>
    <row r="273" spans="1:20" ht="13">
      <c r="A273" s="1729"/>
      <c r="B273" s="1729" t="s">
        <v>2047</v>
      </c>
      <c r="C273" s="1729"/>
      <c r="D273" s="1729"/>
      <c r="E273" s="1729"/>
      <c r="F273" s="1729"/>
      <c r="G273" s="1729"/>
      <c r="H273" s="1729"/>
      <c r="I273" s="1729"/>
      <c r="J273" s="2537">
        <f>J269</f>
        <v>0</v>
      </c>
      <c r="K273" s="2537"/>
      <c r="L273" s="1729"/>
      <c r="M273" s="2537"/>
      <c r="N273" s="2537"/>
      <c r="O273" s="1729"/>
      <c r="P273" s="2537">
        <f>P269</f>
        <v>0</v>
      </c>
      <c r="Q273" s="2537"/>
      <c r="R273" s="2613"/>
      <c r="S273" s="2613"/>
      <c r="T273" s="2613"/>
    </row>
    <row r="274" spans="1:20" ht="13" customHeight="1">
      <c r="A274" s="1729"/>
      <c r="B274" s="1729" t="s">
        <v>2048</v>
      </c>
      <c r="C274" s="1729"/>
      <c r="D274" s="1729"/>
      <c r="E274" s="1729"/>
      <c r="F274" s="1729"/>
      <c r="G274" s="1729"/>
      <c r="H274" s="1729"/>
      <c r="I274" s="1729"/>
      <c r="J274" s="2537">
        <f>J272-J273</f>
        <v>0</v>
      </c>
      <c r="K274" s="2537"/>
      <c r="L274" s="1729"/>
      <c r="M274" s="2537">
        <f>M272</f>
        <v>0</v>
      </c>
      <c r="N274" s="2537"/>
      <c r="O274" s="1729"/>
      <c r="P274" s="2537">
        <f>P272-P273</f>
        <v>0</v>
      </c>
      <c r="Q274" s="2537"/>
      <c r="R274" s="2508" t="str">
        <f>'Part III-A-Uses of Funds'!R164</f>
        <v>&lt;&lt; Select Category of Eligibility&gt;&gt;</v>
      </c>
      <c r="S274" s="2508"/>
      <c r="T274" s="2508"/>
    </row>
    <row r="275" spans="1:20" ht="13">
      <c r="A275" s="1729"/>
      <c r="B275" s="1729" t="s">
        <v>1388</v>
      </c>
      <c r="C275" s="1729"/>
      <c r="D275" s="1729"/>
      <c r="E275" s="1729"/>
      <c r="F275" s="1729"/>
      <c r="G275" s="1534" t="s">
        <v>1591</v>
      </c>
      <c r="H275" s="1729" t="str">
        <f>'Part III-A-Uses of Funds'!H165</f>
        <v>&lt;&lt;Select&gt;&gt;</v>
      </c>
      <c r="I275" s="1729"/>
      <c r="J275" s="2614">
        <f>'Part III-A-Uses of Funds'!J165</f>
        <v>0</v>
      </c>
      <c r="K275" s="2614"/>
      <c r="L275" s="1729"/>
      <c r="M275" s="2614"/>
      <c r="N275" s="2614"/>
      <c r="O275" s="1729"/>
      <c r="P275" s="2614">
        <f>'Part III-A-Uses of Funds'!P165</f>
        <v>0</v>
      </c>
      <c r="Q275" s="2614"/>
      <c r="R275" s="2508"/>
      <c r="S275" s="2508"/>
      <c r="T275" s="2508"/>
    </row>
    <row r="276" spans="1:20" ht="13">
      <c r="A276" s="1729"/>
      <c r="B276" s="1729" t="s">
        <v>1898</v>
      </c>
      <c r="C276" s="1729"/>
      <c r="D276" s="1729"/>
      <c r="E276" s="1729"/>
      <c r="F276" s="1729"/>
      <c r="G276" s="1729"/>
      <c r="H276" s="1729"/>
      <c r="I276" s="1729"/>
      <c r="J276" s="2537">
        <f>J274*J275</f>
        <v>0</v>
      </c>
      <c r="K276" s="2537"/>
      <c r="L276" s="1729"/>
      <c r="M276" s="2537">
        <f>+M274</f>
        <v>0</v>
      </c>
      <c r="N276" s="2537"/>
      <c r="O276" s="1729"/>
      <c r="P276" s="2537">
        <f>P274*P275</f>
        <v>0</v>
      </c>
      <c r="Q276" s="2537"/>
      <c r="R276" s="2508"/>
      <c r="S276" s="2508"/>
      <c r="T276" s="2508"/>
    </row>
    <row r="277" spans="1:20" ht="13">
      <c r="A277" s="1729"/>
      <c r="B277" s="1729" t="s">
        <v>2333</v>
      </c>
      <c r="C277" s="1729"/>
      <c r="D277" s="1729"/>
      <c r="E277" s="1729"/>
      <c r="F277" s="1729"/>
      <c r="G277" s="1729"/>
      <c r="H277" s="1729"/>
      <c r="I277" s="1729"/>
      <c r="J277" s="2615" t="e">
        <f>MIN('Part V-Revenues &amp; Expenses'!$P$63/'Part V-Revenues &amp; Expenses'!$P$65,'Part V-Revenues &amp; Expenses'!$P$168/'Part V-Revenues &amp; Expenses'!$P$170)</f>
        <v>#DIV/0!</v>
      </c>
      <c r="K277" s="2615"/>
      <c r="L277" s="1729"/>
      <c r="M277" s="2615" t="e">
        <f>MIN('Part V-Revenues &amp; Expenses'!$P$63/'Part V-Revenues &amp; Expenses'!$P$65,'Part V-Revenues &amp; Expenses'!$P$168/'Part V-Revenues &amp; Expenses'!$P$170)</f>
        <v>#DIV/0!</v>
      </c>
      <c r="N277" s="2615"/>
      <c r="O277" s="1729"/>
      <c r="P277" s="2615" t="e">
        <f>MIN('Part V-Revenues &amp; Expenses'!$P$63/'Part V-Revenues &amp; Expenses'!$P$65,'Part V-Revenues &amp; Expenses'!$P$168/'Part V-Revenues &amp; Expenses'!$P$170)</f>
        <v>#DIV/0!</v>
      </c>
      <c r="Q277" s="2615"/>
      <c r="R277" s="2616" t="str">
        <f>'Part III-A-Uses of Funds'!R167</f>
        <v>&lt;&lt;Select % of Eligible Basis&gt;&gt;</v>
      </c>
      <c r="S277" s="2616"/>
      <c r="T277" s="2616"/>
    </row>
    <row r="278" spans="1:20" ht="13">
      <c r="A278" s="1729"/>
      <c r="B278" s="1729" t="s">
        <v>1890</v>
      </c>
      <c r="C278" s="1729"/>
      <c r="D278" s="1729"/>
      <c r="E278" s="1729"/>
      <c r="F278" s="1729"/>
      <c r="G278" s="1729"/>
      <c r="H278" s="1729"/>
      <c r="I278" s="1729"/>
      <c r="J278" s="2537" t="e">
        <f>J276*J277</f>
        <v>#DIV/0!</v>
      </c>
      <c r="K278" s="2537"/>
      <c r="L278" s="1729"/>
      <c r="M278" s="2537" t="e">
        <f>M276*M277</f>
        <v>#DIV/0!</v>
      </c>
      <c r="N278" s="2537"/>
      <c r="O278" s="1729"/>
      <c r="P278" s="2537" t="e">
        <f>P276*P277</f>
        <v>#DIV/0!</v>
      </c>
      <c r="Q278" s="2537"/>
      <c r="R278" s="1729"/>
      <c r="S278" s="1729"/>
      <c r="T278" s="1729"/>
    </row>
    <row r="279" spans="1:20" ht="13">
      <c r="A279" s="1729"/>
      <c r="B279" s="1729" t="s">
        <v>1891</v>
      </c>
      <c r="C279" s="1729"/>
      <c r="D279" s="1729"/>
      <c r="E279" s="1729"/>
      <c r="F279" s="1729"/>
      <c r="G279" s="1729"/>
      <c r="H279" s="1729"/>
      <c r="I279" s="1729"/>
      <c r="J279" s="2614">
        <f>'Part III-A-Uses of Funds'!J169</f>
        <v>0</v>
      </c>
      <c r="K279" s="2614"/>
      <c r="L279" s="1729"/>
      <c r="M279" s="2614">
        <f>'Part III-A-Uses of Funds'!M169</f>
        <v>0</v>
      </c>
      <c r="N279" s="2614"/>
      <c r="O279" s="1729"/>
      <c r="P279" s="2614">
        <f>'Part III-A-Uses of Funds'!P169</f>
        <v>0</v>
      </c>
      <c r="Q279" s="2614"/>
      <c r="R279" s="1729"/>
      <c r="S279" s="1729"/>
      <c r="T279" s="1729"/>
    </row>
    <row r="280" spans="1:20" ht="13">
      <c r="A280" s="1729"/>
      <c r="B280" s="1729" t="s">
        <v>2334</v>
      </c>
      <c r="C280" s="1729"/>
      <c r="D280" s="1729"/>
      <c r="E280" s="1729"/>
      <c r="F280" s="1729"/>
      <c r="G280" s="1729"/>
      <c r="H280" s="1729"/>
      <c r="I280" s="1729"/>
      <c r="J280" s="2537" t="e">
        <f>J278*J279</f>
        <v>#DIV/0!</v>
      </c>
      <c r="K280" s="2537"/>
      <c r="L280" s="1729"/>
      <c r="M280" s="2537" t="e">
        <f>M278*M279</f>
        <v>#DIV/0!</v>
      </c>
      <c r="N280" s="2537"/>
      <c r="O280" s="1729"/>
      <c r="P280" s="2537" t="e">
        <f>P278*P279</f>
        <v>#DIV/0!</v>
      </c>
      <c r="Q280" s="2537"/>
      <c r="R280" s="1729"/>
      <c r="S280" s="1729"/>
      <c r="T280" s="1729"/>
    </row>
    <row r="281" spans="1:20" ht="13">
      <c r="A281" s="1729"/>
      <c r="B281" s="2502" t="s">
        <v>1337</v>
      </c>
      <c r="C281" s="1729"/>
      <c r="D281" s="1729"/>
      <c r="E281" s="1729"/>
      <c r="F281" s="1729"/>
      <c r="G281" s="1729"/>
      <c r="H281" s="1729"/>
      <c r="I281" s="1729"/>
      <c r="J281" s="2536" t="e">
        <f>ROUNDDOWN(J280+M280+P280,0)</f>
        <v>#DIV/0!</v>
      </c>
      <c r="K281" s="2536"/>
      <c r="L281" s="2536"/>
      <c r="M281" s="2536"/>
      <c r="N281" s="2536"/>
      <c r="O281" s="2536"/>
      <c r="P281" s="2536"/>
      <c r="Q281" s="2536"/>
      <c r="R281" s="1729"/>
      <c r="S281" s="1729"/>
      <c r="T281" s="1729"/>
    </row>
    <row r="282" spans="1:20" ht="13">
      <c r="A282" s="1729"/>
      <c r="B282" s="2617"/>
      <c r="C282" s="1729"/>
      <c r="D282" s="1729"/>
      <c r="E282" s="1729"/>
      <c r="F282" s="1729"/>
      <c r="G282" s="1729"/>
      <c r="H282" s="1729"/>
      <c r="I282" s="1729"/>
      <c r="J282" s="1729"/>
      <c r="K282" s="1729"/>
      <c r="L282" s="2542"/>
      <c r="M282" s="2542"/>
      <c r="N282" s="2542"/>
      <c r="O282" s="2542"/>
      <c r="P282" s="1729"/>
      <c r="Q282" s="1729"/>
      <c r="R282" s="1729"/>
      <c r="S282" s="1729"/>
      <c r="T282" s="1729"/>
    </row>
    <row r="283" spans="1:20" ht="14">
      <c r="A283" s="2618" t="s">
        <v>690</v>
      </c>
      <c r="B283" s="2618" t="s">
        <v>1340</v>
      </c>
      <c r="C283" s="1729"/>
      <c r="D283" s="1729"/>
      <c r="E283" s="1729"/>
      <c r="F283" s="1729"/>
      <c r="G283" s="1729"/>
      <c r="H283" s="2603"/>
      <c r="I283" s="2603"/>
      <c r="J283" s="1729"/>
      <c r="K283" s="1729"/>
      <c r="L283" s="1729"/>
      <c r="M283" s="2619"/>
      <c r="N283" s="1729"/>
      <c r="O283" s="1729"/>
      <c r="P283" s="1729"/>
      <c r="Q283" s="1729"/>
      <c r="R283" s="1729"/>
      <c r="S283" s="1729"/>
      <c r="T283" s="1729"/>
    </row>
    <row r="284" spans="1:20" ht="13">
      <c r="A284" s="1729"/>
      <c r="B284" s="1729"/>
      <c r="C284" s="1729"/>
      <c r="D284" s="1729"/>
      <c r="E284" s="1729"/>
      <c r="F284" s="1729"/>
      <c r="G284" s="1729"/>
      <c r="H284" s="2603"/>
      <c r="I284" s="2603"/>
      <c r="J284" s="1729"/>
      <c r="K284" s="1729"/>
      <c r="L284" s="1729"/>
      <c r="M284" s="2619"/>
      <c r="N284" s="1729"/>
      <c r="O284" s="2503"/>
      <c r="P284" s="2503"/>
      <c r="Q284" s="2503"/>
      <c r="R284" s="2503"/>
      <c r="S284" s="2503"/>
      <c r="T284" s="2503"/>
    </row>
    <row r="285" spans="1:20" ht="13">
      <c r="A285" s="1729"/>
      <c r="B285" s="2502"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3" customHeight="1">
      <c r="A286" s="1729"/>
      <c r="B286" s="1729" t="s">
        <v>5076</v>
      </c>
      <c r="C286" s="1729"/>
      <c r="D286" s="1729"/>
      <c r="E286" s="1729"/>
      <c r="F286" s="1729"/>
      <c r="G286" s="1729"/>
      <c r="H286" s="1729"/>
      <c r="I286" s="1729"/>
      <c r="J286" s="2537">
        <f>G256</f>
        <v>0</v>
      </c>
      <c r="K286" s="2537"/>
      <c r="L286" s="2537"/>
      <c r="M286" s="1729"/>
      <c r="N286" s="2613" t="s">
        <v>4615</v>
      </c>
      <c r="O286" s="2613"/>
      <c r="P286" s="2613"/>
      <c r="Q286" s="2613"/>
      <c r="R286" s="1729"/>
      <c r="S286" s="2508" t="s">
        <v>3104</v>
      </c>
      <c r="T286" s="2508"/>
    </row>
    <row r="287" spans="1:20" ht="13">
      <c r="A287" s="1729"/>
      <c r="B287" s="1729" t="s">
        <v>252</v>
      </c>
      <c r="C287" s="1729"/>
      <c r="D287" s="1729"/>
      <c r="E287" s="1729"/>
      <c r="F287" s="1729"/>
      <c r="G287" s="1729"/>
      <c r="H287" s="1729"/>
      <c r="I287" s="1729"/>
      <c r="J287" s="2537">
        <f>'Part II-Sources of Funds'!$I$60-'Part II-Sources of Funds'!$I$44-'Part II-Sources of Funds'!$I$45-'Part II-Sources of Funds'!$I$51-'Part II-Sources of Funds'!$I$52</f>
        <v>0</v>
      </c>
      <c r="K287" s="2537"/>
      <c r="L287" s="2537"/>
      <c r="M287" s="2613"/>
      <c r="N287" s="2613"/>
      <c r="O287" s="2613"/>
      <c r="P287" s="2613"/>
      <c r="Q287" s="2613"/>
      <c r="R287" s="1729"/>
      <c r="S287" s="2508"/>
      <c r="T287" s="2508"/>
    </row>
    <row r="288" spans="1:20" ht="13">
      <c r="A288" s="1729"/>
      <c r="B288" s="1729" t="s">
        <v>2059</v>
      </c>
      <c r="C288" s="1729"/>
      <c r="D288" s="1729"/>
      <c r="E288" s="1729"/>
      <c r="F288" s="1729"/>
      <c r="G288" s="1729"/>
      <c r="H288" s="1729"/>
      <c r="I288" s="1729"/>
      <c r="J288" s="2537">
        <f>+J286-J287</f>
        <v>0</v>
      </c>
      <c r="K288" s="2537"/>
      <c r="L288" s="2537"/>
      <c r="M288" s="2613"/>
      <c r="N288" s="2613"/>
      <c r="O288" s="2613"/>
      <c r="P288" s="2613"/>
      <c r="Q288" s="2613"/>
      <c r="R288" s="1729"/>
      <c r="S288" s="2508"/>
      <c r="T288" s="2508"/>
    </row>
    <row r="289" spans="1:20" ht="13">
      <c r="A289" s="1729"/>
      <c r="B289" s="1729" t="s">
        <v>1207</v>
      </c>
      <c r="C289" s="1729"/>
      <c r="D289" s="1729"/>
      <c r="E289" s="1729"/>
      <c r="F289" s="1729"/>
      <c r="G289" s="1729"/>
      <c r="H289" s="1729"/>
      <c r="I289" s="1729"/>
      <c r="J289" s="1729" t="str">
        <f>"/ 10"</f>
        <v>/ 10</v>
      </c>
      <c r="K289" s="1729"/>
      <c r="L289" s="1729"/>
      <c r="M289" s="2474"/>
      <c r="N289" s="2620">
        <f>'Part II-Sources of Funds'!$I$44</f>
        <v>0</v>
      </c>
      <c r="O289" s="2620"/>
      <c r="P289" s="2620"/>
      <c r="Q289" s="2620"/>
      <c r="R289" s="1729"/>
      <c r="S289" s="2529" t="s">
        <v>1546</v>
      </c>
      <c r="T289" s="2621">
        <f>'Part III-A-Uses of Funds'!T179</f>
        <v>0</v>
      </c>
    </row>
    <row r="290" spans="1:20" ht="13">
      <c r="A290" s="1729"/>
      <c r="B290" s="1729" t="s">
        <v>1208</v>
      </c>
      <c r="C290" s="1729"/>
      <c r="D290" s="1729"/>
      <c r="E290" s="1729"/>
      <c r="F290" s="1729"/>
      <c r="G290" s="1729"/>
      <c r="H290" s="1729"/>
      <c r="I290" s="1729"/>
      <c r="J290" s="2537">
        <f>J288/10</f>
        <v>0</v>
      </c>
      <c r="K290" s="2537"/>
      <c r="L290" s="2537"/>
      <c r="M290" s="1729"/>
      <c r="N290" s="2620"/>
      <c r="O290" s="2620"/>
      <c r="P290" s="2620"/>
      <c r="Q290" s="2620"/>
      <c r="R290" s="2620"/>
      <c r="S290" s="1729"/>
      <c r="T290" s="1729"/>
    </row>
    <row r="291" spans="1:20" ht="13">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
      <c r="A292" s="1729"/>
      <c r="B292" s="1729" t="s">
        <v>5077</v>
      </c>
      <c r="C292" s="1729"/>
      <c r="D292" s="1729"/>
      <c r="E292" s="1729"/>
      <c r="F292" s="1729"/>
      <c r="G292" s="1729"/>
      <c r="H292" s="1729"/>
      <c r="I292" s="1729"/>
      <c r="J292" s="2622">
        <f>N292+Q292</f>
        <v>0</v>
      </c>
      <c r="K292" s="2622"/>
      <c r="L292" s="2622"/>
      <c r="M292" s="1534" t="s">
        <v>1210</v>
      </c>
      <c r="N292" s="2623">
        <f>'Part III-A-Uses of Funds'!N182</f>
        <v>0</v>
      </c>
      <c r="O292" s="2623"/>
      <c r="P292" s="1534" t="s">
        <v>569</v>
      </c>
      <c r="Q292" s="2623">
        <f>'Part III-A-Uses of Funds'!Q182</f>
        <v>0</v>
      </c>
      <c r="R292" s="2623"/>
      <c r="S292" s="1729"/>
      <c r="T292" s="1729"/>
    </row>
    <row r="293" spans="1:20" ht="13">
      <c r="A293" s="1729"/>
      <c r="B293" s="2502" t="s">
        <v>1338</v>
      </c>
      <c r="C293" s="1729"/>
      <c r="D293" s="1729"/>
      <c r="E293" s="1729"/>
      <c r="F293" s="1729"/>
      <c r="G293" s="1729"/>
      <c r="H293" s="1729"/>
      <c r="I293" s="1729"/>
      <c r="J293" s="2536" t="e">
        <f>ROUNDDOWN(IF(J292=0,"",J290/J292),0)</f>
        <v>#VALUE!</v>
      </c>
      <c r="K293" s="2536"/>
      <c r="L293" s="2536"/>
      <c r="M293" s="377"/>
      <c r="N293" s="1729"/>
      <c r="O293" s="1729"/>
      <c r="P293" s="1729"/>
      <c r="Q293" s="1729"/>
      <c r="R293" s="1729"/>
      <c r="S293" s="1729"/>
      <c r="T293" s="1729"/>
    </row>
    <row r="294" spans="1:20" ht="13">
      <c r="A294" s="1729"/>
      <c r="B294" s="1729"/>
      <c r="C294" s="1729"/>
      <c r="D294" s="1729"/>
      <c r="E294" s="1729"/>
      <c r="F294" s="1729"/>
      <c r="G294" s="1729"/>
      <c r="H294" s="1729"/>
      <c r="I294" s="1729"/>
      <c r="J294" s="2624"/>
      <c r="K294" s="2624"/>
      <c r="L294" s="2624"/>
      <c r="M294" s="377"/>
      <c r="N294" s="1534"/>
      <c r="O294" s="1534"/>
      <c r="P294" s="1729"/>
      <c r="Q294" s="1729"/>
      <c r="R294" s="1729"/>
      <c r="S294" s="1729"/>
      <c r="T294" s="1729"/>
    </row>
    <row r="295" spans="1:20" ht="14">
      <c r="A295" s="2618" t="s">
        <v>1661</v>
      </c>
      <c r="B295" s="2618" t="s">
        <v>3813</v>
      </c>
      <c r="C295" s="1729"/>
      <c r="D295" s="1729"/>
      <c r="E295" s="1729"/>
      <c r="F295" s="1729"/>
      <c r="G295" s="1729"/>
      <c r="H295" s="2603"/>
      <c r="I295" s="2603"/>
      <c r="J295" s="1729"/>
      <c r="K295" s="1729"/>
      <c r="L295" s="1729"/>
      <c r="M295" s="1729"/>
      <c r="N295" s="1729"/>
      <c r="O295" s="1729"/>
      <c r="P295" s="1729"/>
      <c r="Q295" s="1729"/>
      <c r="R295" s="1729"/>
      <c r="S295" s="1729"/>
      <c r="T295" s="1729"/>
    </row>
    <row r="296" spans="1:20" ht="13">
      <c r="A296" s="1729"/>
      <c r="B296" s="1729"/>
      <c r="C296" s="1729"/>
      <c r="D296" s="1729"/>
      <c r="E296" s="1729"/>
      <c r="F296" s="1729"/>
      <c r="G296" s="1729"/>
      <c r="H296" s="2603"/>
      <c r="I296" s="2603"/>
      <c r="J296" s="1729"/>
      <c r="K296" s="1729"/>
      <c r="L296" s="1729"/>
      <c r="M296" s="1729"/>
      <c r="N296" s="1729"/>
      <c r="O296" s="1729"/>
      <c r="P296" s="1729"/>
      <c r="Q296" s="2564"/>
      <c r="R296" s="2564"/>
      <c r="S296" s="2625"/>
      <c r="T296" s="2625"/>
    </row>
    <row r="297" spans="1:20" ht="13">
      <c r="A297" s="1729"/>
      <c r="B297" s="2502" t="s">
        <v>5078</v>
      </c>
      <c r="C297" s="1729"/>
      <c r="D297" s="1729"/>
      <c r="E297" s="1729"/>
      <c r="F297" s="1729"/>
      <c r="G297" s="1729"/>
      <c r="H297" s="1729"/>
      <c r="I297" s="1729"/>
      <c r="J297" s="2536">
        <f>'Part III-A-Uses of Funds'!J187</f>
        <v>0</v>
      </c>
      <c r="K297" s="2536"/>
      <c r="L297" s="2536"/>
      <c r="M297" s="1729"/>
      <c r="N297" s="1729"/>
      <c r="O297" s="1729"/>
      <c r="P297" s="1729"/>
      <c r="Q297" s="2508" t="s">
        <v>4149</v>
      </c>
      <c r="R297" s="2508"/>
      <c r="S297" s="2508" t="str">
        <f>'Part VIII Scoring Criteria'!$J$12</f>
        <v>&lt;&lt; Select Pool &gt;&gt;</v>
      </c>
      <c r="T297" s="2508"/>
    </row>
    <row r="298" spans="1:20" ht="13">
      <c r="A298" s="1729"/>
      <c r="B298" s="1729"/>
      <c r="C298" s="1729"/>
      <c r="D298" s="1729"/>
      <c r="E298" s="1729"/>
      <c r="F298" s="1729"/>
      <c r="G298" s="1729"/>
      <c r="H298" s="1729"/>
      <c r="I298" s="1729"/>
      <c r="J298" s="2624"/>
      <c r="K298" s="2624"/>
      <c r="L298" s="2624"/>
      <c r="M298" s="377"/>
      <c r="N298" s="1534"/>
      <c r="O298" s="1534"/>
      <c r="P298" s="1729"/>
      <c r="Q298" s="2508"/>
      <c r="R298" s="2508"/>
      <c r="S298" s="2595"/>
      <c r="T298" s="2595"/>
    </row>
    <row r="299" spans="1:20" ht="13">
      <c r="A299" s="1729"/>
      <c r="B299" s="2502" t="s">
        <v>5079</v>
      </c>
      <c r="C299" s="1729"/>
      <c r="D299" s="1729"/>
      <c r="E299" s="1729"/>
      <c r="F299" s="1729"/>
      <c r="G299" s="1729"/>
      <c r="H299" s="1729"/>
      <c r="I299" s="1729"/>
      <c r="J299" s="2536">
        <f>'Part III-A-Uses of Funds'!J189</f>
        <v>0</v>
      </c>
      <c r="K299" s="2536"/>
      <c r="L299" s="2536"/>
      <c r="M299" s="2626" t="str">
        <f>IF(J297=0,"",IF(J299&gt;J297,"Request can't exceed Maximum - REVISE (Try Round Down)!",""))</f>
        <v/>
      </c>
      <c r="N299" s="2626"/>
      <c r="O299" s="2626"/>
      <c r="P299" s="2626"/>
      <c r="Q299" s="2595" t="s">
        <v>4443</v>
      </c>
      <c r="R299" s="2508"/>
      <c r="S299" s="2508" t="str">
        <f>'Part VIII Scoring Criteria'!$F$12</f>
        <v>&lt;&lt; Select Activity Type &gt;&gt;</v>
      </c>
      <c r="T299" s="2508"/>
    </row>
    <row r="300" spans="1:20" ht="13">
      <c r="A300" s="1729"/>
      <c r="B300" s="1729"/>
      <c r="C300" s="1729"/>
      <c r="D300" s="1729"/>
      <c r="E300" s="1729"/>
      <c r="F300" s="1729"/>
      <c r="G300" s="1729"/>
      <c r="H300" s="1729"/>
      <c r="I300" s="1729"/>
      <c r="J300" s="2624"/>
      <c r="K300" s="2624"/>
      <c r="L300" s="2624"/>
      <c r="M300" s="2626"/>
      <c r="N300" s="2626"/>
      <c r="O300" s="2626"/>
      <c r="P300" s="2626"/>
      <c r="Q300" s="2508"/>
      <c r="R300" s="2508"/>
      <c r="S300" s="2595"/>
      <c r="T300" s="2595"/>
    </row>
    <row r="301" spans="1:20" ht="14">
      <c r="A301" s="2618"/>
      <c r="B301" s="2618" t="s">
        <v>5080</v>
      </c>
      <c r="C301" s="1729"/>
      <c r="D301" s="377"/>
      <c r="E301" s="377"/>
      <c r="F301" s="2509"/>
      <c r="G301" s="1729"/>
      <c r="H301" s="1729"/>
      <c r="I301" s="1729"/>
      <c r="J301" s="2536">
        <f>IF(J299="",0,+MIN(J297,J299))</f>
        <v>0</v>
      </c>
      <c r="K301" s="2536"/>
      <c r="L301" s="2536"/>
      <c r="M301" s="2626"/>
      <c r="N301" s="2626"/>
      <c r="O301" s="2626"/>
      <c r="P301" s="2626"/>
      <c r="Q301" s="402" t="s">
        <v>3805</v>
      </c>
      <c r="R301" s="402"/>
      <c r="S301" s="250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301" s="2508"/>
    </row>
    <row r="302" spans="1:20" ht="13">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
      <c r="A304" s="2502" t="s">
        <v>1663</v>
      </c>
      <c r="B304" s="376" t="s">
        <v>529</v>
      </c>
      <c r="C304" s="377"/>
      <c r="D304" s="377"/>
      <c r="E304" s="377"/>
      <c r="F304" s="377"/>
      <c r="G304" s="377"/>
      <c r="H304" s="377"/>
      <c r="I304" s="377"/>
      <c r="J304" s="377"/>
      <c r="K304" s="377"/>
      <c r="L304" s="377"/>
      <c r="M304" s="377"/>
      <c r="N304" s="2502" t="s">
        <v>495</v>
      </c>
      <c r="O304" s="2502" t="s">
        <v>74</v>
      </c>
      <c r="P304" s="377"/>
      <c r="Q304" s="377"/>
      <c r="R304" s="377"/>
      <c r="S304" s="377"/>
      <c r="T304" s="377"/>
    </row>
    <row r="305" spans="1:20" ht="12.65" customHeight="1">
      <c r="A305" s="2529" t="str">
        <f>'Part III-A-Uses of Funds'!A195</f>
        <v>* To all applicants: in addition to your other comments, please provide methodology for determining applicable construction hard costs.</v>
      </c>
      <c r="B305" s="2529"/>
      <c r="C305" s="2529"/>
      <c r="D305" s="2529"/>
      <c r="E305" s="2529"/>
      <c r="F305" s="2529"/>
      <c r="G305" s="2529"/>
      <c r="H305" s="2529"/>
      <c r="I305" s="2529"/>
      <c r="J305" s="2529"/>
      <c r="K305" s="2529"/>
      <c r="L305" s="2529"/>
      <c r="M305" s="2529"/>
      <c r="N305" s="2529"/>
      <c r="O305" s="2529"/>
      <c r="P305" s="2529"/>
      <c r="Q305" s="2529"/>
      <c r="R305" s="2529"/>
      <c r="S305" s="2529"/>
      <c r="T305" s="2529"/>
    </row>
    <row r="307" spans="1:20" s="2629" customFormat="1" ht="15.5">
      <c r="A307" s="2627" t="str">
        <f>CONCATENATE("PART THREE (B) -  OTHER COSTS","  -  ",'Part I-Project Identification'!$O$7," - ",'Part I-Project Identification'!$F$26,"  -  ",'Part I-Project Identification'!$F$27,"  -  ",'Part I-Project Identification'!$J$27,",  ","County")</f>
        <v>PART THREE (B) -  OTHER COSTS  -  2024-5 -   -  &lt;&lt; Select from list &gt;&gt;  -  Select City first,  County</v>
      </c>
      <c r="B307" s="2627"/>
      <c r="C307" s="2627"/>
      <c r="D307" s="2627"/>
      <c r="E307" s="2627"/>
      <c r="F307" s="2627"/>
      <c r="G307" s="2627"/>
      <c r="H307" s="2627"/>
      <c r="I307" s="2628"/>
      <c r="J307" s="2628"/>
      <c r="K307" s="2628"/>
      <c r="L307" s="2628"/>
      <c r="M307" s="2628"/>
      <c r="N307" s="2628"/>
    </row>
    <row r="308" spans="1:20" s="2629" customFormat="1" ht="9" customHeight="1"/>
    <row r="309" spans="1:20" s="2629" customFormat="1" ht="57" customHeight="1">
      <c r="A309" s="2630" t="s">
        <v>3131</v>
      </c>
      <c r="B309" s="2630"/>
      <c r="C309" s="2630"/>
      <c r="D309" s="2630"/>
      <c r="E309" s="2630"/>
      <c r="F309" s="2630"/>
      <c r="G309" s="2630"/>
      <c r="H309" s="2630"/>
    </row>
    <row r="310" spans="1:20" s="2629" customFormat="1" ht="6" customHeight="1"/>
    <row r="311" spans="1:20" s="2629" customFormat="1" ht="38.25" customHeight="1">
      <c r="A311" s="2631" t="s">
        <v>5081</v>
      </c>
      <c r="B311" s="2631"/>
      <c r="C311" s="2631"/>
      <c r="D311" s="2631"/>
      <c r="F311" s="2632" t="s">
        <v>3123</v>
      </c>
      <c r="G311" s="2633"/>
      <c r="H311" s="2632" t="s">
        <v>3124</v>
      </c>
    </row>
    <row r="312" spans="1:20" s="2629" customFormat="1" ht="6.75" customHeight="1">
      <c r="A312" s="2633"/>
      <c r="B312" s="2633"/>
      <c r="C312" s="2633"/>
      <c r="D312" s="2633"/>
    </row>
    <row r="313" spans="1:20" s="2635" customFormat="1" ht="4.5" customHeight="1">
      <c r="A313" s="2634"/>
      <c r="B313" s="2634"/>
      <c r="C313" s="2634"/>
      <c r="D313" s="2634"/>
      <c r="E313" s="2634"/>
      <c r="F313" s="2634"/>
      <c r="G313" s="2634"/>
    </row>
    <row r="314" spans="1:20" s="2635" customFormat="1" ht="13">
      <c r="A314" s="2628" t="s">
        <v>96</v>
      </c>
      <c r="B314" s="2636"/>
      <c r="C314" s="2636"/>
      <c r="D314" s="2636"/>
      <c r="E314" s="2636"/>
      <c r="F314" s="2636"/>
      <c r="G314" s="2636"/>
      <c r="H314" s="2636"/>
    </row>
    <row r="315" spans="1:20" s="2635" customFormat="1" ht="41.25" customHeight="1">
      <c r="A315" s="2637" t="str">
        <f>'Part III-A-Uses of Funds'!$C$15</f>
        <v>&lt;&lt; Enter description here; provide detail &amp; justification in tab Part III-b &gt;&gt;</v>
      </c>
      <c r="B315" s="2637"/>
      <c r="C315" s="2637"/>
      <c r="D315" s="2637"/>
      <c r="F315" s="2638">
        <f>'Part III-B-Other Items'!F9</f>
        <v>0</v>
      </c>
      <c r="G315" s="2636"/>
      <c r="H315" s="2638">
        <f>'Part III-B-Other Items'!H9</f>
        <v>0</v>
      </c>
    </row>
    <row r="316" spans="1:20" s="2635" customFormat="1" ht="41.25" customHeight="1">
      <c r="A316" s="2637"/>
      <c r="B316" s="2637"/>
      <c r="C316" s="2637"/>
      <c r="D316" s="2637"/>
      <c r="F316" s="2638"/>
      <c r="G316" s="2636"/>
      <c r="H316" s="2638"/>
    </row>
    <row r="317" spans="1:20" s="2635" customFormat="1" ht="4.5" customHeight="1">
      <c r="F317" s="2638"/>
      <c r="G317" s="2636"/>
      <c r="H317" s="2638"/>
    </row>
    <row r="318" spans="1:20" s="2635" customFormat="1" ht="15" customHeight="1">
      <c r="A318" s="2639" t="s">
        <v>3126</v>
      </c>
      <c r="B318" s="2640">
        <f>'Part III-A-Uses of Funds'!$G$15</f>
        <v>0</v>
      </c>
      <c r="C318" s="2639" t="s">
        <v>1660</v>
      </c>
      <c r="D318" s="2640">
        <f>'Part III-A-Uses of Funds'!$J$15+'Part III-A-Uses of Funds'!$M$15+'Part III-A-Uses of Funds'!$P$15</f>
        <v>0</v>
      </c>
      <c r="F318" s="2638"/>
      <c r="G318" s="2636"/>
      <c r="H318" s="2638"/>
    </row>
    <row r="319" spans="1:20" s="2635" customFormat="1" ht="6" customHeight="1">
      <c r="A319" s="2636"/>
      <c r="B319" s="2641"/>
      <c r="C319" s="2636"/>
      <c r="D319" s="2636"/>
      <c r="F319" s="2638"/>
      <c r="G319" s="2642"/>
      <c r="H319" s="2638"/>
    </row>
    <row r="320" spans="1:20" s="2635" customFormat="1" ht="41.25" customHeight="1">
      <c r="A320" s="2637" t="str">
        <f>'Part III-A-Uses of Funds'!$C$16</f>
        <v>&lt;&lt; Enter description here; provide detail &amp; justification in tab Part III-b &gt;&gt;</v>
      </c>
      <c r="B320" s="2637"/>
      <c r="C320" s="2637"/>
      <c r="D320" s="2637"/>
      <c r="F320" s="2638">
        <f>'Part III-B-Other Items'!F14</f>
        <v>0</v>
      </c>
      <c r="G320" s="2636"/>
      <c r="H320" s="2638">
        <f>'Part III-B-Other Items'!H14</f>
        <v>0</v>
      </c>
    </row>
    <row r="321" spans="1:8" s="2635" customFormat="1" ht="41.25" customHeight="1">
      <c r="A321" s="2637"/>
      <c r="B321" s="2637"/>
      <c r="C321" s="2637"/>
      <c r="D321" s="2637"/>
      <c r="F321" s="2638"/>
      <c r="G321" s="2636"/>
      <c r="H321" s="2638"/>
    </row>
    <row r="322" spans="1:8" s="2635" customFormat="1" ht="4.5" customHeight="1">
      <c r="F322" s="2638"/>
      <c r="G322" s="2636"/>
      <c r="H322" s="2638"/>
    </row>
    <row r="323" spans="1:8" s="2635" customFormat="1" ht="15" customHeight="1">
      <c r="A323" s="2639" t="s">
        <v>3126</v>
      </c>
      <c r="B323" s="2640">
        <f>'Part III-A-Uses of Funds'!$G$16</f>
        <v>0</v>
      </c>
      <c r="C323" s="2639" t="s">
        <v>1660</v>
      </c>
      <c r="D323" s="2640">
        <f>'Part III-A-Uses of Funds'!$J$16+'Part III-A-Uses of Funds'!$M$16+'Part III-A-Uses of Funds'!$P$16</f>
        <v>0</v>
      </c>
      <c r="F323" s="2638"/>
      <c r="G323" s="2636"/>
      <c r="H323" s="2638"/>
    </row>
    <row r="324" spans="1:8" s="2635" customFormat="1" ht="6" customHeight="1">
      <c r="A324" s="2636"/>
      <c r="B324" s="2641"/>
      <c r="C324" s="2636"/>
      <c r="D324" s="2636"/>
      <c r="F324" s="2638"/>
      <c r="G324" s="2642"/>
      <c r="H324" s="2638"/>
    </row>
    <row r="325" spans="1:8" s="2635" customFormat="1" ht="41.25" customHeight="1">
      <c r="A325" s="2637" t="str">
        <f>'Part III-A-Uses of Funds'!$C$17</f>
        <v>&lt;&lt; Enter description here; provide detail &amp; justification in tab Part III-b &gt;&gt;</v>
      </c>
      <c r="B325" s="2637"/>
      <c r="C325" s="2637"/>
      <c r="D325" s="2637"/>
      <c r="F325" s="2638">
        <f>'Part III-B-Other Items'!F19</f>
        <v>0</v>
      </c>
      <c r="G325" s="2636"/>
      <c r="H325" s="2638">
        <f>'Part III-B-Other Items'!H19</f>
        <v>0</v>
      </c>
    </row>
    <row r="326" spans="1:8" s="2635" customFormat="1" ht="41.25" customHeight="1">
      <c r="A326" s="2637"/>
      <c r="B326" s="2637"/>
      <c r="C326" s="2637"/>
      <c r="D326" s="2637"/>
      <c r="F326" s="2638"/>
      <c r="G326" s="2636"/>
      <c r="H326" s="2638"/>
    </row>
    <row r="327" spans="1:8" s="2635" customFormat="1" ht="4.5" customHeight="1">
      <c r="F327" s="2638"/>
      <c r="G327" s="2636"/>
      <c r="H327" s="2638"/>
    </row>
    <row r="328" spans="1:8" s="2635" customFormat="1" ht="15" customHeight="1">
      <c r="A328" s="2639" t="s">
        <v>3126</v>
      </c>
      <c r="B328" s="2640">
        <f>'Part III-A-Uses of Funds'!$G$17</f>
        <v>0</v>
      </c>
      <c r="C328" s="2639" t="s">
        <v>1660</v>
      </c>
      <c r="D328" s="2640">
        <f>'Part III-A-Uses of Funds'!$J$17+'Part III-A-Uses of Funds'!$M$17+'Part III-A-Uses of Funds'!$P$17</f>
        <v>0</v>
      </c>
      <c r="F328" s="2638"/>
      <c r="G328" s="2636"/>
      <c r="H328" s="2638"/>
    </row>
    <row r="329" spans="1:8" s="2635" customFormat="1" ht="6" customHeight="1">
      <c r="A329" s="2636"/>
      <c r="B329" s="2641"/>
      <c r="C329" s="2636"/>
      <c r="D329" s="2636"/>
      <c r="F329" s="2638"/>
      <c r="G329" s="2642"/>
      <c r="H329" s="2638"/>
    </row>
    <row r="330" spans="1:8" s="2635" customFormat="1" ht="13">
      <c r="A330" s="2628" t="s">
        <v>3125</v>
      </c>
      <c r="B330" s="2636"/>
      <c r="C330" s="2636"/>
      <c r="D330" s="2636"/>
      <c r="E330" s="2636"/>
      <c r="F330" s="2636"/>
      <c r="G330" s="2636"/>
    </row>
    <row r="331" spans="1:8" s="2635" customFormat="1" ht="41.25" customHeight="1">
      <c r="A331" s="2637" t="str">
        <f>'Part III-A-Uses of Funds'!$C$46</f>
        <v>&lt;&lt; Enter description here; provide detail &amp; justification in tab Part III-b &gt;&gt;</v>
      </c>
      <c r="B331" s="2637"/>
      <c r="C331" s="2637"/>
      <c r="D331" s="2637"/>
      <c r="E331" s="2636"/>
      <c r="F331" s="2638">
        <f>'Part III-B-Other Items'!F25</f>
        <v>0</v>
      </c>
      <c r="G331" s="2636"/>
      <c r="H331" s="2638">
        <f>'Part III-B-Other Items'!H25</f>
        <v>0</v>
      </c>
    </row>
    <row r="332" spans="1:8" s="2635" customFormat="1" ht="41.25" customHeight="1">
      <c r="A332" s="2637"/>
      <c r="B332" s="2637"/>
      <c r="C332" s="2637"/>
      <c r="D332" s="2637"/>
      <c r="E332" s="2636"/>
      <c r="F332" s="2638"/>
      <c r="G332" s="2636"/>
      <c r="H332" s="2638"/>
    </row>
    <row r="333" spans="1:8" s="2635" customFormat="1" ht="4.5" customHeight="1">
      <c r="A333" s="2636"/>
      <c r="B333" s="2636"/>
      <c r="C333" s="2636"/>
      <c r="D333" s="2636"/>
      <c r="E333" s="2636"/>
      <c r="F333" s="2638"/>
      <c r="G333" s="2636"/>
      <c r="H333" s="2638"/>
    </row>
    <row r="334" spans="1:8" s="2635" customFormat="1" ht="10.5">
      <c r="A334" s="2639" t="s">
        <v>3126</v>
      </c>
      <c r="B334" s="2640">
        <f>'Part III-A-Uses of Funds'!$G$46</f>
        <v>0</v>
      </c>
      <c r="C334" s="2639" t="s">
        <v>1660</v>
      </c>
      <c r="D334" s="2640">
        <f>'Part III-A-Uses of Funds'!$J$46+'Part III-A-Uses of Funds'!$M$46+'Part III-A-Uses of Funds'!$P$46</f>
        <v>0</v>
      </c>
      <c r="E334" s="2636"/>
      <c r="F334" s="2638"/>
      <c r="G334" s="2636"/>
      <c r="H334" s="2638"/>
    </row>
    <row r="335" spans="1:8" s="2635" customFormat="1" ht="6" customHeight="1">
      <c r="A335" s="2636"/>
      <c r="B335" s="2641"/>
      <c r="C335" s="2636"/>
      <c r="D335" s="2636"/>
      <c r="E335" s="2636"/>
      <c r="F335" s="2638"/>
      <c r="G335" s="2642"/>
      <c r="H335" s="2638"/>
    </row>
    <row r="336" spans="1:8" s="2635" customFormat="1" ht="13">
      <c r="A336" s="2628" t="s">
        <v>674</v>
      </c>
      <c r="B336" s="2636"/>
      <c r="C336" s="2636"/>
      <c r="D336" s="2636"/>
      <c r="E336" s="2636"/>
      <c r="F336" s="2636"/>
      <c r="G336" s="2636"/>
    </row>
    <row r="337" spans="1:8" s="2635" customFormat="1" ht="41.25" customHeight="1">
      <c r="A337" s="2637" t="str">
        <f>'Part III-A-Uses of Funds'!$C$71</f>
        <v>&lt;&lt; Enter description here; provide detail &amp; justification in tab Part III-b &gt;&gt;</v>
      </c>
      <c r="B337" s="2637"/>
      <c r="C337" s="2637"/>
      <c r="D337" s="2637"/>
      <c r="E337" s="2636"/>
      <c r="F337" s="2638">
        <f>'Part III-B-Other Items'!F31</f>
        <v>0</v>
      </c>
      <c r="G337" s="2636"/>
      <c r="H337" s="2638">
        <f>'Part III-B-Other Items'!H31</f>
        <v>0</v>
      </c>
    </row>
    <row r="338" spans="1:8" s="2635" customFormat="1" ht="41.25" customHeight="1">
      <c r="A338" s="2637"/>
      <c r="B338" s="2637"/>
      <c r="C338" s="2637"/>
      <c r="D338" s="2637"/>
      <c r="E338" s="2636"/>
      <c r="F338" s="2638"/>
      <c r="G338" s="2636"/>
      <c r="H338" s="2638"/>
    </row>
    <row r="339" spans="1:8" s="2635" customFormat="1" ht="4.5" customHeight="1">
      <c r="A339" s="2636"/>
      <c r="B339" s="2636"/>
      <c r="C339" s="2636"/>
      <c r="D339" s="2636"/>
      <c r="E339" s="2636"/>
      <c r="F339" s="2638"/>
      <c r="G339" s="2636"/>
      <c r="H339" s="2638"/>
    </row>
    <row r="340" spans="1:8" s="2635" customFormat="1" ht="14.25" customHeight="1">
      <c r="A340" s="2639" t="s">
        <v>3126</v>
      </c>
      <c r="B340" s="2640">
        <f>'Part III-A-Uses of Funds'!$G$71</f>
        <v>0</v>
      </c>
      <c r="C340" s="2639" t="s">
        <v>1660</v>
      </c>
      <c r="D340" s="2640">
        <f>'Part III-A-Uses of Funds'!$J$71+'Part III-A-Uses of Funds'!$M$71+'Part III-A-Uses of Funds'!$P$71</f>
        <v>0</v>
      </c>
      <c r="E340" s="2636"/>
      <c r="F340" s="2638"/>
      <c r="G340" s="2636"/>
      <c r="H340" s="2638"/>
    </row>
    <row r="341" spans="1:8" s="2635" customFormat="1" ht="6" customHeight="1">
      <c r="D341" s="2636"/>
      <c r="E341" s="2636"/>
      <c r="F341" s="2638"/>
      <c r="G341" s="2642"/>
      <c r="H341" s="2638"/>
    </row>
    <row r="342" spans="1:8" s="2635" customFormat="1" ht="41.25" customHeight="1">
      <c r="A342" s="2637" t="str">
        <f>'Part III-A-Uses of Funds'!$C$72</f>
        <v>&lt;&lt; Enter description here; provide detail &amp; justification in tab Part III-b &gt;&gt;</v>
      </c>
      <c r="B342" s="2637"/>
      <c r="C342" s="2637"/>
      <c r="D342" s="2637"/>
      <c r="E342" s="2636"/>
      <c r="F342" s="2638">
        <f>'Part III-B-Other Items'!F36</f>
        <v>0</v>
      </c>
      <c r="G342" s="2636"/>
      <c r="H342" s="2638">
        <f>'Part III-B-Other Items'!H36</f>
        <v>0</v>
      </c>
    </row>
    <row r="343" spans="1:8" s="2635" customFormat="1" ht="41.25" customHeight="1">
      <c r="A343" s="2637"/>
      <c r="B343" s="2637"/>
      <c r="C343" s="2637"/>
      <c r="D343" s="2637"/>
      <c r="E343" s="2636"/>
      <c r="F343" s="2638"/>
      <c r="G343" s="2636"/>
      <c r="H343" s="2638"/>
    </row>
    <row r="344" spans="1:8" s="2635" customFormat="1" ht="4.5" customHeight="1">
      <c r="A344" s="2636"/>
      <c r="B344" s="2636"/>
      <c r="C344" s="2636"/>
      <c r="D344" s="2636"/>
      <c r="E344" s="2636"/>
      <c r="F344" s="2638"/>
      <c r="G344" s="2636"/>
      <c r="H344" s="2638"/>
    </row>
    <row r="345" spans="1:8" s="2635" customFormat="1" ht="14.25" customHeight="1">
      <c r="A345" s="2639" t="s">
        <v>3126</v>
      </c>
      <c r="B345" s="2640">
        <f>'Part III-A-Uses of Funds'!$G$72</f>
        <v>0</v>
      </c>
      <c r="C345" s="2639" t="s">
        <v>1660</v>
      </c>
      <c r="D345" s="2640">
        <f>'Part III-A-Uses of Funds'!$J$72+'Part III-A-Uses of Funds'!$M$72+'Part III-A-Uses of Funds'!$P$72</f>
        <v>0</v>
      </c>
      <c r="E345" s="2636"/>
      <c r="F345" s="2638"/>
      <c r="G345" s="2636"/>
      <c r="H345" s="2638"/>
    </row>
    <row r="346" spans="1:8" s="2635" customFormat="1" ht="6" customHeight="1">
      <c r="D346" s="2636"/>
      <c r="E346" s="2636"/>
      <c r="F346" s="2638"/>
      <c r="G346" s="2642"/>
      <c r="H346" s="2638"/>
    </row>
    <row r="347" spans="1:8" s="2635" customFormat="1" ht="13">
      <c r="A347" s="2628" t="s">
        <v>448</v>
      </c>
      <c r="B347" s="2636"/>
      <c r="C347" s="2636"/>
      <c r="D347" s="2636"/>
      <c r="E347" s="2643"/>
      <c r="F347" s="2643"/>
      <c r="G347" s="2636"/>
    </row>
    <row r="348" spans="1:8" s="2635" customFormat="1" ht="41.25" customHeight="1">
      <c r="A348" s="2637" t="str">
        <f>'Part III-A-Uses of Funds'!$C$85</f>
        <v>&lt;&lt; Enter description here; provide detail &amp; justification in tab Part III-b &gt;&gt;</v>
      </c>
      <c r="B348" s="2637"/>
      <c r="C348" s="2637"/>
      <c r="D348" s="2637"/>
      <c r="F348" s="2638">
        <f>'Part III-B-Other Items'!F42</f>
        <v>0</v>
      </c>
      <c r="G348" s="2636"/>
      <c r="H348" s="2638">
        <f>'Part III-B-Other Items'!H42</f>
        <v>0</v>
      </c>
    </row>
    <row r="349" spans="1:8" s="2635" customFormat="1" ht="41.25" customHeight="1">
      <c r="A349" s="2637"/>
      <c r="B349" s="2637"/>
      <c r="C349" s="2637"/>
      <c r="D349" s="2637"/>
      <c r="E349" s="2636"/>
      <c r="F349" s="2638"/>
      <c r="G349" s="2636"/>
      <c r="H349" s="2638"/>
    </row>
    <row r="350" spans="1:8" s="2635" customFormat="1" ht="4.5" customHeight="1">
      <c r="A350" s="2636"/>
      <c r="B350" s="2636"/>
      <c r="C350" s="2636"/>
      <c r="D350" s="2636"/>
      <c r="E350" s="2636"/>
      <c r="F350" s="2638"/>
      <c r="G350" s="2636"/>
      <c r="H350" s="2638"/>
    </row>
    <row r="351" spans="1:8" s="2635" customFormat="1" ht="13.5" customHeight="1">
      <c r="A351" s="2639" t="s">
        <v>3126</v>
      </c>
      <c r="B351" s="2640">
        <f>'Part III-A-Uses of Funds'!$G$85</f>
        <v>0</v>
      </c>
      <c r="C351" s="2639" t="s">
        <v>1660</v>
      </c>
      <c r="D351" s="2640">
        <f>'Part III-A-Uses of Funds'!$J$85+'Part III-A-Uses of Funds'!$M$85+'Part III-A-Uses of Funds'!$P$85</f>
        <v>0</v>
      </c>
      <c r="E351" s="2636"/>
      <c r="F351" s="2638"/>
      <c r="G351" s="2636"/>
      <c r="H351" s="2638"/>
    </row>
    <row r="352" spans="1:8" s="2635" customFormat="1" ht="6" customHeight="1">
      <c r="A352" s="2636"/>
      <c r="B352" s="2641"/>
      <c r="C352" s="2636"/>
      <c r="D352" s="2636"/>
      <c r="E352" s="2636"/>
      <c r="F352" s="2638"/>
      <c r="G352" s="2642"/>
      <c r="H352" s="2638"/>
    </row>
    <row r="353" spans="1:7" s="2635" customFormat="1" ht="13">
      <c r="A353" s="2628" t="s">
        <v>676</v>
      </c>
      <c r="B353" s="2636"/>
      <c r="C353" s="2636"/>
      <c r="D353" s="2636"/>
      <c r="E353" s="2636"/>
      <c r="F353" s="2636"/>
      <c r="G353" s="2636"/>
    </row>
    <row r="354" spans="1:7" s="2635" customFormat="1" ht="41.25" customHeight="1">
      <c r="A354" s="2637" t="str">
        <f>'Part III-A-Uses of Funds'!$C$102</f>
        <v>&lt;&lt; Enter description here; provide detail &amp; justification in tab Part III-b &gt;&gt;</v>
      </c>
      <c r="B354" s="2637"/>
      <c r="C354" s="2637"/>
      <c r="D354" s="2637"/>
      <c r="F354" s="2638">
        <f>'Part III-B-Other Items'!F48</f>
        <v>0</v>
      </c>
      <c r="G354" s="2636"/>
    </row>
    <row r="355" spans="1:7" s="2635" customFormat="1" ht="41.25" customHeight="1">
      <c r="A355" s="2637"/>
      <c r="B355" s="2637"/>
      <c r="C355" s="2637"/>
      <c r="D355" s="2637"/>
      <c r="E355" s="2636"/>
      <c r="F355" s="2638"/>
      <c r="G355" s="2636"/>
    </row>
    <row r="356" spans="1:7" s="2635" customFormat="1" ht="3" customHeight="1">
      <c r="A356" s="2636"/>
      <c r="B356" s="2636"/>
      <c r="C356" s="2636"/>
      <c r="D356" s="2636"/>
      <c r="E356" s="2636"/>
      <c r="F356" s="2638"/>
      <c r="G356" s="2636"/>
    </row>
    <row r="357" spans="1:7" s="2635" customFormat="1" ht="13.5" customHeight="1">
      <c r="A357" s="2639" t="s">
        <v>3126</v>
      </c>
      <c r="B357" s="2640">
        <f>'Part III-A-Uses of Funds'!$G$102</f>
        <v>0</v>
      </c>
      <c r="C357" s="2644"/>
      <c r="D357" s="2644"/>
      <c r="E357" s="2636"/>
      <c r="F357" s="2638"/>
      <c r="G357" s="2636"/>
    </row>
    <row r="358" spans="1:7" s="2635" customFormat="1" ht="3.75" customHeight="1">
      <c r="A358" s="2636"/>
      <c r="B358" s="2636"/>
      <c r="C358" s="2636"/>
      <c r="D358" s="2636"/>
      <c r="E358" s="2636"/>
      <c r="F358" s="2638"/>
      <c r="G358" s="2642"/>
    </row>
    <row r="359" spans="1:7" s="2635" customFormat="1" ht="13">
      <c r="A359" s="2628" t="s">
        <v>5082</v>
      </c>
      <c r="B359" s="2636"/>
      <c r="C359" s="2636"/>
      <c r="D359" s="2636"/>
      <c r="E359" s="2636"/>
      <c r="F359" s="2636"/>
      <c r="G359" s="2636"/>
    </row>
    <row r="360" spans="1:7" s="2635" customFormat="1" ht="41.25" customHeight="1">
      <c r="A360" s="2637" t="str">
        <f>'Part III-A-Uses of Funds'!$C$112</f>
        <v>&lt;&lt; Enter description here; provide detail &amp; justification in tab Part III-b &gt;&gt;</v>
      </c>
      <c r="B360" s="2637"/>
      <c r="C360" s="2637"/>
      <c r="D360" s="2637"/>
      <c r="F360" s="2638">
        <f>'Part III-B-Other Items'!F54</f>
        <v>0</v>
      </c>
      <c r="G360" s="2636"/>
    </row>
    <row r="361" spans="1:7" s="2635" customFormat="1" ht="41.25" customHeight="1">
      <c r="A361" s="2637"/>
      <c r="B361" s="2637"/>
      <c r="C361" s="2637"/>
      <c r="D361" s="2637"/>
      <c r="E361" s="2636"/>
      <c r="F361" s="2638"/>
      <c r="G361" s="2636"/>
    </row>
    <row r="362" spans="1:7" s="2635" customFormat="1" ht="3" customHeight="1">
      <c r="A362" s="2636"/>
      <c r="B362" s="2636"/>
      <c r="C362" s="2636"/>
      <c r="D362" s="2636"/>
      <c r="E362" s="2636"/>
      <c r="F362" s="2638"/>
      <c r="G362" s="2636"/>
    </row>
    <row r="363" spans="1:7" s="2635" customFormat="1" ht="10.5">
      <c r="A363" s="2639" t="s">
        <v>3126</v>
      </c>
      <c r="B363" s="2640">
        <f>'Part III-A-Uses of Funds'!$G$112</f>
        <v>0</v>
      </c>
      <c r="C363" s="2644"/>
      <c r="D363" s="2644"/>
      <c r="E363" s="2636"/>
      <c r="F363" s="2638"/>
      <c r="G363" s="2636"/>
    </row>
    <row r="364" spans="1:7" s="2635" customFormat="1" ht="3.75" customHeight="1">
      <c r="A364" s="2634"/>
      <c r="B364" s="2634"/>
      <c r="C364" s="2634"/>
      <c r="D364" s="2634"/>
      <c r="E364" s="2634"/>
      <c r="F364" s="2638"/>
      <c r="G364" s="2642"/>
    </row>
    <row r="365" spans="1:7" s="2635" customFormat="1" ht="41.25" customHeight="1">
      <c r="A365" s="2637" t="str">
        <f>'Part III-A-Uses of Funds'!$C$113</f>
        <v>&lt;&lt; Enter description here; provide detail &amp; justification in tab Part III-b &gt;&gt;</v>
      </c>
      <c r="B365" s="2637"/>
      <c r="C365" s="2637"/>
      <c r="D365" s="2637"/>
      <c r="F365" s="2638">
        <f>'Part III-B-Other Items'!F59</f>
        <v>0</v>
      </c>
      <c r="G365" s="2636"/>
    </row>
    <row r="366" spans="1:7" s="2635" customFormat="1" ht="41.25" customHeight="1">
      <c r="A366" s="2637"/>
      <c r="B366" s="2637"/>
      <c r="C366" s="2637"/>
      <c r="D366" s="2637"/>
      <c r="E366" s="2636"/>
      <c r="F366" s="2638"/>
      <c r="G366" s="2636"/>
    </row>
    <row r="367" spans="1:7" s="2635" customFormat="1" ht="3" customHeight="1">
      <c r="A367" s="2636"/>
      <c r="B367" s="2636"/>
      <c r="C367" s="2636"/>
      <c r="D367" s="2636"/>
      <c r="E367" s="2636"/>
      <c r="F367" s="2638"/>
      <c r="G367" s="2636"/>
    </row>
    <row r="368" spans="1:7" s="2635" customFormat="1" ht="10.5">
      <c r="A368" s="2639" t="s">
        <v>3126</v>
      </c>
      <c r="B368" s="2640">
        <f>'Part III-A-Uses of Funds'!$G$113</f>
        <v>0</v>
      </c>
      <c r="C368" s="2644"/>
      <c r="D368" s="2644"/>
      <c r="E368" s="2636"/>
      <c r="F368" s="2638"/>
      <c r="G368" s="2636"/>
    </row>
    <row r="369" spans="1:8" s="2635" customFormat="1" ht="3.75" customHeight="1">
      <c r="A369" s="2634"/>
      <c r="B369" s="2634"/>
      <c r="C369" s="2634"/>
      <c r="D369" s="2634"/>
      <c r="E369" s="2634"/>
      <c r="F369" s="2638"/>
      <c r="G369" s="2642"/>
    </row>
    <row r="370" spans="1:8" s="2635" customFormat="1" ht="13">
      <c r="A370" s="2628" t="s">
        <v>5083</v>
      </c>
      <c r="B370" s="2636"/>
      <c r="C370" s="2636"/>
      <c r="D370" s="2636"/>
      <c r="E370" s="2636"/>
      <c r="F370" s="2636"/>
      <c r="G370" s="2636"/>
    </row>
    <row r="371" spans="1:8" s="2635" customFormat="1" ht="41.25" customHeight="1">
      <c r="A371" s="2637" t="str">
        <f>'Part III-A-Uses of Funds'!$C$119</f>
        <v>&lt;&lt; Enter description here; provide detail &amp; justification in tab Part III-b &gt;&gt;</v>
      </c>
      <c r="B371" s="2637"/>
      <c r="C371" s="2637"/>
      <c r="D371" s="2637"/>
      <c r="F371" s="2638">
        <f>'Part III-B-Other Items'!F65</f>
        <v>0</v>
      </c>
      <c r="G371" s="2636"/>
    </row>
    <row r="372" spans="1:8" s="2635" customFormat="1" ht="41.25" customHeight="1">
      <c r="A372" s="2637"/>
      <c r="B372" s="2637"/>
      <c r="C372" s="2637"/>
      <c r="D372" s="2637"/>
      <c r="E372" s="2636"/>
      <c r="F372" s="2638"/>
      <c r="G372" s="2636"/>
    </row>
    <row r="373" spans="1:8" s="2635" customFormat="1" ht="3" customHeight="1">
      <c r="A373" s="2636"/>
      <c r="B373" s="2636"/>
      <c r="C373" s="2636"/>
      <c r="D373" s="2636"/>
      <c r="E373" s="2636"/>
      <c r="F373" s="2638"/>
      <c r="G373" s="2636"/>
    </row>
    <row r="374" spans="1:8" s="2635" customFormat="1" ht="10.5">
      <c r="A374" s="2639" t="s">
        <v>3126</v>
      </c>
      <c r="B374" s="2640">
        <f>'Part III-A-Uses of Funds'!$G$119</f>
        <v>0</v>
      </c>
      <c r="C374" s="2644"/>
      <c r="D374" s="2644"/>
      <c r="E374" s="2636"/>
      <c r="F374" s="2638"/>
      <c r="G374" s="2636"/>
    </row>
    <row r="375" spans="1:8" s="2635" customFormat="1" ht="3.75" customHeight="1">
      <c r="A375" s="2636"/>
      <c r="B375" s="2641"/>
      <c r="C375" s="2636"/>
      <c r="D375" s="2636"/>
      <c r="E375" s="2636"/>
      <c r="F375" s="2638"/>
      <c r="G375" s="2642"/>
    </row>
    <row r="376" spans="1:8" s="2635" customFormat="1" ht="13">
      <c r="A376" s="2628" t="s">
        <v>1229</v>
      </c>
      <c r="B376" s="2636"/>
      <c r="C376" s="2636"/>
      <c r="D376" s="2636"/>
      <c r="E376" s="2636"/>
      <c r="F376" s="2636"/>
      <c r="G376" s="2636"/>
    </row>
    <row r="377" spans="1:8" s="2635" customFormat="1" ht="41.25" customHeight="1">
      <c r="A377" s="2637" t="str">
        <f>'Part III-A-Uses of Funds'!$C$134</f>
        <v>&lt;&lt; Enter description here; provide detail &amp; justification in tab Part III-b &gt;&gt;</v>
      </c>
      <c r="B377" s="2637"/>
      <c r="C377" s="2637"/>
      <c r="D377" s="2637"/>
      <c r="F377" s="2638">
        <f>'Part III-B-Other Items'!F71</f>
        <v>0</v>
      </c>
      <c r="G377" s="2636"/>
      <c r="H377" s="2638">
        <f>'Part III-B-Other Items'!H71</f>
        <v>0</v>
      </c>
    </row>
    <row r="378" spans="1:8" s="2635" customFormat="1" ht="41.25" customHeight="1">
      <c r="A378" s="2637"/>
      <c r="B378" s="2637"/>
      <c r="C378" s="2637"/>
      <c r="D378" s="2637"/>
      <c r="E378" s="2636"/>
      <c r="F378" s="2638"/>
      <c r="G378" s="2636"/>
      <c r="H378" s="2638"/>
    </row>
    <row r="379" spans="1:8" s="2635" customFormat="1" ht="4.5" customHeight="1">
      <c r="A379" s="2636"/>
      <c r="B379" s="2636"/>
      <c r="C379" s="2636"/>
      <c r="D379" s="2636"/>
      <c r="E379" s="2636"/>
      <c r="F379" s="2638"/>
      <c r="G379" s="2636"/>
      <c r="H379" s="2638"/>
    </row>
    <row r="380" spans="1:8" s="2635" customFormat="1" ht="12.75" customHeight="1">
      <c r="A380" s="2639" t="s">
        <v>3126</v>
      </c>
      <c r="B380" s="2640">
        <f>'Part III-A-Uses of Funds'!$G$134</f>
        <v>0</v>
      </c>
      <c r="C380" s="2639" t="s">
        <v>1660</v>
      </c>
      <c r="D380" s="2640">
        <f>'Part III-A-Uses of Funds'!$J$134+'Part III-A-Uses of Funds'!$M$134+'Part III-A-Uses of Funds'!$P$134</f>
        <v>0</v>
      </c>
      <c r="E380" s="2636"/>
      <c r="F380" s="2638"/>
      <c r="G380" s="2636"/>
      <c r="H380" s="2638"/>
    </row>
    <row r="381" spans="1:8" s="2635" customFormat="1" ht="6" customHeight="1">
      <c r="A381" s="2636"/>
      <c r="B381" s="2641"/>
      <c r="C381" s="2636"/>
      <c r="D381" s="2636"/>
      <c r="E381" s="2636"/>
      <c r="F381" s="2638"/>
      <c r="G381" s="2642"/>
      <c r="H381" s="2638"/>
    </row>
    <row r="382" spans="1:8" s="2635" customFormat="1" ht="13">
      <c r="A382" s="2628" t="s">
        <v>5084</v>
      </c>
      <c r="B382" s="2641"/>
      <c r="C382" s="2636"/>
      <c r="D382" s="2636"/>
      <c r="E382" s="2636"/>
      <c r="F382" s="2636"/>
      <c r="G382" s="2642"/>
    </row>
    <row r="383" spans="1:8" s="2635" customFormat="1" ht="41.25" customHeight="1">
      <c r="A383" s="2637" t="str">
        <f>'Part III-A-Uses of Funds'!$C$143</f>
        <v>&lt;&lt; Enter description here; provide detail &amp; justification in tab Part III-b &gt;&gt;</v>
      </c>
      <c r="B383" s="2637"/>
      <c r="C383" s="2637"/>
      <c r="D383" s="2637"/>
      <c r="F383" s="2638">
        <f>'Part III-B-Other Items'!F77</f>
        <v>0</v>
      </c>
      <c r="G383" s="2636"/>
      <c r="H383" s="2638">
        <f>'Part III-B-Other Items'!H77</f>
        <v>0</v>
      </c>
    </row>
    <row r="384" spans="1:8" s="2635" customFormat="1" ht="41.25" customHeight="1">
      <c r="A384" s="2637"/>
      <c r="B384" s="2637"/>
      <c r="C384" s="2637"/>
      <c r="D384" s="2637"/>
      <c r="E384" s="2636"/>
      <c r="F384" s="2638"/>
      <c r="G384" s="2636"/>
      <c r="H384" s="2638"/>
    </row>
    <row r="385" spans="1:13" s="2635" customFormat="1" ht="4.5" customHeight="1">
      <c r="A385" s="2636"/>
      <c r="B385" s="2636"/>
      <c r="C385" s="2636"/>
      <c r="D385" s="2636"/>
      <c r="E385" s="2636"/>
      <c r="F385" s="2638"/>
      <c r="G385" s="2636"/>
      <c r="H385" s="2638"/>
    </row>
    <row r="386" spans="1:13" s="2635" customFormat="1" ht="12.75" customHeight="1">
      <c r="A386" s="2639" t="s">
        <v>3126</v>
      </c>
      <c r="B386" s="2640">
        <f>'Part III-A-Uses of Funds'!$G$143</f>
        <v>0</v>
      </c>
      <c r="C386" s="2639" t="s">
        <v>1660</v>
      </c>
      <c r="D386" s="2640">
        <f>'Part III-A-Uses of Funds'!$J$143+'Part III-A-Uses of Funds'!$M$143+'Part III-A-Uses of Funds'!$P$143</f>
        <v>0</v>
      </c>
      <c r="E386" s="2636"/>
      <c r="F386" s="2638"/>
      <c r="G386" s="2636"/>
      <c r="H386" s="2638"/>
    </row>
    <row r="387" spans="1:13" s="2635" customFormat="1" ht="6" customHeight="1">
      <c r="D387" s="2636"/>
      <c r="E387" s="2640"/>
      <c r="F387" s="2638"/>
      <c r="G387" s="2642"/>
      <c r="H387" s="2638"/>
    </row>
    <row r="388" spans="1:13" s="2635" customFormat="1" ht="10.5"/>
    <row r="391" spans="1:13" ht="13">
      <c r="A391" s="1657" t="str">
        <f>CONCATENATE("PART FOUR - UTILITY ALLOWANCES","  -  ",'Part I-Project Identification'!$O$7," ",'Part I-Project Identification'!$F$26,", ",'Part I-Project Identification'!F334,", ",'Part I-Project Identification'!J334," County")</f>
        <v>PART FOUR - UTILITY ALLOWANCES  -  2024-5 , ,  County</v>
      </c>
      <c r="B391" s="1657"/>
      <c r="C391" s="1657"/>
      <c r="D391" s="1657"/>
      <c r="E391" s="1657"/>
      <c r="F391" s="1657"/>
      <c r="G391" s="1657"/>
      <c r="H391" s="1657"/>
      <c r="I391" s="1657"/>
      <c r="J391" s="1657"/>
      <c r="K391" s="1657"/>
      <c r="L391" s="1657"/>
      <c r="M391" s="1657"/>
    </row>
    <row r="393" spans="1:13" ht="13">
      <c r="B393" s="2645" t="str">
        <f>'Part I-Project Identification'!$A$6</f>
        <v>4% Credit Core
Sept 26, 2024</v>
      </c>
      <c r="C393" s="2645"/>
      <c r="D393" s="2645"/>
      <c r="E393" s="2645"/>
      <c r="F393" s="1657" t="s">
        <v>4635</v>
      </c>
      <c r="I393" s="1657">
        <f>'Part IV-Utility Allowances'!I3</f>
        <v>0</v>
      </c>
      <c r="J393" s="1657"/>
    </row>
    <row r="395" spans="1:13" ht="13">
      <c r="A395" s="2646" t="s">
        <v>5085</v>
      </c>
    </row>
    <row r="397" spans="1:13" ht="13">
      <c r="A397" s="360" t="s">
        <v>572</v>
      </c>
      <c r="B397" s="360" t="s">
        <v>2054</v>
      </c>
      <c r="F397" s="358" t="s">
        <v>2311</v>
      </c>
      <c r="G397" s="358"/>
      <c r="H397" s="358"/>
      <c r="I397" s="358">
        <f>'Part IV-Utility Allowances'!I7</f>
        <v>0</v>
      </c>
      <c r="J397" s="358"/>
      <c r="K397" s="358"/>
      <c r="L397" s="358"/>
      <c r="M397" s="358"/>
    </row>
    <row r="398" spans="1:13" ht="13">
      <c r="A398" s="360"/>
      <c r="F398" s="358" t="s">
        <v>592</v>
      </c>
      <c r="G398" s="358"/>
      <c r="H398" s="358"/>
      <c r="I398" s="2647">
        <f>'Part IV-Utility Allowances'!I8</f>
        <v>0</v>
      </c>
      <c r="J398" s="2647"/>
      <c r="K398" s="1804" t="s">
        <v>504</v>
      </c>
      <c r="L398" s="358">
        <f>'Part IV-Utility Allowances'!L8</f>
        <v>0</v>
      </c>
      <c r="M398" s="358"/>
    </row>
    <row r="399" spans="1:13" ht="13">
      <c r="A399" s="360"/>
    </row>
    <row r="400" spans="1:13" ht="13">
      <c r="A400" s="360"/>
      <c r="B400" s="360"/>
      <c r="C400" s="360"/>
      <c r="D400" s="360"/>
      <c r="E400" s="360"/>
      <c r="F400" s="360" t="s">
        <v>566</v>
      </c>
      <c r="G400" s="360"/>
      <c r="H400" s="360"/>
      <c r="I400" s="360" t="s">
        <v>193</v>
      </c>
      <c r="J400" s="360"/>
      <c r="K400" s="360"/>
      <c r="L400" s="360"/>
      <c r="M400" s="360"/>
    </row>
    <row r="401" spans="1:13" ht="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ht="13">
      <c r="B402" s="358" t="s">
        <v>1711</v>
      </c>
      <c r="C402" s="358"/>
      <c r="D402" s="358" t="str">
        <f>'Part IV-Utility Allowances'!D12</f>
        <v>&lt;&lt;Select Fuel &gt;&gt;</v>
      </c>
      <c r="E402" s="358"/>
      <c r="F402" s="2648">
        <f>'Part IV-Utility Allowances'!F12</f>
        <v>0</v>
      </c>
      <c r="G402" s="2648">
        <f>'Part IV-Utility Allowances'!G12</f>
        <v>0</v>
      </c>
      <c r="I402" s="1804">
        <f>'Part IV-Utility Allowances'!I12</f>
        <v>0</v>
      </c>
      <c r="J402" s="1804">
        <f>'Part IV-Utility Allowances'!J12</f>
        <v>0</v>
      </c>
      <c r="K402" s="1804">
        <f>'Part IV-Utility Allowances'!K12</f>
        <v>0</v>
      </c>
      <c r="L402" s="1804">
        <f>'Part IV-Utility Allowances'!L12</f>
        <v>0</v>
      </c>
      <c r="M402" s="1804">
        <f>'Part IV-Utility Allowances'!M12</f>
        <v>0</v>
      </c>
    </row>
    <row r="403" spans="1:13" ht="13">
      <c r="B403" s="358" t="s">
        <v>1490</v>
      </c>
      <c r="C403" s="358"/>
      <c r="D403" s="358" t="str">
        <f>'Part IV-Utility Allowances'!D13</f>
        <v>&lt;&lt;Select Fuel &gt;&gt;</v>
      </c>
      <c r="E403" s="358"/>
      <c r="F403" s="2648">
        <f>'Part IV-Utility Allowances'!F13</f>
        <v>0</v>
      </c>
      <c r="G403" s="2648">
        <f>'Part IV-Utility Allowances'!G13</f>
        <v>0</v>
      </c>
      <c r="I403" s="1804">
        <f>'Part IV-Utility Allowances'!I13</f>
        <v>0</v>
      </c>
      <c r="J403" s="1804">
        <f>'Part IV-Utility Allowances'!J13</f>
        <v>0</v>
      </c>
      <c r="K403" s="1804">
        <f>'Part IV-Utility Allowances'!K13</f>
        <v>0</v>
      </c>
      <c r="L403" s="1804">
        <f>'Part IV-Utility Allowances'!L13</f>
        <v>0</v>
      </c>
      <c r="M403" s="1804">
        <f>'Part IV-Utility Allowances'!M13</f>
        <v>0</v>
      </c>
    </row>
    <row r="404" spans="1:13" ht="13">
      <c r="B404" s="358" t="s">
        <v>1491</v>
      </c>
      <c r="C404" s="358"/>
      <c r="D404" s="358" t="str">
        <f>'Part IV-Utility Allowances'!D14</f>
        <v>&lt;&lt;Select Fuel &gt;&gt;</v>
      </c>
      <c r="E404" s="358"/>
      <c r="F404" s="2648">
        <f>'Part IV-Utility Allowances'!F14</f>
        <v>0</v>
      </c>
      <c r="G404" s="2648">
        <f>'Part IV-Utility Allowances'!G14</f>
        <v>0</v>
      </c>
      <c r="I404" s="1804">
        <f>'Part IV-Utility Allowances'!I14</f>
        <v>0</v>
      </c>
      <c r="J404" s="1804">
        <f>'Part IV-Utility Allowances'!J14</f>
        <v>0</v>
      </c>
      <c r="K404" s="1804">
        <f>'Part IV-Utility Allowances'!K14</f>
        <v>0</v>
      </c>
      <c r="L404" s="1804">
        <f>'Part IV-Utility Allowances'!L14</f>
        <v>0</v>
      </c>
      <c r="M404" s="1804">
        <f>'Part IV-Utility Allowances'!M14</f>
        <v>0</v>
      </c>
    </row>
    <row r="405" spans="1:13" ht="13">
      <c r="B405" s="358" t="s">
        <v>439</v>
      </c>
      <c r="C405" s="358"/>
      <c r="D405" s="358" t="s">
        <v>1489</v>
      </c>
      <c r="F405" s="2648">
        <f>'Part IV-Utility Allowances'!F15</f>
        <v>0</v>
      </c>
      <c r="G405" s="2648">
        <f>'Part IV-Utility Allowances'!G15</f>
        <v>0</v>
      </c>
      <c r="I405" s="1804">
        <f>'Part IV-Utility Allowances'!I15</f>
        <v>0</v>
      </c>
      <c r="J405" s="1804">
        <f>'Part IV-Utility Allowances'!J15</f>
        <v>0</v>
      </c>
      <c r="K405" s="1804">
        <f>'Part IV-Utility Allowances'!K15</f>
        <v>0</v>
      </c>
      <c r="L405" s="1804">
        <f>'Part IV-Utility Allowances'!L15</f>
        <v>0</v>
      </c>
      <c r="M405" s="1804">
        <f>'Part IV-Utility Allowances'!M15</f>
        <v>0</v>
      </c>
    </row>
    <row r="406" spans="1:13" ht="13">
      <c r="B406" s="358" t="s">
        <v>3188</v>
      </c>
      <c r="C406" s="358"/>
      <c r="D406" s="358" t="s">
        <v>1489</v>
      </c>
      <c r="F406" s="2648">
        <f>'Part IV-Utility Allowances'!F16</f>
        <v>0</v>
      </c>
      <c r="G406" s="2648">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ht="13">
      <c r="B407" s="358" t="s">
        <v>3189</v>
      </c>
      <c r="C407" s="358"/>
      <c r="D407" s="358" t="s">
        <v>1489</v>
      </c>
      <c r="F407" s="2648">
        <f>'Part IV-Utility Allowances'!F17</f>
        <v>0</v>
      </c>
      <c r="G407" s="2648">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ht="13">
      <c r="B408" s="358" t="s">
        <v>3190</v>
      </c>
      <c r="C408" s="358"/>
      <c r="D408" s="358" t="s">
        <v>1489</v>
      </c>
      <c r="F408" s="2648">
        <f>'Part IV-Utility Allowances'!F18</f>
        <v>0</v>
      </c>
      <c r="G408" s="2648">
        <f>'Part IV-Utility Allowances'!G18</f>
        <v>0</v>
      </c>
      <c r="I408" s="1804">
        <f>'Part IV-Utility Allowances'!I18</f>
        <v>0</v>
      </c>
      <c r="J408" s="1804">
        <f>'Part IV-Utility Allowances'!J18</f>
        <v>0</v>
      </c>
      <c r="K408" s="1804">
        <f>'Part IV-Utility Allowances'!K18</f>
        <v>0</v>
      </c>
      <c r="L408" s="1804">
        <f>'Part IV-Utility Allowances'!L18</f>
        <v>0</v>
      </c>
      <c r="M408" s="1804">
        <f>'Part IV-Utility Allowances'!M18</f>
        <v>0</v>
      </c>
    </row>
    <row r="409" spans="1:13" ht="13">
      <c r="B409" s="358" t="s">
        <v>1290</v>
      </c>
      <c r="C409" s="358"/>
      <c r="D409" s="358" t="s">
        <v>5039</v>
      </c>
      <c r="E409" s="1804" t="str">
        <f>'Part IV-Utility Allowances'!E19</f>
        <v>&lt;Select&gt;</v>
      </c>
      <c r="F409" s="2648">
        <f>'Part IV-Utility Allowances'!F19</f>
        <v>0</v>
      </c>
      <c r="G409" s="2648">
        <f>'Part IV-Utility Allowances'!G19</f>
        <v>0</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ht="13">
      <c r="B410" s="358" t="s">
        <v>1710</v>
      </c>
      <c r="C410" s="358"/>
      <c r="F410" s="2648">
        <f>'Part IV-Utility Allowances'!F20</f>
        <v>0</v>
      </c>
      <c r="G410" s="2648">
        <f>'Part IV-Utility Allowances'!G20</f>
        <v>0</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ht="13">
      <c r="B411" s="358" t="s">
        <v>689</v>
      </c>
      <c r="C411" s="361">
        <f>'Part IV-Utility Allowances'!C21</f>
        <v>0</v>
      </c>
      <c r="D411" s="361"/>
      <c r="E411" s="361"/>
      <c r="F411" s="2648">
        <f>'Part IV-Utility Allowances'!F21</f>
        <v>0</v>
      </c>
      <c r="G411" s="2648">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ht="13">
      <c r="B412" s="360" t="s">
        <v>955</v>
      </c>
      <c r="F412" s="1658"/>
      <c r="G412" s="1658"/>
      <c r="I412" s="2648">
        <f>IF(SUM(I402:I411)=0,0,IF(OR($D402="&lt;&lt;Select Fuel &gt;&gt;",$D403="&lt;&lt;Select Fuel &gt;&gt;",$D404="&lt;&lt;Select Fuel &gt;&gt;"),"Select Fuel",IF($E409="&lt;Select&gt;","Submeter?",SUM(I402:I411))))</f>
        <v>0</v>
      </c>
      <c r="J412" s="2648">
        <f>IF(SUM(J402:J411)=0,0,IF(OR($D402="&lt;&lt;Select Fuel &gt;&gt;",$D403="&lt;&lt;Select Fuel &gt;&gt;",$D404="&lt;&lt;Select Fuel &gt;&gt;"),"Select Fuel",IF($E409="&lt;Select&gt;","Submeter?",SUM(J402:J411))))</f>
        <v>0</v>
      </c>
      <c r="K412" s="2648">
        <f>IF(SUM(K402:K411)=0,0,IF(OR($D402="&lt;&lt;Select Fuel &gt;&gt;",$D403="&lt;&lt;Select Fuel &gt;&gt;",$D404="&lt;&lt;Select Fuel &gt;&gt;"),"Select Fuel",IF($E409="&lt;Select&gt;","Submeter?",SUM(K402:K411))))</f>
        <v>0</v>
      </c>
      <c r="L412" s="2648">
        <f>IF(SUM(L402:L411)=0,0,IF(OR($D402="&lt;&lt;Select Fuel &gt;&gt;",$D403="&lt;&lt;Select Fuel &gt;&gt;",$D404="&lt;&lt;Select Fuel &gt;&gt;"),"Select Fuel",IF($E409="&lt;Select&gt;","Submeter?",SUM(L402:L411))))</f>
        <v>0</v>
      </c>
      <c r="M412" s="2648">
        <f>IF(SUM(M402:M411)=0,0,IF(OR($D402="&lt;&lt;Select Fuel &gt;&gt;",$D403="&lt;&lt;Select Fuel &gt;&gt;",$D404="&lt;&lt;Select Fuel &gt;&gt;"),"Select Fuel",IF($E409="&lt;Select&gt;","Submeter?",SUM(M402:M411))))</f>
        <v>0</v>
      </c>
    </row>
    <row r="414" spans="1:13" ht="13">
      <c r="A414" s="360" t="s">
        <v>688</v>
      </c>
      <c r="B414" s="360" t="s">
        <v>2055</v>
      </c>
      <c r="F414" s="358" t="s">
        <v>2311</v>
      </c>
      <c r="G414" s="358"/>
      <c r="H414" s="358"/>
      <c r="I414" s="358">
        <f>'Part IV-Utility Allowances'!I24</f>
        <v>0</v>
      </c>
      <c r="J414" s="358"/>
      <c r="K414" s="358"/>
      <c r="L414" s="358"/>
      <c r="M414" s="358"/>
    </row>
    <row r="415" spans="1:13" ht="13">
      <c r="A415" s="360"/>
      <c r="B415" s="360"/>
      <c r="F415" s="358" t="s">
        <v>592</v>
      </c>
      <c r="G415" s="358"/>
      <c r="H415" s="358"/>
      <c r="I415" s="2647">
        <f>'Part IV-Utility Allowances'!I25</f>
        <v>0</v>
      </c>
      <c r="J415" s="2647"/>
      <c r="K415" s="1804" t="s">
        <v>504</v>
      </c>
      <c r="L415" s="358">
        <f>'Part IV-Utility Allowances'!L25</f>
        <v>0</v>
      </c>
      <c r="M415" s="358"/>
    </row>
    <row r="416" spans="1:13" ht="13">
      <c r="A416" s="360"/>
    </row>
    <row r="417" spans="1:13" ht="13">
      <c r="A417" s="360"/>
      <c r="B417" s="360"/>
      <c r="C417" s="360"/>
      <c r="D417" s="360"/>
      <c r="E417" s="360"/>
      <c r="F417" s="360" t="s">
        <v>566</v>
      </c>
      <c r="G417" s="360"/>
      <c r="H417" s="360"/>
      <c r="I417" s="360" t="s">
        <v>193</v>
      </c>
      <c r="J417" s="360"/>
      <c r="K417" s="360"/>
      <c r="L417" s="360"/>
      <c r="M417" s="360"/>
    </row>
    <row r="418" spans="1:13" ht="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ht="13">
      <c r="B419" s="358" t="s">
        <v>1711</v>
      </c>
      <c r="C419" s="358"/>
      <c r="D419" s="358" t="str">
        <f>'Part IV-Utility Allowances'!D29</f>
        <v>&lt;&lt;Select Fuel &gt;&gt;</v>
      </c>
      <c r="E419" s="358"/>
      <c r="F419" s="2648">
        <f>'Part IV-Utility Allowances'!F29</f>
        <v>0</v>
      </c>
      <c r="G419" s="2648">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ht="13">
      <c r="B420" s="358" t="s">
        <v>1490</v>
      </c>
      <c r="C420" s="358"/>
      <c r="D420" s="358" t="str">
        <f>'Part IV-Utility Allowances'!D30</f>
        <v>&lt;&lt;Select Fuel &gt;&gt;</v>
      </c>
      <c r="E420" s="358"/>
      <c r="F420" s="2648">
        <f>'Part IV-Utility Allowances'!F30</f>
        <v>0</v>
      </c>
      <c r="G420" s="2648">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ht="13">
      <c r="B421" s="358" t="s">
        <v>1491</v>
      </c>
      <c r="C421" s="358"/>
      <c r="D421" s="358" t="str">
        <f>'Part IV-Utility Allowances'!D31</f>
        <v>&lt;&lt;Select Fuel &gt;&gt;</v>
      </c>
      <c r="E421" s="358"/>
      <c r="F421" s="2648">
        <f>'Part IV-Utility Allowances'!F31</f>
        <v>0</v>
      </c>
      <c r="G421" s="2648">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ht="13">
      <c r="B422" s="358" t="s">
        <v>439</v>
      </c>
      <c r="C422" s="358"/>
      <c r="D422" s="358" t="s">
        <v>1489</v>
      </c>
      <c r="F422" s="2648">
        <f>'Part IV-Utility Allowances'!F32</f>
        <v>0</v>
      </c>
      <c r="G422" s="2648">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ht="13">
      <c r="B423" s="358" t="s">
        <v>3188</v>
      </c>
      <c r="C423" s="358"/>
      <c r="D423" s="358" t="s">
        <v>1489</v>
      </c>
      <c r="F423" s="2648">
        <f>'Part IV-Utility Allowances'!F33</f>
        <v>0</v>
      </c>
      <c r="G423" s="2648">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ht="13">
      <c r="B424" s="358" t="s">
        <v>3189</v>
      </c>
      <c r="C424" s="358"/>
      <c r="D424" s="358" t="s">
        <v>1489</v>
      </c>
      <c r="F424" s="2648">
        <f>'Part IV-Utility Allowances'!F34</f>
        <v>0</v>
      </c>
      <c r="G424" s="2648">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ht="13">
      <c r="B425" s="358" t="s">
        <v>3190</v>
      </c>
      <c r="C425" s="358"/>
      <c r="D425" s="358" t="s">
        <v>1489</v>
      </c>
      <c r="F425" s="2648">
        <f>'Part IV-Utility Allowances'!F35</f>
        <v>0</v>
      </c>
      <c r="G425" s="2648">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ht="13">
      <c r="B426" s="358" t="s">
        <v>1290</v>
      </c>
      <c r="C426" s="358"/>
      <c r="D426" s="358" t="s">
        <v>5039</v>
      </c>
      <c r="E426" s="1804" t="str">
        <f>'Part IV-Utility Allowances'!E36</f>
        <v>&lt;Select&gt;</v>
      </c>
      <c r="F426" s="2648">
        <f>'Part IV-Utility Allowances'!F36</f>
        <v>0</v>
      </c>
      <c r="G426" s="2648">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ht="13">
      <c r="B427" s="358" t="s">
        <v>1710</v>
      </c>
      <c r="C427" s="358"/>
      <c r="F427" s="2648">
        <f>'Part IV-Utility Allowances'!F37</f>
        <v>0</v>
      </c>
      <c r="G427" s="2648">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ht="13">
      <c r="B428" s="358" t="s">
        <v>689</v>
      </c>
      <c r="C428" s="361">
        <f>'Part IV-Utility Allowances'!C38</f>
        <v>0</v>
      </c>
      <c r="D428" s="361"/>
      <c r="E428" s="361"/>
      <c r="F428" s="2648">
        <f>'Part IV-Utility Allowances'!F38</f>
        <v>0</v>
      </c>
      <c r="G428" s="2648">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ht="13">
      <c r="B429" s="360" t="s">
        <v>955</v>
      </c>
      <c r="F429" s="1658"/>
      <c r="G429" s="1658"/>
      <c r="I429" s="2648">
        <f>IF(SUM(I419:I428)=0,0,IF(OR($D419="&lt;&lt;Select Fuel &gt;&gt;",$D421="&lt;&lt;Select Fuel &gt;&gt;",$D422="&lt;&lt;Select Fuel &gt;&gt;"),"Select Fuel",IF($E426="&lt;Select&gt;","Submeter?",SUM(I419:I428))))</f>
        <v>0</v>
      </c>
      <c r="J429" s="2648">
        <f>IF(SUM(J419:J428)=0,0,IF(OR($D419="&lt;&lt;Select Fuel &gt;&gt;",$D421="&lt;&lt;Select Fuel &gt;&gt;",$D422="&lt;&lt;Select Fuel &gt;&gt;"),"Select Fuel",IF($E426="&lt;Select&gt;","Submeter?",SUM(J419:J428))))</f>
        <v>0</v>
      </c>
      <c r="K429" s="2648">
        <f>IF(SUM(K419:K428)=0,0,IF(OR($D419="&lt;&lt;Select Fuel &gt;&gt;",$D421="&lt;&lt;Select Fuel &gt;&gt;",$D422="&lt;&lt;Select Fuel &gt;&gt;"),"Select Fuel",IF($E426="&lt;Select&gt;","Submeter?",SUM(K419:K428))))</f>
        <v>0</v>
      </c>
      <c r="L429" s="2648">
        <f>IF(SUM(L419:L428)=0,0,IF(OR($D419="&lt;&lt;Select Fuel &gt;&gt;",$D421="&lt;&lt;Select Fuel &gt;&gt;",$D422="&lt;&lt;Select Fuel &gt;&gt;"),"Select Fuel",IF($E426="&lt;Select&gt;","Submeter?",SUM(L419:L428))))</f>
        <v>0</v>
      </c>
      <c r="M429" s="2648">
        <f>IF(SUM(M419:M428)=0,0,IF(OR($D419="&lt;&lt;Select Fuel &gt;&gt;",$D421="&lt;&lt;Select Fuel &gt;&gt;",$D422="&lt;&lt;Select Fuel &gt;&gt;"),"Select Fuel",IF($E426="&lt;Select&gt;","Submeter?",SUM(M419:M428))))</f>
        <v>0</v>
      </c>
    </row>
    <row r="431" spans="1:13" ht="13">
      <c r="B431" s="794" t="s">
        <v>5040</v>
      </c>
      <c r="F431" s="1658"/>
      <c r="G431" s="1658"/>
      <c r="I431" s="1795"/>
      <c r="J431" s="1795"/>
      <c r="K431" s="1795"/>
      <c r="L431" s="1795"/>
      <c r="M431" s="1795"/>
    </row>
    <row r="432" spans="1:13" ht="13">
      <c r="A432" s="360"/>
      <c r="B432" s="360" t="s">
        <v>529</v>
      </c>
    </row>
    <row r="433" spans="1:358">
      <c r="B433" s="2649">
        <f>'Part IV-Utility Allowances'!B43</f>
        <v>0</v>
      </c>
      <c r="C433" s="2649"/>
      <c r="D433" s="2649"/>
      <c r="E433" s="2649"/>
      <c r="F433" s="2649"/>
      <c r="G433" s="2649"/>
      <c r="H433" s="2649"/>
      <c r="I433" s="2649"/>
      <c r="J433" s="2649"/>
      <c r="K433" s="2649"/>
      <c r="L433" s="2649"/>
      <c r="M433" s="2649"/>
    </row>
    <row r="435" spans="1:358" ht="13">
      <c r="A435" s="360"/>
      <c r="B435" s="360" t="s">
        <v>1706</v>
      </c>
    </row>
    <row r="436" spans="1:358">
      <c r="B436" s="2649"/>
      <c r="C436" s="2649"/>
      <c r="D436" s="2649"/>
      <c r="E436" s="2649"/>
      <c r="F436" s="2649"/>
      <c r="G436" s="2649"/>
      <c r="H436" s="2649"/>
      <c r="I436" s="2649"/>
      <c r="J436" s="2649"/>
      <c r="K436" s="2649"/>
      <c r="L436" s="2649"/>
      <c r="M436" s="2649"/>
    </row>
    <row r="440" spans="1:358" s="358" customFormat="1" ht="14.15" customHeight="1">
      <c r="A440" s="1657" t="str">
        <f>CONCATENATE("PART FOUR - PROJECTED REVENUES &amp; EXPENSES","  -  ",'Part I-Project Identification'!$O$7," ",'Part I-Project Identification'!$F$26,", ",'Part I-Project Identification'!F382,", ",'Part I-Project Identification'!J382," County")</f>
        <v>PART FOUR - PROJECTED REVENUES &amp; EXPENSES  -  2024-5 ,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2024-5 ,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5" customHeight="1">
      <c r="A442" s="1657" t="s">
        <v>572</v>
      </c>
      <c r="B442" s="1657" t="s">
        <v>2177</v>
      </c>
      <c r="D442" s="2519" t="s">
        <v>3999</v>
      </c>
      <c r="E442" s="2519"/>
      <c r="F442" s="2519"/>
      <c r="G442" s="2519"/>
      <c r="H442" s="2519"/>
      <c r="I442" s="2519"/>
      <c r="J442" s="2519"/>
      <c r="K442" s="1657"/>
      <c r="L442" s="1657"/>
      <c r="M442" s="1657"/>
      <c r="O442" s="2650" t="s">
        <v>533</v>
      </c>
      <c r="P442" s="2651" t="str">
        <f>'Part I-Project Identification'!$O$29</f>
        <v>Select City first</v>
      </c>
      <c r="Q442" s="2651"/>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7"/>
      <c r="D443" s="2519"/>
      <c r="E443" s="2519"/>
      <c r="F443" s="2519"/>
      <c r="G443" s="2519"/>
      <c r="H443" s="2519"/>
      <c r="I443" s="2519"/>
      <c r="J443" s="2519"/>
      <c r="P443" s="2651"/>
      <c r="Q443" s="2652" t="s">
        <v>5086</v>
      </c>
      <c r="R443" s="2653"/>
      <c r="X443" s="359" t="s">
        <v>3564</v>
      </c>
      <c r="Y443" s="359" t="s">
        <v>3565</v>
      </c>
      <c r="Z443" s="359" t="s">
        <v>3566</v>
      </c>
      <c r="AA443" s="359" t="s">
        <v>3567</v>
      </c>
      <c r="AB443" s="359" t="s">
        <v>3568</v>
      </c>
      <c r="AC443" s="359" t="s">
        <v>3569</v>
      </c>
      <c r="AD443" s="359" t="s">
        <v>3570</v>
      </c>
      <c r="AE443" s="359" t="s">
        <v>3571</v>
      </c>
      <c r="AF443" s="359" t="s">
        <v>3572</v>
      </c>
      <c r="AG443" s="359" t="s">
        <v>3573</v>
      </c>
      <c r="AH443" s="359" t="s">
        <v>860</v>
      </c>
      <c r="AI443" s="359" t="s">
        <v>704</v>
      </c>
      <c r="AJ443" s="359" t="s">
        <v>705</v>
      </c>
      <c r="AK443" s="359" t="s">
        <v>706</v>
      </c>
      <c r="AL443" s="359" t="s">
        <v>707</v>
      </c>
      <c r="AM443" s="359" t="s">
        <v>861</v>
      </c>
      <c r="AN443" s="359" t="s">
        <v>2125</v>
      </c>
      <c r="AO443" s="359" t="s">
        <v>2126</v>
      </c>
      <c r="AP443" s="359" t="s">
        <v>2127</v>
      </c>
      <c r="AQ443" s="359" t="s">
        <v>2128</v>
      </c>
      <c r="AR443" s="359" t="s">
        <v>3575</v>
      </c>
      <c r="AS443" s="359" t="s">
        <v>3576</v>
      </c>
      <c r="AT443" s="359" t="s">
        <v>3577</v>
      </c>
      <c r="AU443" s="359" t="s">
        <v>3578</v>
      </c>
      <c r="AV443" s="359" t="s">
        <v>3574</v>
      </c>
      <c r="AW443" s="359" t="s">
        <v>862</v>
      </c>
      <c r="AX443" s="359" t="s">
        <v>2129</v>
      </c>
      <c r="AY443" s="359" t="s">
        <v>2130</v>
      </c>
      <c r="AZ443" s="359" t="s">
        <v>2131</v>
      </c>
      <c r="BA443" s="359" t="s">
        <v>2132</v>
      </c>
      <c r="BB443" s="359" t="s">
        <v>3579</v>
      </c>
      <c r="BC443" s="359" t="s">
        <v>3580</v>
      </c>
      <c r="BD443" s="359" t="s">
        <v>3581</v>
      </c>
      <c r="BE443" s="359" t="s">
        <v>3582</v>
      </c>
      <c r="BF443" s="359" t="s">
        <v>3583</v>
      </c>
      <c r="BG443" s="359" t="s">
        <v>123</v>
      </c>
      <c r="BH443" s="359" t="s">
        <v>2133</v>
      </c>
      <c r="BI443" s="359" t="s">
        <v>2134</v>
      </c>
      <c r="BJ443" s="359" t="s">
        <v>2135</v>
      </c>
      <c r="BK443" s="359" t="s">
        <v>1079</v>
      </c>
      <c r="BL443" s="359" t="s">
        <v>3584</v>
      </c>
      <c r="BM443" s="359" t="s">
        <v>3585</v>
      </c>
      <c r="BN443" s="359" t="s">
        <v>3586</v>
      </c>
      <c r="BO443" s="359" t="s">
        <v>3587</v>
      </c>
      <c r="BP443" s="359" t="s">
        <v>3588</v>
      </c>
      <c r="BQ443" s="359" t="s">
        <v>516</v>
      </c>
      <c r="BR443" s="359" t="s">
        <v>517</v>
      </c>
      <c r="BS443" s="359" t="s">
        <v>534</v>
      </c>
      <c r="BT443" s="359" t="s">
        <v>535</v>
      </c>
      <c r="BU443" s="359" t="s">
        <v>536</v>
      </c>
      <c r="BV443" s="359" t="s">
        <v>3589</v>
      </c>
      <c r="BW443" s="359" t="s">
        <v>3590</v>
      </c>
      <c r="BX443" s="359" t="s">
        <v>3591</v>
      </c>
      <c r="BY443" s="359" t="s">
        <v>3592</v>
      </c>
      <c r="BZ443" s="359" t="s">
        <v>3593</v>
      </c>
      <c r="CA443" s="359" t="s">
        <v>537</v>
      </c>
      <c r="CB443" s="359" t="s">
        <v>538</v>
      </c>
      <c r="CC443" s="359" t="s">
        <v>539</v>
      </c>
      <c r="CD443" s="359" t="s">
        <v>540</v>
      </c>
      <c r="CE443" s="359" t="s">
        <v>541</v>
      </c>
      <c r="CF443" s="359" t="s">
        <v>542</v>
      </c>
      <c r="CG443" s="359" t="s">
        <v>543</v>
      </c>
      <c r="CH443" s="359" t="s">
        <v>871</v>
      </c>
      <c r="CI443" s="359" t="s">
        <v>872</v>
      </c>
      <c r="CJ443" s="359" t="s">
        <v>873</v>
      </c>
      <c r="CK443" s="359" t="s">
        <v>3599</v>
      </c>
      <c r="CL443" s="359" t="s">
        <v>3600</v>
      </c>
      <c r="CM443" s="359" t="s">
        <v>3601</v>
      </c>
      <c r="CN443" s="359" t="s">
        <v>3602</v>
      </c>
      <c r="CO443" s="359" t="s">
        <v>3603</v>
      </c>
      <c r="CP443" s="359" t="s">
        <v>3594</v>
      </c>
      <c r="CQ443" s="359" t="s">
        <v>3595</v>
      </c>
      <c r="CR443" s="359" t="s">
        <v>3596</v>
      </c>
      <c r="CS443" s="359" t="s">
        <v>3597</v>
      </c>
      <c r="CT443" s="359" t="s">
        <v>3598</v>
      </c>
      <c r="CU443" s="359" t="s">
        <v>3604</v>
      </c>
      <c r="CV443" s="359" t="s">
        <v>3605</v>
      </c>
      <c r="CW443" s="359" t="s">
        <v>3606</v>
      </c>
      <c r="CX443" s="359" t="s">
        <v>3607</v>
      </c>
      <c r="CY443" s="359" t="s">
        <v>3608</v>
      </c>
      <c r="CZ443" s="359" t="s">
        <v>465</v>
      </c>
      <c r="DA443" s="359" t="s">
        <v>466</v>
      </c>
      <c r="DB443" s="359" t="s">
        <v>467</v>
      </c>
      <c r="DC443" s="359" t="s">
        <v>468</v>
      </c>
      <c r="DD443" s="359" t="s">
        <v>469</v>
      </c>
      <c r="DE443" s="359" t="s">
        <v>3609</v>
      </c>
      <c r="DF443" s="359" t="s">
        <v>3610</v>
      </c>
      <c r="DG443" s="359" t="s">
        <v>3611</v>
      </c>
      <c r="DH443" s="359" t="s">
        <v>3612</v>
      </c>
      <c r="DI443" s="359" t="s">
        <v>3613</v>
      </c>
      <c r="DJ443" s="359" t="s">
        <v>821</v>
      </c>
      <c r="DK443" s="359" t="s">
        <v>822</v>
      </c>
      <c r="DL443" s="359" t="s">
        <v>823</v>
      </c>
      <c r="DM443" s="359" t="s">
        <v>824</v>
      </c>
      <c r="DN443" s="359" t="s">
        <v>825</v>
      </c>
      <c r="DO443" s="359" t="s">
        <v>826</v>
      </c>
      <c r="DP443" s="359" t="s">
        <v>827</v>
      </c>
      <c r="DQ443" s="359" t="s">
        <v>828</v>
      </c>
      <c r="DR443" s="359" t="s">
        <v>829</v>
      </c>
      <c r="DS443" s="359" t="s">
        <v>830</v>
      </c>
      <c r="DT443" s="359" t="s">
        <v>3614</v>
      </c>
      <c r="DU443" s="359" t="s">
        <v>3615</v>
      </c>
      <c r="DV443" s="359" t="s">
        <v>3616</v>
      </c>
      <c r="DW443" s="359" t="s">
        <v>3617</v>
      </c>
      <c r="DX443" s="359" t="s">
        <v>3618</v>
      </c>
      <c r="DY443" s="359" t="s">
        <v>3619</v>
      </c>
      <c r="DZ443" s="359" t="s">
        <v>3620</v>
      </c>
      <c r="EA443" s="359" t="s">
        <v>3621</v>
      </c>
      <c r="EB443" s="359" t="s">
        <v>3622</v>
      </c>
      <c r="EC443" s="359" t="s">
        <v>3623</v>
      </c>
      <c r="ED443" s="359" t="s">
        <v>2229</v>
      </c>
      <c r="EE443" s="359" t="s">
        <v>2230</v>
      </c>
      <c r="EF443" s="359" t="s">
        <v>2231</v>
      </c>
      <c r="EG443" s="359" t="s">
        <v>2232</v>
      </c>
      <c r="EH443" s="359" t="s">
        <v>2233</v>
      </c>
      <c r="EI443" s="359" t="s">
        <v>3624</v>
      </c>
      <c r="EJ443" s="359" t="s">
        <v>3625</v>
      </c>
      <c r="EK443" s="359" t="s">
        <v>3626</v>
      </c>
      <c r="EL443" s="359" t="s">
        <v>3627</v>
      </c>
      <c r="EM443" s="359" t="s">
        <v>3628</v>
      </c>
      <c r="EN443" s="359" t="s">
        <v>3629</v>
      </c>
      <c r="EO443" s="359" t="s">
        <v>3630</v>
      </c>
      <c r="EP443" s="359" t="s">
        <v>3631</v>
      </c>
      <c r="EQ443" s="359" t="s">
        <v>3632</v>
      </c>
      <c r="ER443" s="359" t="s">
        <v>3633</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3634</v>
      </c>
      <c r="FD443" s="359" t="s">
        <v>3635</v>
      </c>
      <c r="FE443" s="359" t="s">
        <v>3636</v>
      </c>
      <c r="FF443" s="359" t="s">
        <v>3637</v>
      </c>
      <c r="FG443" s="359" t="s">
        <v>3638</v>
      </c>
      <c r="FH443" s="359" t="s">
        <v>125</v>
      </c>
      <c r="FI443" s="359" t="s">
        <v>852</v>
      </c>
      <c r="FJ443" s="359" t="s">
        <v>853</v>
      </c>
      <c r="FK443" s="359" t="s">
        <v>854</v>
      </c>
      <c r="FL443" s="359" t="s">
        <v>855</v>
      </c>
      <c r="FM443" s="359" t="s">
        <v>3639</v>
      </c>
      <c r="FN443" s="359" t="s">
        <v>3640</v>
      </c>
      <c r="FO443" s="359" t="s">
        <v>3641</v>
      </c>
      <c r="FP443" s="359" t="s">
        <v>3642</v>
      </c>
      <c r="FQ443" s="359" t="s">
        <v>3643</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5" customHeight="1">
      <c r="A444" s="2654" t="str">
        <f>IF(A487&gt;0,"Finish Row!","")</f>
        <v/>
      </c>
      <c r="B444" s="1546" t="s">
        <v>5087</v>
      </c>
      <c r="D444" s="2519"/>
      <c r="E444" s="2519"/>
      <c r="F444" s="2519"/>
      <c r="G444" s="1804" t="str">
        <f>'Part V-Revenues &amp; Expenses'!G6</f>
        <v>&lt;Select&gt;</v>
      </c>
      <c r="H444" s="2655" t="s">
        <v>4002</v>
      </c>
      <c r="I444" s="2655"/>
      <c r="J444" s="2655"/>
      <c r="K444" s="2656" t="s">
        <v>3052</v>
      </c>
      <c r="L444" s="2657" t="str">
        <f>'Part I-Project Identification'!$A$6</f>
        <v>4% Credit Core
Sept 26, 2024</v>
      </c>
      <c r="M444" s="2657"/>
      <c r="N444" s="2657"/>
      <c r="O444" s="2658" t="s">
        <v>5088</v>
      </c>
      <c r="P444" s="2659">
        <f>'Part V-Revenues &amp; Expenses'!P6</f>
        <v>0</v>
      </c>
      <c r="Q444" s="2652"/>
      <c r="R444" s="2653"/>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4182</v>
      </c>
      <c r="MQ444" s="359" t="s">
        <v>4183</v>
      </c>
      <c r="MR444" s="359" t="s">
        <v>4184</v>
      </c>
      <c r="MS444" s="359" t="s">
        <v>4185</v>
      </c>
      <c r="MT444" s="359" t="s">
        <v>4186</v>
      </c>
    </row>
    <row r="445" spans="1:358" s="358" customFormat="1" ht="12.65" customHeight="1">
      <c r="A445" s="2654"/>
      <c r="B445" s="2660" t="s">
        <v>4001</v>
      </c>
      <c r="E445" s="1657"/>
      <c r="G445" s="1804" t="str">
        <f>'Part V-Revenues &amp; Expenses'!G7</f>
        <v>&lt;Select&gt;</v>
      </c>
      <c r="I445" s="1546" t="s">
        <v>3944</v>
      </c>
      <c r="J445" s="2656" t="s">
        <v>741</v>
      </c>
      <c r="K445" s="2656" t="s">
        <v>3099</v>
      </c>
      <c r="L445" s="2657"/>
      <c r="M445" s="2657"/>
      <c r="N445" s="2657"/>
      <c r="O445" s="2661" t="s">
        <v>3981</v>
      </c>
      <c r="P445" s="2662">
        <f>'Part V-Revenues &amp; Expenses'!P7</f>
        <v>0</v>
      </c>
      <c r="Q445" s="2652"/>
      <c r="R445" s="1657" t="s">
        <v>2451</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5" customHeight="1">
      <c r="A446" s="2654"/>
      <c r="B446" s="2656" t="s">
        <v>3646</v>
      </c>
      <c r="I446" s="1546"/>
      <c r="J446" s="2656" t="s">
        <v>742</v>
      </c>
      <c r="K446" s="2656" t="s">
        <v>3100</v>
      </c>
      <c r="N446" s="2663" t="s">
        <v>4381</v>
      </c>
      <c r="O446" s="2508">
        <f>'Part V-Revenues &amp; Expenses'!O8</f>
        <v>0</v>
      </c>
      <c r="P446" s="2508"/>
      <c r="Q446" s="2652"/>
      <c r="R446" s="1657"/>
      <c r="S446" s="2648"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4"/>
      <c r="B447" s="2656" t="s">
        <v>3647</v>
      </c>
      <c r="C447" s="2656" t="s">
        <v>165</v>
      </c>
      <c r="D447" s="2656" t="s">
        <v>509</v>
      </c>
      <c r="E447" s="2656" t="s">
        <v>1380</v>
      </c>
      <c r="F447" s="2656" t="s">
        <v>1380</v>
      </c>
      <c r="G447" s="1546" t="s">
        <v>3997</v>
      </c>
      <c r="H447" s="2653" t="s">
        <v>3220</v>
      </c>
      <c r="I447" s="1546"/>
      <c r="J447" s="2664" t="s">
        <v>3991</v>
      </c>
      <c r="K447" s="2656" t="s">
        <v>5089</v>
      </c>
      <c r="L447" s="1546" t="s">
        <v>139</v>
      </c>
      <c r="M447" s="1546"/>
      <c r="N447" s="2656" t="s">
        <v>2178</v>
      </c>
      <c r="O447" s="2656" t="s">
        <v>4384</v>
      </c>
      <c r="P447" s="2652" t="s">
        <v>5090</v>
      </c>
      <c r="Q447" s="2652"/>
      <c r="R447" s="2656" t="s">
        <v>2447</v>
      </c>
      <c r="S447" s="2656" t="s">
        <v>2449</v>
      </c>
      <c r="T447" s="2656"/>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4187</v>
      </c>
      <c r="IZ447" s="359" t="s">
        <v>4187</v>
      </c>
      <c r="JA447" s="359" t="s">
        <v>4187</v>
      </c>
      <c r="JB447" s="359" t="s">
        <v>4187</v>
      </c>
      <c r="JC447" s="359" t="s">
        <v>4187</v>
      </c>
      <c r="JD447" s="359" t="s">
        <v>4188</v>
      </c>
      <c r="JE447" s="359" t="s">
        <v>4188</v>
      </c>
      <c r="JF447" s="359" t="s">
        <v>4188</v>
      </c>
      <c r="JG447" s="359" t="s">
        <v>4188</v>
      </c>
      <c r="JH447" s="359" t="s">
        <v>4188</v>
      </c>
      <c r="JI447" s="359" t="s">
        <v>4190</v>
      </c>
      <c r="JJ447" s="359" t="s">
        <v>4190</v>
      </c>
      <c r="JK447" s="359" t="s">
        <v>4190</v>
      </c>
      <c r="JL447" s="359" t="s">
        <v>4190</v>
      </c>
      <c r="JM447" s="359" t="s">
        <v>4190</v>
      </c>
      <c r="JN447" s="359" t="s">
        <v>4191</v>
      </c>
      <c r="JO447" s="359" t="s">
        <v>4191</v>
      </c>
      <c r="JP447" s="359" t="s">
        <v>4191</v>
      </c>
      <c r="JQ447" s="359" t="s">
        <v>4191</v>
      </c>
      <c r="JR447" s="359" t="s">
        <v>4191</v>
      </c>
      <c r="JS447" s="359" t="s">
        <v>4192</v>
      </c>
      <c r="JT447" s="359" t="s">
        <v>4192</v>
      </c>
      <c r="JU447" s="359" t="s">
        <v>4192</v>
      </c>
      <c r="JV447" s="359" t="s">
        <v>4192</v>
      </c>
      <c r="JW447" s="359" t="s">
        <v>4192</v>
      </c>
      <c r="JX447" s="359" t="s">
        <v>4385</v>
      </c>
      <c r="JY447" s="359" t="s">
        <v>4385</v>
      </c>
      <c r="JZ447" s="359" t="s">
        <v>4385</v>
      </c>
      <c r="KA447" s="359" t="s">
        <v>4385</v>
      </c>
      <c r="KB447" s="359" t="s">
        <v>4385</v>
      </c>
      <c r="KC447" s="359" t="s">
        <v>5091</v>
      </c>
      <c r="KD447" s="359" t="s">
        <v>5091</v>
      </c>
      <c r="KE447" s="359" t="s">
        <v>5091</v>
      </c>
      <c r="KF447" s="359" t="s">
        <v>5091</v>
      </c>
      <c r="KG447" s="359" t="s">
        <v>5091</v>
      </c>
      <c r="KH447" s="359" t="s">
        <v>4548</v>
      </c>
      <c r="KI447" s="359" t="s">
        <v>4548</v>
      </c>
      <c r="KJ447" s="359" t="s">
        <v>4548</v>
      </c>
      <c r="KK447" s="359" t="s">
        <v>4548</v>
      </c>
      <c r="KL447" s="359" t="s">
        <v>4548</v>
      </c>
      <c r="KM447" s="359" t="s">
        <v>4194</v>
      </c>
      <c r="KN447" s="359" t="s">
        <v>4194</v>
      </c>
      <c r="KO447" s="359" t="s">
        <v>4194</v>
      </c>
      <c r="KP447" s="359" t="s">
        <v>4194</v>
      </c>
      <c r="KQ447" s="359" t="s">
        <v>4194</v>
      </c>
      <c r="KR447" s="359" t="s">
        <v>4386</v>
      </c>
      <c r="KS447" s="359" t="s">
        <v>4386</v>
      </c>
      <c r="KT447" s="359" t="s">
        <v>4386</v>
      </c>
      <c r="KU447" s="359" t="s">
        <v>4386</v>
      </c>
      <c r="KV447" s="359" t="s">
        <v>4386</v>
      </c>
      <c r="KW447" s="359" t="s">
        <v>4549</v>
      </c>
      <c r="KX447" s="359" t="s">
        <v>4549</v>
      </c>
      <c r="KY447" s="359" t="s">
        <v>4549</v>
      </c>
      <c r="KZ447" s="359" t="s">
        <v>4549</v>
      </c>
      <c r="LA447" s="359" t="s">
        <v>4549</v>
      </c>
      <c r="LB447" s="359" t="s">
        <v>4550</v>
      </c>
      <c r="LC447" s="359" t="s">
        <v>4550</v>
      </c>
      <c r="LD447" s="359" t="s">
        <v>4550</v>
      </c>
      <c r="LE447" s="359" t="s">
        <v>4550</v>
      </c>
      <c r="LF447" s="359" t="s">
        <v>4550</v>
      </c>
      <c r="MK447" s="1418"/>
      <c r="ML447" s="1418"/>
      <c r="MM447" s="1418"/>
      <c r="MN447" s="1418"/>
      <c r="MO447" s="1418"/>
    </row>
    <row r="448" spans="1:358" s="359" customFormat="1" ht="11.25" customHeight="1">
      <c r="A448" s="2654"/>
      <c r="B448" s="2665" t="s">
        <v>3811</v>
      </c>
      <c r="C448" s="2656" t="s">
        <v>164</v>
      </c>
      <c r="D448" s="2656" t="s">
        <v>166</v>
      </c>
      <c r="E448" s="2656" t="s">
        <v>1381</v>
      </c>
      <c r="F448" s="2656" t="s">
        <v>1201</v>
      </c>
      <c r="G448" s="1546"/>
      <c r="H448" s="2656" t="s">
        <v>3998</v>
      </c>
      <c r="I448" s="1546"/>
      <c r="J448" s="2664"/>
      <c r="K448" s="2666" t="s">
        <v>334</v>
      </c>
      <c r="L448" s="2656" t="s">
        <v>1430</v>
      </c>
      <c r="M448" s="2656" t="s">
        <v>503</v>
      </c>
      <c r="N448" s="2656" t="s">
        <v>1380</v>
      </c>
      <c r="O448" s="2656" t="s">
        <v>4398</v>
      </c>
      <c r="P448" s="2652"/>
      <c r="Q448" s="2652"/>
      <c r="R448" s="2656" t="s">
        <v>1382</v>
      </c>
      <c r="S448" s="2656" t="s">
        <v>2450</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2930</v>
      </c>
      <c r="IU448" s="1794" t="s">
        <v>2930</v>
      </c>
      <c r="IV448" s="1794" t="s">
        <v>2930</v>
      </c>
      <c r="IW448" s="1794" t="s">
        <v>2930</v>
      </c>
      <c r="IX448" s="1794" t="s">
        <v>2930</v>
      </c>
      <c r="MK448" s="1418"/>
      <c r="ML448" s="1418"/>
      <c r="MM448" s="1418"/>
      <c r="MN448" s="1418"/>
      <c r="MO448" s="1418"/>
    </row>
    <row r="449" spans="1:380" ht="13.9" customHeight="1">
      <c r="A449" s="2648" t="str">
        <f t="shared" ref="A449:A486" si="0">IF(AND(E449&gt;0,OR(B449="",C449="",D449="",F449="",G449="", H449="",I449="",N449="",O449="",P449="",Q449="")),1,"")</f>
        <v/>
      </c>
      <c r="B449" s="2667" t="str">
        <f>'Part V-Revenues &amp; Expenses'!B11</f>
        <v>N/A-CS</v>
      </c>
      <c r="C449" s="2668">
        <f>'Part V-Revenues &amp; Expenses'!C11</f>
        <v>0</v>
      </c>
      <c r="D449" s="2669">
        <f>'Part V-Revenues &amp; Expenses'!D11</f>
        <v>0</v>
      </c>
      <c r="E449" s="2670">
        <f>'Part V-Revenues &amp; Expenses'!E11</f>
        <v>0</v>
      </c>
      <c r="F449" s="2670">
        <f>'Part V-Revenues &amp; Expenses'!F11</f>
        <v>0</v>
      </c>
      <c r="G449" s="2670">
        <f>'Part V-Revenues &amp; Expenses'!G11</f>
        <v>0</v>
      </c>
      <c r="H449" s="2670">
        <f>'Part V-Revenues &amp; Expenses'!H11</f>
        <v>0</v>
      </c>
      <c r="I449" s="2670">
        <f>'Part V-Revenues &amp; Expenses'!I11</f>
        <v>0</v>
      </c>
      <c r="J449" s="2670">
        <f>'Part V-Revenues &amp; Expenses'!J11</f>
        <v>0</v>
      </c>
      <c r="K449" s="2671">
        <f>'Part V-Revenues &amp; Expenses'!K11</f>
        <v>0</v>
      </c>
      <c r="L449" s="2672">
        <f t="shared" ref="L449:L486" si="1">MAX(0,H449-I449-J449)</f>
        <v>0</v>
      </c>
      <c r="M449" s="2672">
        <f t="shared" ref="M449:M486" si="2">MAX(0,E449*L449)</f>
        <v>0</v>
      </c>
      <c r="N449" s="2541">
        <f>'Part V-Revenues &amp; Expenses'!N11</f>
        <v>0</v>
      </c>
      <c r="O449" s="1257">
        <f>'Part V-Revenues &amp; Expenses'!O11</f>
        <v>0</v>
      </c>
      <c r="P449" s="2541">
        <f>'Part V-Revenues &amp; Expenses'!P11</f>
        <v>0</v>
      </c>
      <c r="Q449" s="1805">
        <f>'Part V-Revenues &amp; Expenses'!Q11</f>
        <v>0</v>
      </c>
      <c r="R449" s="2673"/>
      <c r="S449" s="2674"/>
      <c r="T449" s="2675"/>
      <c r="U449" s="2675"/>
      <c r="V449" s="2675"/>
      <c r="W449" s="2675"/>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4307</v>
      </c>
    </row>
    <row r="450" spans="1:380" ht="13.9" customHeight="1">
      <c r="A450" s="2648" t="str">
        <f t="shared" si="0"/>
        <v/>
      </c>
      <c r="B450" s="2667" t="str">
        <f>'Part V-Revenues &amp; Expenses'!B12</f>
        <v>N/A-CS</v>
      </c>
      <c r="C450" s="2668">
        <f>'Part V-Revenues &amp; Expenses'!C12</f>
        <v>0</v>
      </c>
      <c r="D450" s="2669">
        <f>'Part V-Revenues &amp; Expenses'!D12</f>
        <v>0</v>
      </c>
      <c r="E450" s="2670">
        <f>'Part V-Revenues &amp; Expenses'!E12</f>
        <v>0</v>
      </c>
      <c r="F450" s="2670">
        <f>'Part V-Revenues &amp; Expenses'!F12</f>
        <v>0</v>
      </c>
      <c r="G450" s="2670">
        <f>'Part V-Revenues &amp; Expenses'!G12</f>
        <v>0</v>
      </c>
      <c r="H450" s="2670">
        <f>'Part V-Revenues &amp; Expenses'!H12</f>
        <v>0</v>
      </c>
      <c r="I450" s="2670">
        <f>'Part V-Revenues &amp; Expenses'!I12</f>
        <v>0</v>
      </c>
      <c r="J450" s="2670">
        <f>'Part V-Revenues &amp; Expenses'!J12</f>
        <v>0</v>
      </c>
      <c r="K450" s="2671">
        <f>'Part V-Revenues &amp; Expenses'!K12</f>
        <v>0</v>
      </c>
      <c r="L450" s="2672">
        <f t="shared" si="1"/>
        <v>0</v>
      </c>
      <c r="M450" s="2672">
        <f t="shared" si="2"/>
        <v>0</v>
      </c>
      <c r="N450" s="2541">
        <f>'Part V-Revenues &amp; Expenses'!N12</f>
        <v>0</v>
      </c>
      <c r="O450" s="1257">
        <f>'Part V-Revenues &amp; Expenses'!O12</f>
        <v>0</v>
      </c>
      <c r="P450" s="2541">
        <f>'Part V-Revenues &amp; Expenses'!P12</f>
        <v>0</v>
      </c>
      <c r="Q450" s="1805">
        <f>'Part V-Revenues &amp; Expenses'!Q12</f>
        <v>0</v>
      </c>
      <c r="R450" s="2673"/>
      <c r="S450" s="2674"/>
      <c r="T450" s="2675"/>
      <c r="U450" s="2675"/>
      <c r="V450" s="2675"/>
      <c r="W450" s="2675"/>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4308</v>
      </c>
    </row>
    <row r="451" spans="1:380" ht="13.9" customHeight="1">
      <c r="A451" s="2648" t="str">
        <f t="shared" si="0"/>
        <v/>
      </c>
      <c r="B451" s="2667" t="str">
        <f>'Part V-Revenues &amp; Expenses'!B13</f>
        <v>Unrestricted</v>
      </c>
      <c r="C451" s="2668">
        <f>'Part V-Revenues &amp; Expenses'!C13</f>
        <v>0</v>
      </c>
      <c r="D451" s="2669">
        <f>'Part V-Revenues &amp; Expenses'!D13</f>
        <v>0</v>
      </c>
      <c r="E451" s="2670">
        <f>'Part V-Revenues &amp; Expenses'!E13</f>
        <v>0</v>
      </c>
      <c r="F451" s="2670">
        <f>'Part V-Revenues &amp; Expenses'!F13</f>
        <v>0</v>
      </c>
      <c r="G451" s="2670">
        <f>'Part V-Revenues &amp; Expenses'!G13</f>
        <v>0</v>
      </c>
      <c r="H451" s="2670">
        <f>'Part V-Revenues &amp; Expenses'!H13</f>
        <v>0</v>
      </c>
      <c r="I451" s="2670">
        <f>'Part V-Revenues &amp; Expenses'!I13</f>
        <v>0</v>
      </c>
      <c r="J451" s="2670">
        <f>'Part V-Revenues &amp; Expenses'!J13</f>
        <v>0</v>
      </c>
      <c r="K451" s="2671">
        <f>'Part V-Revenues &amp; Expenses'!K13</f>
        <v>0</v>
      </c>
      <c r="L451" s="2672">
        <f t="shared" si="1"/>
        <v>0</v>
      </c>
      <c r="M451" s="2672">
        <f t="shared" si="2"/>
        <v>0</v>
      </c>
      <c r="N451" s="2541">
        <f>'Part V-Revenues &amp; Expenses'!N13</f>
        <v>0</v>
      </c>
      <c r="O451" s="1257">
        <f>'Part V-Revenues &amp; Expenses'!O13</f>
        <v>0</v>
      </c>
      <c r="P451" s="2541">
        <f>'Part V-Revenues &amp; Expenses'!P13</f>
        <v>0</v>
      </c>
      <c r="Q451" s="1805">
        <f>'Part V-Revenues &amp; Expenses'!Q13</f>
        <v>0</v>
      </c>
      <c r="R451" s="2673"/>
      <c r="S451" s="2674"/>
      <c r="T451" s="2675"/>
      <c r="U451" s="2675"/>
      <c r="V451" s="2675"/>
      <c r="W451" s="2675"/>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4309</v>
      </c>
    </row>
    <row r="452" spans="1:380" ht="13.9" customHeight="1">
      <c r="A452" s="2648" t="str">
        <f t="shared" si="0"/>
        <v/>
      </c>
      <c r="B452" s="2667" t="str">
        <f>'Part V-Revenues &amp; Expenses'!B14</f>
        <v>Unrestricted</v>
      </c>
      <c r="C452" s="2668">
        <f>'Part V-Revenues &amp; Expenses'!C14</f>
        <v>0</v>
      </c>
      <c r="D452" s="2669">
        <f>'Part V-Revenues &amp; Expenses'!D14</f>
        <v>0</v>
      </c>
      <c r="E452" s="2670">
        <f>'Part V-Revenues &amp; Expenses'!E14</f>
        <v>0</v>
      </c>
      <c r="F452" s="2670">
        <f>'Part V-Revenues &amp; Expenses'!F14</f>
        <v>0</v>
      </c>
      <c r="G452" s="2670">
        <f>'Part V-Revenues &amp; Expenses'!G14</f>
        <v>0</v>
      </c>
      <c r="H452" s="2670">
        <f>'Part V-Revenues &amp; Expenses'!H14</f>
        <v>0</v>
      </c>
      <c r="I452" s="2670">
        <f>'Part V-Revenues &amp; Expenses'!I14</f>
        <v>0</v>
      </c>
      <c r="J452" s="2670">
        <f>'Part V-Revenues &amp; Expenses'!J14</f>
        <v>0</v>
      </c>
      <c r="K452" s="2671">
        <f>'Part V-Revenues &amp; Expenses'!K14</f>
        <v>0</v>
      </c>
      <c r="L452" s="2672">
        <f t="shared" si="1"/>
        <v>0</v>
      </c>
      <c r="M452" s="2672">
        <f t="shared" si="2"/>
        <v>0</v>
      </c>
      <c r="N452" s="2541">
        <f>'Part V-Revenues &amp; Expenses'!N14</f>
        <v>0</v>
      </c>
      <c r="O452" s="1257">
        <f>'Part V-Revenues &amp; Expenses'!O14</f>
        <v>0</v>
      </c>
      <c r="P452" s="2541">
        <f>'Part V-Revenues &amp; Expenses'!P14</f>
        <v>0</v>
      </c>
      <c r="Q452" s="1805">
        <f>'Part V-Revenues &amp; Expenses'!Q14</f>
        <v>0</v>
      </c>
      <c r="R452" s="2673"/>
      <c r="S452" s="2674"/>
      <c r="T452" s="2675"/>
      <c r="U452" s="2675"/>
      <c r="V452" s="2675"/>
      <c r="W452" s="2675"/>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4310</v>
      </c>
    </row>
    <row r="453" spans="1:380" ht="13.9" customHeight="1">
      <c r="A453" s="2648" t="str">
        <f t="shared" si="0"/>
        <v/>
      </c>
      <c r="B453" s="2667" t="str">
        <f>'Part V-Revenues &amp; Expenses'!B15</f>
        <v>Unrestricted</v>
      </c>
      <c r="C453" s="2668">
        <f>'Part V-Revenues &amp; Expenses'!C15</f>
        <v>0</v>
      </c>
      <c r="D453" s="2669">
        <f>'Part V-Revenues &amp; Expenses'!D15</f>
        <v>0</v>
      </c>
      <c r="E453" s="2670">
        <f>'Part V-Revenues &amp; Expenses'!E15</f>
        <v>0</v>
      </c>
      <c r="F453" s="2670">
        <f>'Part V-Revenues &amp; Expenses'!F15</f>
        <v>0</v>
      </c>
      <c r="G453" s="2670">
        <f>'Part V-Revenues &amp; Expenses'!G15</f>
        <v>0</v>
      </c>
      <c r="H453" s="2670">
        <f>'Part V-Revenues &amp; Expenses'!H15</f>
        <v>0</v>
      </c>
      <c r="I453" s="2670">
        <f>'Part V-Revenues &amp; Expenses'!I15</f>
        <v>0</v>
      </c>
      <c r="J453" s="2670">
        <f>'Part V-Revenues &amp; Expenses'!J15</f>
        <v>0</v>
      </c>
      <c r="K453" s="2671">
        <f>'Part V-Revenues &amp; Expenses'!K15</f>
        <v>0</v>
      </c>
      <c r="L453" s="2672">
        <f t="shared" si="1"/>
        <v>0</v>
      </c>
      <c r="M453" s="2672">
        <f t="shared" si="2"/>
        <v>0</v>
      </c>
      <c r="N453" s="2541">
        <f>'Part V-Revenues &amp; Expenses'!N15</f>
        <v>0</v>
      </c>
      <c r="O453" s="1257">
        <f>'Part V-Revenues &amp; Expenses'!O15</f>
        <v>0</v>
      </c>
      <c r="P453" s="2541">
        <f>'Part V-Revenues &amp; Expenses'!P15</f>
        <v>0</v>
      </c>
      <c r="Q453" s="1805">
        <f>'Part V-Revenues &amp; Expenses'!Q15</f>
        <v>0</v>
      </c>
      <c r="R453" s="2673"/>
      <c r="S453" s="2674"/>
      <c r="T453" s="2675"/>
      <c r="U453" s="2675"/>
      <c r="V453" s="2675"/>
      <c r="W453" s="2675"/>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4311</v>
      </c>
    </row>
    <row r="454" spans="1:380" ht="13.9" customHeight="1">
      <c r="A454" s="2648" t="str">
        <f t="shared" si="0"/>
        <v/>
      </c>
      <c r="B454" s="2667" t="str">
        <f>'Part V-Revenues &amp; Expenses'!B16</f>
        <v>Unrestricted</v>
      </c>
      <c r="C454" s="2668">
        <f>'Part V-Revenues &amp; Expenses'!C16</f>
        <v>0</v>
      </c>
      <c r="D454" s="2669">
        <f>'Part V-Revenues &amp; Expenses'!D16</f>
        <v>0</v>
      </c>
      <c r="E454" s="2670">
        <f>'Part V-Revenues &amp; Expenses'!E16</f>
        <v>0</v>
      </c>
      <c r="F454" s="2670">
        <f>'Part V-Revenues &amp; Expenses'!F16</f>
        <v>0</v>
      </c>
      <c r="G454" s="2670">
        <f>'Part V-Revenues &amp; Expenses'!G16</f>
        <v>0</v>
      </c>
      <c r="H454" s="2670">
        <f>'Part V-Revenues &amp; Expenses'!H16</f>
        <v>0</v>
      </c>
      <c r="I454" s="2670">
        <f>'Part V-Revenues &amp; Expenses'!I16</f>
        <v>0</v>
      </c>
      <c r="J454" s="2670">
        <f>'Part V-Revenues &amp; Expenses'!J16</f>
        <v>0</v>
      </c>
      <c r="K454" s="2671">
        <f>'Part V-Revenues &amp; Expenses'!K16</f>
        <v>0</v>
      </c>
      <c r="L454" s="2672">
        <f t="shared" si="1"/>
        <v>0</v>
      </c>
      <c r="M454" s="2672">
        <f t="shared" si="2"/>
        <v>0</v>
      </c>
      <c r="N454" s="2541">
        <f>'Part V-Revenues &amp; Expenses'!N16</f>
        <v>0</v>
      </c>
      <c r="O454" s="1257">
        <f>'Part V-Revenues &amp; Expenses'!O16</f>
        <v>0</v>
      </c>
      <c r="P454" s="2541">
        <f>'Part V-Revenues &amp; Expenses'!P16</f>
        <v>0</v>
      </c>
      <c r="Q454" s="1805">
        <f>'Part V-Revenues &amp; Expenses'!Q16</f>
        <v>0</v>
      </c>
      <c r="R454" s="2673"/>
      <c r="S454" s="2674"/>
      <c r="T454" s="2675"/>
      <c r="U454" s="2675"/>
      <c r="V454" s="2675"/>
      <c r="W454" s="2675"/>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4312</v>
      </c>
    </row>
    <row r="455" spans="1:380" ht="13.9" customHeight="1">
      <c r="A455" s="2648" t="str">
        <f t="shared" si="0"/>
        <v/>
      </c>
      <c r="B455" s="2667" t="str">
        <f>'Part V-Revenues &amp; Expenses'!B17</f>
        <v>Unrestricted</v>
      </c>
      <c r="C455" s="2668">
        <f>'Part V-Revenues &amp; Expenses'!C17</f>
        <v>0</v>
      </c>
      <c r="D455" s="2669">
        <f>'Part V-Revenues &amp; Expenses'!D17</f>
        <v>0</v>
      </c>
      <c r="E455" s="2670">
        <f>'Part V-Revenues &amp; Expenses'!E17</f>
        <v>0</v>
      </c>
      <c r="F455" s="2670">
        <f>'Part V-Revenues &amp; Expenses'!F17</f>
        <v>0</v>
      </c>
      <c r="G455" s="2670">
        <f>'Part V-Revenues &amp; Expenses'!G17</f>
        <v>0</v>
      </c>
      <c r="H455" s="2670">
        <f>'Part V-Revenues &amp; Expenses'!H17</f>
        <v>0</v>
      </c>
      <c r="I455" s="2670">
        <f>'Part V-Revenues &amp; Expenses'!I17</f>
        <v>0</v>
      </c>
      <c r="J455" s="2670">
        <f>'Part V-Revenues &amp; Expenses'!J17</f>
        <v>0</v>
      </c>
      <c r="K455" s="2671">
        <f>'Part V-Revenues &amp; Expenses'!K17</f>
        <v>0</v>
      </c>
      <c r="L455" s="2672">
        <f t="shared" si="1"/>
        <v>0</v>
      </c>
      <c r="M455" s="2672">
        <f t="shared" si="2"/>
        <v>0</v>
      </c>
      <c r="N455" s="2541">
        <f>'Part V-Revenues &amp; Expenses'!N17</f>
        <v>0</v>
      </c>
      <c r="O455" s="1257">
        <f>'Part V-Revenues &amp; Expenses'!O17</f>
        <v>0</v>
      </c>
      <c r="P455" s="2541">
        <f>'Part V-Revenues &amp; Expenses'!P17</f>
        <v>0</v>
      </c>
      <c r="Q455" s="1805">
        <f>'Part V-Revenues &amp; Expenses'!Q17</f>
        <v>0</v>
      </c>
      <c r="R455" s="2673"/>
      <c r="S455" s="2674"/>
      <c r="T455" s="2675"/>
      <c r="U455" s="2675"/>
      <c r="V455" s="2675"/>
      <c r="W455" s="2675"/>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4313</v>
      </c>
    </row>
    <row r="456" spans="1:380" ht="13.9" customHeight="1">
      <c r="A456" s="2648" t="str">
        <f t="shared" si="0"/>
        <v/>
      </c>
      <c r="B456" s="2667">
        <f>'Part V-Revenues &amp; Expenses'!B18</f>
        <v>0</v>
      </c>
      <c r="C456" s="2668">
        <f>'Part V-Revenues &amp; Expenses'!C18</f>
        <v>0</v>
      </c>
      <c r="D456" s="2669">
        <f>'Part V-Revenues &amp; Expenses'!D18</f>
        <v>0</v>
      </c>
      <c r="E456" s="2670">
        <f>'Part V-Revenues &amp; Expenses'!E18</f>
        <v>0</v>
      </c>
      <c r="F456" s="2670">
        <f>'Part V-Revenues &amp; Expenses'!F18</f>
        <v>0</v>
      </c>
      <c r="G456" s="2670">
        <f>'Part V-Revenues &amp; Expenses'!G18</f>
        <v>0</v>
      </c>
      <c r="H456" s="2670">
        <f>'Part V-Revenues &amp; Expenses'!H18</f>
        <v>0</v>
      </c>
      <c r="I456" s="2670">
        <f>'Part V-Revenues &amp; Expenses'!I18</f>
        <v>0</v>
      </c>
      <c r="J456" s="2670">
        <f>'Part V-Revenues &amp; Expenses'!J18</f>
        <v>0</v>
      </c>
      <c r="K456" s="2671">
        <f>'Part V-Revenues &amp; Expenses'!K18</f>
        <v>0</v>
      </c>
      <c r="L456" s="2672">
        <f t="shared" si="1"/>
        <v>0</v>
      </c>
      <c r="M456" s="2672">
        <f t="shared" si="2"/>
        <v>0</v>
      </c>
      <c r="N456" s="2541">
        <f>'Part V-Revenues &amp; Expenses'!N18</f>
        <v>0</v>
      </c>
      <c r="O456" s="1257">
        <f>'Part V-Revenues &amp; Expenses'!O18</f>
        <v>0</v>
      </c>
      <c r="P456" s="2541">
        <f>'Part V-Revenues &amp; Expenses'!P18</f>
        <v>0</v>
      </c>
      <c r="Q456" s="1805">
        <f>'Part V-Revenues &amp; Expenses'!Q18</f>
        <v>0</v>
      </c>
      <c r="R456" s="2673"/>
      <c r="S456" s="2674"/>
      <c r="T456" s="2675"/>
      <c r="U456" s="2675"/>
      <c r="V456" s="2675"/>
      <c r="W456" s="2675"/>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4314</v>
      </c>
    </row>
    <row r="457" spans="1:380" ht="13.9" customHeight="1">
      <c r="A457" s="2648" t="str">
        <f t="shared" si="0"/>
        <v/>
      </c>
      <c r="B457" s="2667">
        <f>'Part V-Revenues &amp; Expenses'!B19</f>
        <v>0</v>
      </c>
      <c r="C457" s="2668">
        <f>'Part V-Revenues &amp; Expenses'!C19</f>
        <v>0</v>
      </c>
      <c r="D457" s="2669">
        <f>'Part V-Revenues &amp; Expenses'!D19</f>
        <v>0</v>
      </c>
      <c r="E457" s="2670">
        <f>'Part V-Revenues &amp; Expenses'!E19</f>
        <v>0</v>
      </c>
      <c r="F457" s="2670">
        <f>'Part V-Revenues &amp; Expenses'!F19</f>
        <v>0</v>
      </c>
      <c r="G457" s="2670">
        <f>'Part V-Revenues &amp; Expenses'!G19</f>
        <v>0</v>
      </c>
      <c r="H457" s="2670">
        <f>'Part V-Revenues &amp; Expenses'!H19</f>
        <v>0</v>
      </c>
      <c r="I457" s="2670">
        <f>'Part V-Revenues &amp; Expenses'!I19</f>
        <v>0</v>
      </c>
      <c r="J457" s="2670">
        <f>'Part V-Revenues &amp; Expenses'!J19</f>
        <v>0</v>
      </c>
      <c r="K457" s="2671">
        <f>'Part V-Revenues &amp; Expenses'!K19</f>
        <v>0</v>
      </c>
      <c r="L457" s="2672">
        <f t="shared" si="1"/>
        <v>0</v>
      </c>
      <c r="M457" s="2672">
        <f t="shared" si="2"/>
        <v>0</v>
      </c>
      <c r="N457" s="2541">
        <f>'Part V-Revenues &amp; Expenses'!N19</f>
        <v>0</v>
      </c>
      <c r="O457" s="1257">
        <f>'Part V-Revenues &amp; Expenses'!O19</f>
        <v>0</v>
      </c>
      <c r="P457" s="2541">
        <f>'Part V-Revenues &amp; Expenses'!P19</f>
        <v>0</v>
      </c>
      <c r="Q457" s="1805">
        <f>'Part V-Revenues &amp; Expenses'!Q19</f>
        <v>0</v>
      </c>
      <c r="R457" s="2673"/>
      <c r="S457" s="2674"/>
      <c r="T457" s="2675"/>
      <c r="U457" s="2675"/>
      <c r="V457" s="2675"/>
      <c r="W457" s="2675"/>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4315</v>
      </c>
    </row>
    <row r="458" spans="1:380" ht="13.9" customHeight="1">
      <c r="A458" s="2648" t="str">
        <f t="shared" si="0"/>
        <v/>
      </c>
      <c r="B458" s="2667">
        <f>'Part V-Revenues &amp; Expenses'!B20</f>
        <v>0</v>
      </c>
      <c r="C458" s="2668">
        <f>'Part V-Revenues &amp; Expenses'!C20</f>
        <v>0</v>
      </c>
      <c r="D458" s="2669">
        <f>'Part V-Revenues &amp; Expenses'!D20</f>
        <v>0</v>
      </c>
      <c r="E458" s="2670">
        <f>'Part V-Revenues &amp; Expenses'!E20</f>
        <v>0</v>
      </c>
      <c r="F458" s="2670">
        <f>'Part V-Revenues &amp; Expenses'!F20</f>
        <v>0</v>
      </c>
      <c r="G458" s="2670">
        <f>'Part V-Revenues &amp; Expenses'!G20</f>
        <v>0</v>
      </c>
      <c r="H458" s="2670">
        <f>'Part V-Revenues &amp; Expenses'!H20</f>
        <v>0</v>
      </c>
      <c r="I458" s="2670">
        <f>'Part V-Revenues &amp; Expenses'!I20</f>
        <v>0</v>
      </c>
      <c r="J458" s="2670">
        <f>'Part V-Revenues &amp; Expenses'!J20</f>
        <v>0</v>
      </c>
      <c r="K458" s="2671">
        <f>'Part V-Revenues &amp; Expenses'!K20</f>
        <v>0</v>
      </c>
      <c r="L458" s="2672">
        <f t="shared" si="1"/>
        <v>0</v>
      </c>
      <c r="M458" s="2672">
        <f t="shared" si="2"/>
        <v>0</v>
      </c>
      <c r="N458" s="2541">
        <f>'Part V-Revenues &amp; Expenses'!N20</f>
        <v>0</v>
      </c>
      <c r="O458" s="1257">
        <f>'Part V-Revenues &amp; Expenses'!O20</f>
        <v>0</v>
      </c>
      <c r="P458" s="2541">
        <f>'Part V-Revenues &amp; Expenses'!P20</f>
        <v>0</v>
      </c>
      <c r="Q458" s="1805">
        <f>'Part V-Revenues &amp; Expenses'!Q20</f>
        <v>0</v>
      </c>
      <c r="R458" s="2673"/>
      <c r="S458" s="2674"/>
      <c r="T458" s="2675"/>
      <c r="U458" s="2675"/>
      <c r="V458" s="2675"/>
      <c r="W458" s="2675"/>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4316</v>
      </c>
    </row>
    <row r="459" spans="1:380" ht="13.9" customHeight="1">
      <c r="A459" s="2648" t="str">
        <f t="shared" si="0"/>
        <v/>
      </c>
      <c r="B459" s="2667">
        <f>'Part V-Revenues &amp; Expenses'!B21</f>
        <v>0</v>
      </c>
      <c r="C459" s="2668">
        <f>'Part V-Revenues &amp; Expenses'!C21</f>
        <v>0</v>
      </c>
      <c r="D459" s="2669">
        <f>'Part V-Revenues &amp; Expenses'!D21</f>
        <v>0</v>
      </c>
      <c r="E459" s="2670">
        <f>'Part V-Revenues &amp; Expenses'!E21</f>
        <v>0</v>
      </c>
      <c r="F459" s="2670">
        <f>'Part V-Revenues &amp; Expenses'!F21</f>
        <v>0</v>
      </c>
      <c r="G459" s="2670">
        <f>'Part V-Revenues &amp; Expenses'!G21</f>
        <v>0</v>
      </c>
      <c r="H459" s="2670">
        <f>'Part V-Revenues &amp; Expenses'!H21</f>
        <v>0</v>
      </c>
      <c r="I459" s="2670">
        <f>'Part V-Revenues &amp; Expenses'!I21</f>
        <v>0</v>
      </c>
      <c r="J459" s="2670">
        <f>'Part V-Revenues &amp; Expenses'!J21</f>
        <v>0</v>
      </c>
      <c r="K459" s="2671">
        <f>'Part V-Revenues &amp; Expenses'!K21</f>
        <v>0</v>
      </c>
      <c r="L459" s="2672">
        <f t="shared" si="1"/>
        <v>0</v>
      </c>
      <c r="M459" s="2672">
        <f t="shared" si="2"/>
        <v>0</v>
      </c>
      <c r="N459" s="2541">
        <f>'Part V-Revenues &amp; Expenses'!N21</f>
        <v>0</v>
      </c>
      <c r="O459" s="1257">
        <f>'Part V-Revenues &amp; Expenses'!O21</f>
        <v>0</v>
      </c>
      <c r="P459" s="2541">
        <f>'Part V-Revenues &amp; Expenses'!P21</f>
        <v>0</v>
      </c>
      <c r="Q459" s="1805">
        <f>'Part V-Revenues &amp; Expenses'!Q21</f>
        <v>0</v>
      </c>
      <c r="R459" s="2673"/>
      <c r="S459" s="2674"/>
      <c r="T459" s="2675"/>
      <c r="U459" s="2675"/>
      <c r="V459" s="2675"/>
      <c r="W459" s="2675"/>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4317</v>
      </c>
    </row>
    <row r="460" spans="1:380" ht="13.9" customHeight="1">
      <c r="A460" s="2648" t="str">
        <f t="shared" si="0"/>
        <v/>
      </c>
      <c r="B460" s="2667">
        <f>'Part V-Revenues &amp; Expenses'!B22</f>
        <v>0</v>
      </c>
      <c r="C460" s="2668">
        <f>'Part V-Revenues &amp; Expenses'!C22</f>
        <v>0</v>
      </c>
      <c r="D460" s="2669">
        <f>'Part V-Revenues &amp; Expenses'!D22</f>
        <v>0</v>
      </c>
      <c r="E460" s="2670">
        <f>'Part V-Revenues &amp; Expenses'!E22</f>
        <v>0</v>
      </c>
      <c r="F460" s="2670">
        <f>'Part V-Revenues &amp; Expenses'!F22</f>
        <v>0</v>
      </c>
      <c r="G460" s="2670">
        <f>'Part V-Revenues &amp; Expenses'!G22</f>
        <v>0</v>
      </c>
      <c r="H460" s="2670">
        <f>'Part V-Revenues &amp; Expenses'!H22</f>
        <v>0</v>
      </c>
      <c r="I460" s="2670">
        <f>'Part V-Revenues &amp; Expenses'!I22</f>
        <v>0</v>
      </c>
      <c r="J460" s="2670">
        <f>'Part V-Revenues &amp; Expenses'!J22</f>
        <v>0</v>
      </c>
      <c r="K460" s="2671">
        <f>'Part V-Revenues &amp; Expenses'!K22</f>
        <v>0</v>
      </c>
      <c r="L460" s="2672">
        <f t="shared" si="1"/>
        <v>0</v>
      </c>
      <c r="M460" s="2672">
        <f t="shared" si="2"/>
        <v>0</v>
      </c>
      <c r="N460" s="2541">
        <f>'Part V-Revenues &amp; Expenses'!N22</f>
        <v>0</v>
      </c>
      <c r="O460" s="1257">
        <f>'Part V-Revenues &amp; Expenses'!O22</f>
        <v>0</v>
      </c>
      <c r="P460" s="2541">
        <f>'Part V-Revenues &amp; Expenses'!P22</f>
        <v>0</v>
      </c>
      <c r="Q460" s="1805">
        <f>'Part V-Revenues &amp; Expenses'!Q22</f>
        <v>0</v>
      </c>
      <c r="R460" s="2673"/>
      <c r="S460" s="2674"/>
      <c r="T460" s="2675"/>
      <c r="U460" s="2675"/>
      <c r="V460" s="2675"/>
      <c r="W460" s="2675"/>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4318</v>
      </c>
    </row>
    <row r="461" spans="1:380" ht="13.9" customHeight="1">
      <c r="A461" s="2648" t="str">
        <f t="shared" si="0"/>
        <v/>
      </c>
      <c r="B461" s="2667">
        <f>'Part V-Revenues &amp; Expenses'!B23</f>
        <v>0</v>
      </c>
      <c r="C461" s="2668">
        <f>'Part V-Revenues &amp; Expenses'!C23</f>
        <v>0</v>
      </c>
      <c r="D461" s="2669">
        <f>'Part V-Revenues &amp; Expenses'!D23</f>
        <v>0</v>
      </c>
      <c r="E461" s="2670">
        <f>'Part V-Revenues &amp; Expenses'!E23</f>
        <v>0</v>
      </c>
      <c r="F461" s="2670">
        <f>'Part V-Revenues &amp; Expenses'!F23</f>
        <v>0</v>
      </c>
      <c r="G461" s="2670">
        <f>'Part V-Revenues &amp; Expenses'!G23</f>
        <v>0</v>
      </c>
      <c r="H461" s="2670">
        <f>'Part V-Revenues &amp; Expenses'!H23</f>
        <v>0</v>
      </c>
      <c r="I461" s="2670">
        <f>'Part V-Revenues &amp; Expenses'!I23</f>
        <v>0</v>
      </c>
      <c r="J461" s="2670">
        <f>'Part V-Revenues &amp; Expenses'!J23</f>
        <v>0</v>
      </c>
      <c r="K461" s="2671">
        <f>'Part V-Revenues &amp; Expenses'!K23</f>
        <v>0</v>
      </c>
      <c r="L461" s="2672">
        <f t="shared" si="1"/>
        <v>0</v>
      </c>
      <c r="M461" s="2672">
        <f t="shared" si="2"/>
        <v>0</v>
      </c>
      <c r="N461" s="2541">
        <f>'Part V-Revenues &amp; Expenses'!N23</f>
        <v>0</v>
      </c>
      <c r="O461" s="1257">
        <f>'Part V-Revenues &amp; Expenses'!O23</f>
        <v>0</v>
      </c>
      <c r="P461" s="2541">
        <f>'Part V-Revenues &amp; Expenses'!P23</f>
        <v>0</v>
      </c>
      <c r="Q461" s="1805">
        <f>'Part V-Revenues &amp; Expenses'!Q23</f>
        <v>0</v>
      </c>
      <c r="R461" s="2673"/>
      <c r="S461" s="2674"/>
      <c r="T461" s="2675"/>
      <c r="U461" s="2675"/>
      <c r="V461" s="2675"/>
      <c r="W461" s="2675"/>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4319</v>
      </c>
    </row>
    <row r="462" spans="1:380" ht="13.9" customHeight="1">
      <c r="A462" s="2648" t="str">
        <f t="shared" si="0"/>
        <v/>
      </c>
      <c r="B462" s="2667">
        <f>'Part V-Revenues &amp; Expenses'!B24</f>
        <v>0</v>
      </c>
      <c r="C462" s="2668">
        <f>'Part V-Revenues &amp; Expenses'!C24</f>
        <v>0</v>
      </c>
      <c r="D462" s="2669">
        <f>'Part V-Revenues &amp; Expenses'!D24</f>
        <v>0</v>
      </c>
      <c r="E462" s="2670">
        <f>'Part V-Revenues &amp; Expenses'!E24</f>
        <v>0</v>
      </c>
      <c r="F462" s="2670">
        <f>'Part V-Revenues &amp; Expenses'!F24</f>
        <v>0</v>
      </c>
      <c r="G462" s="2670">
        <f>'Part V-Revenues &amp; Expenses'!G24</f>
        <v>0</v>
      </c>
      <c r="H462" s="2670">
        <f>'Part V-Revenues &amp; Expenses'!H24</f>
        <v>0</v>
      </c>
      <c r="I462" s="2670">
        <f>'Part V-Revenues &amp; Expenses'!I24</f>
        <v>0</v>
      </c>
      <c r="J462" s="2670">
        <f>'Part V-Revenues &amp; Expenses'!J24</f>
        <v>0</v>
      </c>
      <c r="K462" s="2671">
        <f>'Part V-Revenues &amp; Expenses'!K24</f>
        <v>0</v>
      </c>
      <c r="L462" s="2672">
        <f t="shared" si="1"/>
        <v>0</v>
      </c>
      <c r="M462" s="2672">
        <f t="shared" si="2"/>
        <v>0</v>
      </c>
      <c r="N462" s="2541">
        <f>'Part V-Revenues &amp; Expenses'!N24</f>
        <v>0</v>
      </c>
      <c r="O462" s="1257">
        <f>'Part V-Revenues &amp; Expenses'!O24</f>
        <v>0</v>
      </c>
      <c r="P462" s="2541">
        <f>'Part V-Revenues &amp; Expenses'!P24</f>
        <v>0</v>
      </c>
      <c r="Q462" s="1805">
        <f>'Part V-Revenues &amp; Expenses'!Q24</f>
        <v>0</v>
      </c>
      <c r="R462" s="2673"/>
      <c r="S462" s="2674"/>
      <c r="T462" s="2675"/>
      <c r="U462" s="2675"/>
      <c r="V462" s="2675"/>
      <c r="W462" s="2675"/>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4320</v>
      </c>
    </row>
    <row r="463" spans="1:380" ht="13.9" customHeight="1">
      <c r="A463" s="2648" t="str">
        <f t="shared" si="0"/>
        <v/>
      </c>
      <c r="B463" s="2667">
        <f>'Part V-Revenues &amp; Expenses'!B25</f>
        <v>0</v>
      </c>
      <c r="C463" s="2668">
        <f>'Part V-Revenues &amp; Expenses'!C25</f>
        <v>0</v>
      </c>
      <c r="D463" s="2669">
        <f>'Part V-Revenues &amp; Expenses'!D25</f>
        <v>0</v>
      </c>
      <c r="E463" s="2670">
        <f>'Part V-Revenues &amp; Expenses'!E25</f>
        <v>0</v>
      </c>
      <c r="F463" s="2670">
        <f>'Part V-Revenues &amp; Expenses'!F25</f>
        <v>0</v>
      </c>
      <c r="G463" s="2670">
        <f>'Part V-Revenues &amp; Expenses'!G25</f>
        <v>0</v>
      </c>
      <c r="H463" s="2670">
        <f>'Part V-Revenues &amp; Expenses'!H25</f>
        <v>0</v>
      </c>
      <c r="I463" s="2670">
        <f>'Part V-Revenues &amp; Expenses'!I25</f>
        <v>0</v>
      </c>
      <c r="J463" s="2670">
        <f>'Part V-Revenues &amp; Expenses'!J25</f>
        <v>0</v>
      </c>
      <c r="K463" s="2671">
        <f>'Part V-Revenues &amp; Expenses'!K25</f>
        <v>0</v>
      </c>
      <c r="L463" s="2672">
        <f t="shared" si="1"/>
        <v>0</v>
      </c>
      <c r="M463" s="2672">
        <f t="shared" si="2"/>
        <v>0</v>
      </c>
      <c r="N463" s="2541">
        <f>'Part V-Revenues &amp; Expenses'!N25</f>
        <v>0</v>
      </c>
      <c r="O463" s="1257">
        <f>'Part V-Revenues &amp; Expenses'!O25</f>
        <v>0</v>
      </c>
      <c r="P463" s="2541">
        <f>'Part V-Revenues &amp; Expenses'!P25</f>
        <v>0</v>
      </c>
      <c r="Q463" s="1805">
        <f>'Part V-Revenues &amp; Expenses'!Q25</f>
        <v>0</v>
      </c>
      <c r="R463" s="2673"/>
      <c r="S463" s="2674"/>
      <c r="T463" s="2675"/>
      <c r="U463" s="2675"/>
      <c r="V463" s="2675"/>
      <c r="W463" s="2675"/>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4321</v>
      </c>
    </row>
    <row r="464" spans="1:380" ht="13.9" customHeight="1">
      <c r="A464" s="2648" t="str">
        <f t="shared" si="0"/>
        <v/>
      </c>
      <c r="B464" s="2667">
        <f>'Part V-Revenues &amp; Expenses'!B26</f>
        <v>0</v>
      </c>
      <c r="C464" s="2668">
        <f>'Part V-Revenues &amp; Expenses'!C26</f>
        <v>0</v>
      </c>
      <c r="D464" s="2669">
        <f>'Part V-Revenues &amp; Expenses'!D26</f>
        <v>0</v>
      </c>
      <c r="E464" s="2670">
        <f>'Part V-Revenues &amp; Expenses'!E26</f>
        <v>0</v>
      </c>
      <c r="F464" s="2670">
        <f>'Part V-Revenues &amp; Expenses'!F26</f>
        <v>0</v>
      </c>
      <c r="G464" s="2670">
        <f>'Part V-Revenues &amp; Expenses'!G26</f>
        <v>0</v>
      </c>
      <c r="H464" s="2670">
        <f>'Part V-Revenues &amp; Expenses'!H26</f>
        <v>0</v>
      </c>
      <c r="I464" s="2670">
        <f>'Part V-Revenues &amp; Expenses'!I26</f>
        <v>0</v>
      </c>
      <c r="J464" s="2670">
        <f>'Part V-Revenues &amp; Expenses'!J26</f>
        <v>0</v>
      </c>
      <c r="K464" s="2671">
        <f>'Part V-Revenues &amp; Expenses'!K26</f>
        <v>0</v>
      </c>
      <c r="L464" s="2672">
        <f t="shared" si="1"/>
        <v>0</v>
      </c>
      <c r="M464" s="2672">
        <f t="shared" si="2"/>
        <v>0</v>
      </c>
      <c r="N464" s="2541">
        <f>'Part V-Revenues &amp; Expenses'!N26</f>
        <v>0</v>
      </c>
      <c r="O464" s="1257">
        <f>'Part V-Revenues &amp; Expenses'!O26</f>
        <v>0</v>
      </c>
      <c r="P464" s="2541">
        <f>'Part V-Revenues &amp; Expenses'!P26</f>
        <v>0</v>
      </c>
      <c r="Q464" s="1805">
        <f>'Part V-Revenues &amp; Expenses'!Q26</f>
        <v>0</v>
      </c>
      <c r="R464" s="2673"/>
      <c r="S464" s="2674"/>
      <c r="T464" s="2675"/>
      <c r="U464" s="2675"/>
      <c r="V464" s="2675"/>
      <c r="W464" s="2675"/>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4322</v>
      </c>
    </row>
    <row r="465" spans="1:380" ht="13.9" customHeight="1">
      <c r="A465" s="2648" t="str">
        <f t="shared" si="0"/>
        <v/>
      </c>
      <c r="B465" s="2667">
        <f>'Part V-Revenues &amp; Expenses'!B27</f>
        <v>0</v>
      </c>
      <c r="C465" s="2668">
        <f>'Part V-Revenues &amp; Expenses'!C27</f>
        <v>0</v>
      </c>
      <c r="D465" s="2669">
        <f>'Part V-Revenues &amp; Expenses'!D27</f>
        <v>0</v>
      </c>
      <c r="E465" s="2670">
        <f>'Part V-Revenues &amp; Expenses'!E27</f>
        <v>0</v>
      </c>
      <c r="F465" s="2670">
        <f>'Part V-Revenues &amp; Expenses'!F27</f>
        <v>0</v>
      </c>
      <c r="G465" s="2670">
        <f>'Part V-Revenues &amp; Expenses'!G27</f>
        <v>0</v>
      </c>
      <c r="H465" s="2670">
        <f>'Part V-Revenues &amp; Expenses'!H27</f>
        <v>0</v>
      </c>
      <c r="I465" s="2670">
        <f>'Part V-Revenues &amp; Expenses'!I27</f>
        <v>0</v>
      </c>
      <c r="J465" s="2670">
        <f>'Part V-Revenues &amp; Expenses'!J27</f>
        <v>0</v>
      </c>
      <c r="K465" s="2671">
        <f>'Part V-Revenues &amp; Expenses'!K27</f>
        <v>0</v>
      </c>
      <c r="L465" s="2672">
        <f t="shared" si="1"/>
        <v>0</v>
      </c>
      <c r="M465" s="2672">
        <f t="shared" si="2"/>
        <v>0</v>
      </c>
      <c r="N465" s="2541">
        <f>'Part V-Revenues &amp; Expenses'!N27</f>
        <v>0</v>
      </c>
      <c r="O465" s="1257">
        <f>'Part V-Revenues &amp; Expenses'!O27</f>
        <v>0</v>
      </c>
      <c r="P465" s="2541">
        <f>'Part V-Revenues &amp; Expenses'!P27</f>
        <v>0</v>
      </c>
      <c r="Q465" s="1805">
        <f>'Part V-Revenues &amp; Expenses'!Q27</f>
        <v>0</v>
      </c>
      <c r="R465" s="2673"/>
      <c r="S465" s="2674"/>
      <c r="T465" s="2675"/>
      <c r="U465" s="2675"/>
      <c r="V465" s="2675"/>
      <c r="W465" s="2675"/>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4323</v>
      </c>
    </row>
    <row r="466" spans="1:380" ht="13.9" customHeight="1">
      <c r="A466" s="2648" t="str">
        <f t="shared" si="0"/>
        <v/>
      </c>
      <c r="B466" s="2667">
        <f>'Part V-Revenues &amp; Expenses'!B28</f>
        <v>0</v>
      </c>
      <c r="C466" s="2668">
        <f>'Part V-Revenues &amp; Expenses'!C28</f>
        <v>0</v>
      </c>
      <c r="D466" s="2669">
        <f>'Part V-Revenues &amp; Expenses'!D28</f>
        <v>0</v>
      </c>
      <c r="E466" s="2670">
        <f>'Part V-Revenues &amp; Expenses'!E28</f>
        <v>0</v>
      </c>
      <c r="F466" s="2670">
        <f>'Part V-Revenues &amp; Expenses'!F28</f>
        <v>0</v>
      </c>
      <c r="G466" s="2670">
        <f>'Part V-Revenues &amp; Expenses'!G28</f>
        <v>0</v>
      </c>
      <c r="H466" s="2670">
        <f>'Part V-Revenues &amp; Expenses'!H28</f>
        <v>0</v>
      </c>
      <c r="I466" s="2670">
        <f>'Part V-Revenues &amp; Expenses'!I28</f>
        <v>0</v>
      </c>
      <c r="J466" s="2670">
        <f>'Part V-Revenues &amp; Expenses'!J28</f>
        <v>0</v>
      </c>
      <c r="K466" s="2671">
        <f>'Part V-Revenues &amp; Expenses'!K28</f>
        <v>0</v>
      </c>
      <c r="L466" s="2672">
        <f t="shared" si="1"/>
        <v>0</v>
      </c>
      <c r="M466" s="2672">
        <f t="shared" si="2"/>
        <v>0</v>
      </c>
      <c r="N466" s="2541">
        <f>'Part V-Revenues &amp; Expenses'!N28</f>
        <v>0</v>
      </c>
      <c r="O466" s="1257">
        <f>'Part V-Revenues &amp; Expenses'!O28</f>
        <v>0</v>
      </c>
      <c r="P466" s="2541">
        <f>'Part V-Revenues &amp; Expenses'!P28</f>
        <v>0</v>
      </c>
      <c r="Q466" s="1805">
        <f>'Part V-Revenues &amp; Expenses'!Q28</f>
        <v>0</v>
      </c>
      <c r="R466" s="2673"/>
      <c r="S466" s="2674"/>
      <c r="T466" s="2675"/>
      <c r="U466" s="2675"/>
      <c r="V466" s="2675"/>
      <c r="W466" s="2675"/>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4324</v>
      </c>
    </row>
    <row r="467" spans="1:380" ht="13.9" customHeight="1">
      <c r="A467" s="2648" t="str">
        <f t="shared" si="0"/>
        <v/>
      </c>
      <c r="B467" s="2667">
        <f>'Part V-Revenues &amp; Expenses'!B29</f>
        <v>0</v>
      </c>
      <c r="C467" s="2668">
        <f>'Part V-Revenues &amp; Expenses'!C29</f>
        <v>0</v>
      </c>
      <c r="D467" s="2669">
        <f>'Part V-Revenues &amp; Expenses'!D29</f>
        <v>0</v>
      </c>
      <c r="E467" s="2670">
        <f>'Part V-Revenues &amp; Expenses'!E29</f>
        <v>0</v>
      </c>
      <c r="F467" s="2670">
        <f>'Part V-Revenues &amp; Expenses'!F29</f>
        <v>0</v>
      </c>
      <c r="G467" s="2670">
        <f>'Part V-Revenues &amp; Expenses'!G29</f>
        <v>0</v>
      </c>
      <c r="H467" s="2670">
        <f>'Part V-Revenues &amp; Expenses'!H29</f>
        <v>0</v>
      </c>
      <c r="I467" s="2670">
        <f>'Part V-Revenues &amp; Expenses'!I29</f>
        <v>0</v>
      </c>
      <c r="J467" s="2670">
        <f>'Part V-Revenues &amp; Expenses'!J29</f>
        <v>0</v>
      </c>
      <c r="K467" s="2671">
        <f>'Part V-Revenues &amp; Expenses'!K29</f>
        <v>0</v>
      </c>
      <c r="L467" s="2672">
        <f t="shared" si="1"/>
        <v>0</v>
      </c>
      <c r="M467" s="2672">
        <f t="shared" si="2"/>
        <v>0</v>
      </c>
      <c r="N467" s="2541">
        <f>'Part V-Revenues &amp; Expenses'!N29</f>
        <v>0</v>
      </c>
      <c r="O467" s="1257">
        <f>'Part V-Revenues &amp; Expenses'!O29</f>
        <v>0</v>
      </c>
      <c r="P467" s="2541">
        <f>'Part V-Revenues &amp; Expenses'!P29</f>
        <v>0</v>
      </c>
      <c r="Q467" s="1805">
        <f>'Part V-Revenues &amp; Expenses'!Q29</f>
        <v>0</v>
      </c>
      <c r="R467" s="2673"/>
      <c r="S467" s="2674"/>
      <c r="T467" s="2675"/>
      <c r="U467" s="2675"/>
      <c r="V467" s="2675"/>
      <c r="W467" s="2675"/>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4325</v>
      </c>
    </row>
    <row r="468" spans="1:380" ht="13.9" customHeight="1">
      <c r="A468" s="2648" t="str">
        <f t="shared" si="0"/>
        <v/>
      </c>
      <c r="B468" s="2667">
        <f>'Part V-Revenues &amp; Expenses'!B30</f>
        <v>0</v>
      </c>
      <c r="C468" s="2668">
        <f>'Part V-Revenues &amp; Expenses'!C30</f>
        <v>0</v>
      </c>
      <c r="D468" s="2669">
        <f>'Part V-Revenues &amp; Expenses'!D30</f>
        <v>0</v>
      </c>
      <c r="E468" s="2670">
        <f>'Part V-Revenues &amp; Expenses'!E30</f>
        <v>0</v>
      </c>
      <c r="F468" s="2670">
        <f>'Part V-Revenues &amp; Expenses'!F30</f>
        <v>0</v>
      </c>
      <c r="G468" s="2670">
        <f>'Part V-Revenues &amp; Expenses'!G30</f>
        <v>0</v>
      </c>
      <c r="H468" s="2670">
        <f>'Part V-Revenues &amp; Expenses'!H30</f>
        <v>0</v>
      </c>
      <c r="I468" s="2670">
        <f>'Part V-Revenues &amp; Expenses'!I30</f>
        <v>0</v>
      </c>
      <c r="J468" s="2670">
        <f>'Part V-Revenues &amp; Expenses'!J30</f>
        <v>0</v>
      </c>
      <c r="K468" s="2671">
        <f>'Part V-Revenues &amp; Expenses'!K30</f>
        <v>0</v>
      </c>
      <c r="L468" s="2672">
        <f t="shared" si="1"/>
        <v>0</v>
      </c>
      <c r="M468" s="2672">
        <f t="shared" si="2"/>
        <v>0</v>
      </c>
      <c r="N468" s="2541">
        <f>'Part V-Revenues &amp; Expenses'!N30</f>
        <v>0</v>
      </c>
      <c r="O468" s="1257">
        <f>'Part V-Revenues &amp; Expenses'!O30</f>
        <v>0</v>
      </c>
      <c r="P468" s="2541">
        <f>'Part V-Revenues &amp; Expenses'!P30</f>
        <v>0</v>
      </c>
      <c r="Q468" s="1805">
        <f>'Part V-Revenues &amp; Expenses'!Q30</f>
        <v>0</v>
      </c>
      <c r="R468" s="2673"/>
      <c r="S468" s="2674"/>
      <c r="T468" s="2675"/>
      <c r="U468" s="2675"/>
      <c r="V468" s="2675"/>
      <c r="W468" s="2675"/>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4326</v>
      </c>
    </row>
    <row r="469" spans="1:380" ht="13.9" customHeight="1">
      <c r="A469" s="2648" t="str">
        <f t="shared" si="0"/>
        <v/>
      </c>
      <c r="B469" s="2667">
        <f>'Part V-Revenues &amp; Expenses'!B31</f>
        <v>0</v>
      </c>
      <c r="C469" s="2668">
        <f>'Part V-Revenues &amp; Expenses'!C31</f>
        <v>0</v>
      </c>
      <c r="D469" s="2669">
        <f>'Part V-Revenues &amp; Expenses'!D31</f>
        <v>0</v>
      </c>
      <c r="E469" s="2670">
        <f>'Part V-Revenues &amp; Expenses'!E31</f>
        <v>0</v>
      </c>
      <c r="F469" s="2670">
        <f>'Part V-Revenues &amp; Expenses'!F31</f>
        <v>0</v>
      </c>
      <c r="G469" s="2670">
        <f>'Part V-Revenues &amp; Expenses'!G31</f>
        <v>0</v>
      </c>
      <c r="H469" s="2670">
        <f>'Part V-Revenues &amp; Expenses'!H31</f>
        <v>0</v>
      </c>
      <c r="I469" s="2670">
        <f>'Part V-Revenues &amp; Expenses'!I31</f>
        <v>0</v>
      </c>
      <c r="J469" s="2670">
        <f>'Part V-Revenues &amp; Expenses'!J31</f>
        <v>0</v>
      </c>
      <c r="K469" s="2671">
        <f>'Part V-Revenues &amp; Expenses'!K31</f>
        <v>0</v>
      </c>
      <c r="L469" s="2672">
        <f t="shared" si="1"/>
        <v>0</v>
      </c>
      <c r="M469" s="2672">
        <f t="shared" si="2"/>
        <v>0</v>
      </c>
      <c r="N469" s="2541">
        <f>'Part V-Revenues &amp; Expenses'!N31</f>
        <v>0</v>
      </c>
      <c r="O469" s="1257">
        <f>'Part V-Revenues &amp; Expenses'!O31</f>
        <v>0</v>
      </c>
      <c r="P469" s="2541">
        <f>'Part V-Revenues &amp; Expenses'!P31</f>
        <v>0</v>
      </c>
      <c r="Q469" s="1805">
        <f>'Part V-Revenues &amp; Expenses'!Q31</f>
        <v>0</v>
      </c>
      <c r="R469" s="2673"/>
      <c r="S469" s="2674"/>
      <c r="T469" s="2675"/>
      <c r="U469" s="2675"/>
      <c r="V469" s="2675"/>
      <c r="W469" s="2675"/>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4327</v>
      </c>
    </row>
    <row r="470" spans="1:380" ht="13.9" customHeight="1">
      <c r="A470" s="2648" t="str">
        <f t="shared" si="0"/>
        <v/>
      </c>
      <c r="B470" s="2667">
        <f>'Part V-Revenues &amp; Expenses'!B32</f>
        <v>0</v>
      </c>
      <c r="C470" s="2668">
        <f>'Part V-Revenues &amp; Expenses'!C32</f>
        <v>0</v>
      </c>
      <c r="D470" s="2669">
        <f>'Part V-Revenues &amp; Expenses'!D32</f>
        <v>0</v>
      </c>
      <c r="E470" s="2670">
        <f>'Part V-Revenues &amp; Expenses'!E32</f>
        <v>0</v>
      </c>
      <c r="F470" s="2670">
        <f>'Part V-Revenues &amp; Expenses'!F32</f>
        <v>0</v>
      </c>
      <c r="G470" s="2670">
        <f>'Part V-Revenues &amp; Expenses'!G32</f>
        <v>0</v>
      </c>
      <c r="H470" s="2670">
        <f>'Part V-Revenues &amp; Expenses'!H32</f>
        <v>0</v>
      </c>
      <c r="I470" s="2670">
        <f>'Part V-Revenues &amp; Expenses'!I32</f>
        <v>0</v>
      </c>
      <c r="J470" s="2670">
        <f>'Part V-Revenues &amp; Expenses'!J32</f>
        <v>0</v>
      </c>
      <c r="K470" s="2671">
        <f>'Part V-Revenues &amp; Expenses'!K32</f>
        <v>0</v>
      </c>
      <c r="L470" s="2672">
        <f t="shared" si="1"/>
        <v>0</v>
      </c>
      <c r="M470" s="2672">
        <f t="shared" si="2"/>
        <v>0</v>
      </c>
      <c r="N470" s="2541">
        <f>'Part V-Revenues &amp; Expenses'!N32</f>
        <v>0</v>
      </c>
      <c r="O470" s="1257">
        <f>'Part V-Revenues &amp; Expenses'!O32</f>
        <v>0</v>
      </c>
      <c r="P470" s="2541">
        <f>'Part V-Revenues &amp; Expenses'!P32</f>
        <v>0</v>
      </c>
      <c r="Q470" s="1805">
        <f>'Part V-Revenues &amp; Expenses'!Q32</f>
        <v>0</v>
      </c>
      <c r="R470" s="2673"/>
      <c r="S470" s="2674"/>
      <c r="T470" s="2675"/>
      <c r="U470" s="2675"/>
      <c r="V470" s="2675"/>
      <c r="W470" s="2675"/>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4328</v>
      </c>
    </row>
    <row r="471" spans="1:380" ht="13.9" customHeight="1">
      <c r="A471" s="2648" t="str">
        <f t="shared" si="0"/>
        <v/>
      </c>
      <c r="B471" s="2667">
        <f>'Part V-Revenues &amp; Expenses'!B33</f>
        <v>0</v>
      </c>
      <c r="C471" s="2668">
        <f>'Part V-Revenues &amp; Expenses'!C33</f>
        <v>0</v>
      </c>
      <c r="D471" s="2669">
        <f>'Part V-Revenues &amp; Expenses'!D33</f>
        <v>0</v>
      </c>
      <c r="E471" s="2670">
        <f>'Part V-Revenues &amp; Expenses'!E33</f>
        <v>0</v>
      </c>
      <c r="F471" s="2670">
        <f>'Part V-Revenues &amp; Expenses'!F33</f>
        <v>0</v>
      </c>
      <c r="G471" s="2670">
        <f>'Part V-Revenues &amp; Expenses'!G33</f>
        <v>0</v>
      </c>
      <c r="H471" s="2670">
        <f>'Part V-Revenues &amp; Expenses'!H33</f>
        <v>0</v>
      </c>
      <c r="I471" s="2670">
        <f>'Part V-Revenues &amp; Expenses'!I33</f>
        <v>0</v>
      </c>
      <c r="J471" s="2670">
        <f>'Part V-Revenues &amp; Expenses'!J33</f>
        <v>0</v>
      </c>
      <c r="K471" s="2671">
        <f>'Part V-Revenues &amp; Expenses'!K33</f>
        <v>0</v>
      </c>
      <c r="L471" s="2672">
        <f t="shared" si="1"/>
        <v>0</v>
      </c>
      <c r="M471" s="2672">
        <f t="shared" si="2"/>
        <v>0</v>
      </c>
      <c r="N471" s="2541">
        <f>'Part V-Revenues &amp; Expenses'!N33</f>
        <v>0</v>
      </c>
      <c r="O471" s="1257">
        <f>'Part V-Revenues &amp; Expenses'!O33</f>
        <v>0</v>
      </c>
      <c r="P471" s="2541">
        <f>'Part V-Revenues &amp; Expenses'!P33</f>
        <v>0</v>
      </c>
      <c r="Q471" s="1805">
        <f>'Part V-Revenues &amp; Expenses'!Q33</f>
        <v>0</v>
      </c>
      <c r="R471" s="2673"/>
      <c r="S471" s="2674"/>
      <c r="T471" s="2675"/>
      <c r="U471" s="2675"/>
      <c r="V471" s="2675"/>
      <c r="W471" s="2675"/>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4329</v>
      </c>
    </row>
    <row r="472" spans="1:380" ht="13.9" customHeight="1">
      <c r="A472" s="2648" t="str">
        <f t="shared" si="0"/>
        <v/>
      </c>
      <c r="B472" s="2667">
        <f>'Part V-Revenues &amp; Expenses'!B34</f>
        <v>0</v>
      </c>
      <c r="C472" s="2668">
        <f>'Part V-Revenues &amp; Expenses'!C34</f>
        <v>0</v>
      </c>
      <c r="D472" s="2669">
        <f>'Part V-Revenues &amp; Expenses'!D34</f>
        <v>0</v>
      </c>
      <c r="E472" s="2670">
        <f>'Part V-Revenues &amp; Expenses'!E34</f>
        <v>0</v>
      </c>
      <c r="F472" s="2670">
        <f>'Part V-Revenues &amp; Expenses'!F34</f>
        <v>0</v>
      </c>
      <c r="G472" s="2670">
        <f>'Part V-Revenues &amp; Expenses'!G34</f>
        <v>0</v>
      </c>
      <c r="H472" s="2670">
        <f>'Part V-Revenues &amp; Expenses'!H34</f>
        <v>0</v>
      </c>
      <c r="I472" s="2670">
        <f>'Part V-Revenues &amp; Expenses'!I34</f>
        <v>0</v>
      </c>
      <c r="J472" s="2670">
        <f>'Part V-Revenues &amp; Expenses'!J34</f>
        <v>0</v>
      </c>
      <c r="K472" s="2671">
        <f>'Part V-Revenues &amp; Expenses'!K34</f>
        <v>0</v>
      </c>
      <c r="L472" s="2672">
        <f t="shared" si="1"/>
        <v>0</v>
      </c>
      <c r="M472" s="2672">
        <f t="shared" si="2"/>
        <v>0</v>
      </c>
      <c r="N472" s="2541">
        <f>'Part V-Revenues &amp; Expenses'!N34</f>
        <v>0</v>
      </c>
      <c r="O472" s="1257">
        <f>'Part V-Revenues &amp; Expenses'!O34</f>
        <v>0</v>
      </c>
      <c r="P472" s="2541">
        <f>'Part V-Revenues &amp; Expenses'!P34</f>
        <v>0</v>
      </c>
      <c r="Q472" s="1805">
        <f>'Part V-Revenues &amp; Expenses'!Q34</f>
        <v>0</v>
      </c>
      <c r="R472" s="2673"/>
      <c r="S472" s="2674"/>
      <c r="T472" s="2675"/>
      <c r="U472" s="2675"/>
      <c r="V472" s="2675"/>
      <c r="W472" s="2675"/>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4330</v>
      </c>
    </row>
    <row r="473" spans="1:380" ht="13.9" customHeight="1">
      <c r="A473" s="2648" t="str">
        <f t="shared" si="0"/>
        <v/>
      </c>
      <c r="B473" s="2667">
        <f>'Part V-Revenues &amp; Expenses'!B35</f>
        <v>0</v>
      </c>
      <c r="C473" s="2668">
        <f>'Part V-Revenues &amp; Expenses'!C35</f>
        <v>0</v>
      </c>
      <c r="D473" s="2669">
        <f>'Part V-Revenues &amp; Expenses'!D35</f>
        <v>0</v>
      </c>
      <c r="E473" s="2670">
        <f>'Part V-Revenues &amp; Expenses'!E35</f>
        <v>0</v>
      </c>
      <c r="F473" s="2670">
        <f>'Part V-Revenues &amp; Expenses'!F35</f>
        <v>0</v>
      </c>
      <c r="G473" s="2670">
        <f>'Part V-Revenues &amp; Expenses'!G35</f>
        <v>0</v>
      </c>
      <c r="H473" s="2670">
        <f>'Part V-Revenues &amp; Expenses'!H35</f>
        <v>0</v>
      </c>
      <c r="I473" s="2670">
        <f>'Part V-Revenues &amp; Expenses'!I35</f>
        <v>0</v>
      </c>
      <c r="J473" s="2670">
        <f>'Part V-Revenues &amp; Expenses'!J35</f>
        <v>0</v>
      </c>
      <c r="K473" s="2671">
        <f>'Part V-Revenues &amp; Expenses'!K35</f>
        <v>0</v>
      </c>
      <c r="L473" s="2672">
        <f t="shared" si="1"/>
        <v>0</v>
      </c>
      <c r="M473" s="2672">
        <f t="shared" si="2"/>
        <v>0</v>
      </c>
      <c r="N473" s="2541">
        <f>'Part V-Revenues &amp; Expenses'!N35</f>
        <v>0</v>
      </c>
      <c r="O473" s="1257">
        <f>'Part V-Revenues &amp; Expenses'!O35</f>
        <v>0</v>
      </c>
      <c r="P473" s="2541">
        <f>'Part V-Revenues &amp; Expenses'!P35</f>
        <v>0</v>
      </c>
      <c r="Q473" s="1805">
        <f>'Part V-Revenues &amp; Expenses'!Q35</f>
        <v>0</v>
      </c>
      <c r="R473" s="2673"/>
      <c r="S473" s="2674"/>
      <c r="T473" s="2675"/>
      <c r="U473" s="2675"/>
      <c r="V473" s="2675"/>
      <c r="W473" s="2675"/>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4331</v>
      </c>
    </row>
    <row r="474" spans="1:380" ht="13.9" customHeight="1">
      <c r="A474" s="2648" t="str">
        <f t="shared" si="0"/>
        <v/>
      </c>
      <c r="B474" s="2667">
        <f>'Part V-Revenues &amp; Expenses'!B36</f>
        <v>0</v>
      </c>
      <c r="C474" s="2668">
        <f>'Part V-Revenues &amp; Expenses'!C36</f>
        <v>0</v>
      </c>
      <c r="D474" s="2669">
        <f>'Part V-Revenues &amp; Expenses'!D36</f>
        <v>0</v>
      </c>
      <c r="E474" s="2670">
        <f>'Part V-Revenues &amp; Expenses'!E36</f>
        <v>0</v>
      </c>
      <c r="F474" s="2670">
        <f>'Part V-Revenues &amp; Expenses'!F36</f>
        <v>0</v>
      </c>
      <c r="G474" s="2670">
        <f>'Part V-Revenues &amp; Expenses'!G36</f>
        <v>0</v>
      </c>
      <c r="H474" s="2670">
        <f>'Part V-Revenues &amp; Expenses'!H36</f>
        <v>0</v>
      </c>
      <c r="I474" s="2670">
        <f>'Part V-Revenues &amp; Expenses'!I36</f>
        <v>0</v>
      </c>
      <c r="J474" s="2670">
        <f>'Part V-Revenues &amp; Expenses'!J36</f>
        <v>0</v>
      </c>
      <c r="K474" s="2671">
        <f>'Part V-Revenues &amp; Expenses'!K36</f>
        <v>0</v>
      </c>
      <c r="L474" s="2672">
        <f t="shared" si="1"/>
        <v>0</v>
      </c>
      <c r="M474" s="2672">
        <f t="shared" si="2"/>
        <v>0</v>
      </c>
      <c r="N474" s="2541">
        <f>'Part V-Revenues &amp; Expenses'!N36</f>
        <v>0</v>
      </c>
      <c r="O474" s="1257">
        <f>'Part V-Revenues &amp; Expenses'!O36</f>
        <v>0</v>
      </c>
      <c r="P474" s="2541">
        <f>'Part V-Revenues &amp; Expenses'!P36</f>
        <v>0</v>
      </c>
      <c r="Q474" s="1805">
        <f>'Part V-Revenues &amp; Expenses'!Q36</f>
        <v>0</v>
      </c>
      <c r="R474" s="2673"/>
      <c r="S474" s="2674"/>
      <c r="T474" s="2675"/>
      <c r="U474" s="2675"/>
      <c r="V474" s="2675"/>
      <c r="W474" s="2675"/>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4332</v>
      </c>
    </row>
    <row r="475" spans="1:380" ht="13.9" customHeight="1">
      <c r="A475" s="2648" t="str">
        <f t="shared" si="0"/>
        <v/>
      </c>
      <c r="B475" s="2667">
        <f>'Part V-Revenues &amp; Expenses'!B37</f>
        <v>0</v>
      </c>
      <c r="C475" s="2668">
        <f>'Part V-Revenues &amp; Expenses'!C37</f>
        <v>0</v>
      </c>
      <c r="D475" s="2669">
        <f>'Part V-Revenues &amp; Expenses'!D37</f>
        <v>0</v>
      </c>
      <c r="E475" s="2670">
        <f>'Part V-Revenues &amp; Expenses'!E37</f>
        <v>0</v>
      </c>
      <c r="F475" s="2670">
        <f>'Part V-Revenues &amp; Expenses'!F37</f>
        <v>0</v>
      </c>
      <c r="G475" s="2670">
        <f>'Part V-Revenues &amp; Expenses'!G37</f>
        <v>0</v>
      </c>
      <c r="H475" s="2670">
        <f>'Part V-Revenues &amp; Expenses'!H37</f>
        <v>0</v>
      </c>
      <c r="I475" s="2670">
        <f>'Part V-Revenues &amp; Expenses'!I37</f>
        <v>0</v>
      </c>
      <c r="J475" s="2670">
        <f>'Part V-Revenues &amp; Expenses'!J37</f>
        <v>0</v>
      </c>
      <c r="K475" s="2671">
        <f>'Part V-Revenues &amp; Expenses'!K37</f>
        <v>0</v>
      </c>
      <c r="L475" s="2672">
        <f t="shared" si="1"/>
        <v>0</v>
      </c>
      <c r="M475" s="2672">
        <f t="shared" si="2"/>
        <v>0</v>
      </c>
      <c r="N475" s="2541">
        <f>'Part V-Revenues &amp; Expenses'!N37</f>
        <v>0</v>
      </c>
      <c r="O475" s="1257">
        <f>'Part V-Revenues &amp; Expenses'!O37</f>
        <v>0</v>
      </c>
      <c r="P475" s="2541">
        <f>'Part V-Revenues &amp; Expenses'!P37</f>
        <v>0</v>
      </c>
      <c r="Q475" s="1805">
        <f>'Part V-Revenues &amp; Expenses'!Q37</f>
        <v>0</v>
      </c>
      <c r="R475" s="2673"/>
      <c r="S475" s="2674"/>
      <c r="T475" s="2675"/>
      <c r="U475" s="2675"/>
      <c r="V475" s="2675"/>
      <c r="W475" s="2675"/>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4333</v>
      </c>
    </row>
    <row r="476" spans="1:380" ht="13.9" customHeight="1">
      <c r="A476" s="2648" t="str">
        <f t="shared" si="0"/>
        <v/>
      </c>
      <c r="B476" s="2667">
        <f>'Part V-Revenues &amp; Expenses'!B38</f>
        <v>0</v>
      </c>
      <c r="C476" s="2668">
        <f>'Part V-Revenues &amp; Expenses'!C38</f>
        <v>0</v>
      </c>
      <c r="D476" s="2669">
        <f>'Part V-Revenues &amp; Expenses'!D38</f>
        <v>0</v>
      </c>
      <c r="E476" s="2670">
        <f>'Part V-Revenues &amp; Expenses'!E38</f>
        <v>0</v>
      </c>
      <c r="F476" s="2670">
        <f>'Part V-Revenues &amp; Expenses'!F38</f>
        <v>0</v>
      </c>
      <c r="G476" s="2670">
        <f>'Part V-Revenues &amp; Expenses'!G38</f>
        <v>0</v>
      </c>
      <c r="H476" s="2670">
        <f>'Part V-Revenues &amp; Expenses'!H38</f>
        <v>0</v>
      </c>
      <c r="I476" s="2670">
        <f>'Part V-Revenues &amp; Expenses'!I38</f>
        <v>0</v>
      </c>
      <c r="J476" s="2670">
        <f>'Part V-Revenues &amp; Expenses'!J38</f>
        <v>0</v>
      </c>
      <c r="K476" s="2671">
        <f>'Part V-Revenues &amp; Expenses'!K38</f>
        <v>0</v>
      </c>
      <c r="L476" s="2672">
        <f t="shared" si="1"/>
        <v>0</v>
      </c>
      <c r="M476" s="2672">
        <f t="shared" si="2"/>
        <v>0</v>
      </c>
      <c r="N476" s="2541">
        <f>'Part V-Revenues &amp; Expenses'!N38</f>
        <v>0</v>
      </c>
      <c r="O476" s="1257">
        <f>'Part V-Revenues &amp; Expenses'!O38</f>
        <v>0</v>
      </c>
      <c r="P476" s="2541">
        <f>'Part V-Revenues &amp; Expenses'!P38</f>
        <v>0</v>
      </c>
      <c r="Q476" s="1805">
        <f>'Part V-Revenues &amp; Expenses'!Q38</f>
        <v>0</v>
      </c>
      <c r="R476" s="2673"/>
      <c r="S476" s="2674"/>
      <c r="T476" s="2675"/>
      <c r="U476" s="2675"/>
      <c r="V476" s="2675"/>
      <c r="W476" s="2675"/>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4334</v>
      </c>
    </row>
    <row r="477" spans="1:380" ht="13.9" customHeight="1">
      <c r="A477" s="2648" t="str">
        <f t="shared" si="0"/>
        <v/>
      </c>
      <c r="B477" s="2667">
        <f>'Part V-Revenues &amp; Expenses'!B39</f>
        <v>0</v>
      </c>
      <c r="C477" s="2668">
        <f>'Part V-Revenues &amp; Expenses'!C39</f>
        <v>0</v>
      </c>
      <c r="D477" s="2669">
        <f>'Part V-Revenues &amp; Expenses'!D39</f>
        <v>0</v>
      </c>
      <c r="E477" s="2670">
        <f>'Part V-Revenues &amp; Expenses'!E39</f>
        <v>0</v>
      </c>
      <c r="F477" s="2670">
        <f>'Part V-Revenues &amp; Expenses'!F39</f>
        <v>0</v>
      </c>
      <c r="G477" s="2670">
        <f>'Part V-Revenues &amp; Expenses'!G39</f>
        <v>0</v>
      </c>
      <c r="H477" s="2670">
        <f>'Part V-Revenues &amp; Expenses'!H39</f>
        <v>0</v>
      </c>
      <c r="I477" s="2670">
        <f>'Part V-Revenues &amp; Expenses'!I39</f>
        <v>0</v>
      </c>
      <c r="J477" s="2670">
        <f>'Part V-Revenues &amp; Expenses'!J39</f>
        <v>0</v>
      </c>
      <c r="K477" s="2671">
        <f>'Part V-Revenues &amp; Expenses'!K39</f>
        <v>0</v>
      </c>
      <c r="L477" s="2672">
        <f t="shared" si="1"/>
        <v>0</v>
      </c>
      <c r="M477" s="2672">
        <f t="shared" si="2"/>
        <v>0</v>
      </c>
      <c r="N477" s="2541">
        <f>'Part V-Revenues &amp; Expenses'!N39</f>
        <v>0</v>
      </c>
      <c r="O477" s="1257">
        <f>'Part V-Revenues &amp; Expenses'!O39</f>
        <v>0</v>
      </c>
      <c r="P477" s="2541">
        <f>'Part V-Revenues &amp; Expenses'!P39</f>
        <v>0</v>
      </c>
      <c r="Q477" s="1805">
        <f>'Part V-Revenues &amp; Expenses'!Q39</f>
        <v>0</v>
      </c>
      <c r="R477" s="2673"/>
      <c r="S477" s="2674"/>
      <c r="T477" s="2675"/>
      <c r="U477" s="2675"/>
      <c r="V477" s="2675"/>
      <c r="W477" s="2675"/>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4335</v>
      </c>
    </row>
    <row r="478" spans="1:380" ht="13.9" customHeight="1">
      <c r="A478" s="2648" t="str">
        <f t="shared" si="0"/>
        <v/>
      </c>
      <c r="B478" s="2667">
        <f>'Part V-Revenues &amp; Expenses'!B40</f>
        <v>0</v>
      </c>
      <c r="C478" s="2668">
        <f>'Part V-Revenues &amp; Expenses'!C40</f>
        <v>0</v>
      </c>
      <c r="D478" s="2669">
        <f>'Part V-Revenues &amp; Expenses'!D40</f>
        <v>0</v>
      </c>
      <c r="E478" s="2670">
        <f>'Part V-Revenues &amp; Expenses'!E40</f>
        <v>0</v>
      </c>
      <c r="F478" s="2670">
        <f>'Part V-Revenues &amp; Expenses'!F40</f>
        <v>0</v>
      </c>
      <c r="G478" s="2670">
        <f>'Part V-Revenues &amp; Expenses'!G40</f>
        <v>0</v>
      </c>
      <c r="H478" s="2670">
        <f>'Part V-Revenues &amp; Expenses'!H40</f>
        <v>0</v>
      </c>
      <c r="I478" s="2670">
        <f>'Part V-Revenues &amp; Expenses'!I40</f>
        <v>0</v>
      </c>
      <c r="J478" s="2670">
        <f>'Part V-Revenues &amp; Expenses'!J40</f>
        <v>0</v>
      </c>
      <c r="K478" s="2671">
        <f>'Part V-Revenues &amp; Expenses'!K40</f>
        <v>0</v>
      </c>
      <c r="L478" s="2672">
        <f t="shared" si="1"/>
        <v>0</v>
      </c>
      <c r="M478" s="2672">
        <f t="shared" si="2"/>
        <v>0</v>
      </c>
      <c r="N478" s="2541">
        <f>'Part V-Revenues &amp; Expenses'!N40</f>
        <v>0</v>
      </c>
      <c r="O478" s="1257">
        <f>'Part V-Revenues &amp; Expenses'!O40</f>
        <v>0</v>
      </c>
      <c r="P478" s="2541">
        <f>'Part V-Revenues &amp; Expenses'!P40</f>
        <v>0</v>
      </c>
      <c r="Q478" s="1805">
        <f>'Part V-Revenues &amp; Expenses'!Q40</f>
        <v>0</v>
      </c>
      <c r="R478" s="2673"/>
      <c r="S478" s="2674"/>
      <c r="T478" s="2675"/>
      <c r="U478" s="2675"/>
      <c r="V478" s="2675"/>
      <c r="W478" s="2675"/>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4336</v>
      </c>
    </row>
    <row r="479" spans="1:380" ht="13.9" customHeight="1">
      <c r="A479" s="2648" t="str">
        <f t="shared" si="0"/>
        <v/>
      </c>
      <c r="B479" s="2667">
        <f>'Part V-Revenues &amp; Expenses'!B41</f>
        <v>0</v>
      </c>
      <c r="C479" s="2668">
        <f>'Part V-Revenues &amp; Expenses'!C41</f>
        <v>0</v>
      </c>
      <c r="D479" s="2669">
        <f>'Part V-Revenues &amp; Expenses'!D41</f>
        <v>0</v>
      </c>
      <c r="E479" s="2670">
        <f>'Part V-Revenues &amp; Expenses'!E41</f>
        <v>0</v>
      </c>
      <c r="F479" s="2670">
        <f>'Part V-Revenues &amp; Expenses'!F41</f>
        <v>0</v>
      </c>
      <c r="G479" s="2670">
        <f>'Part V-Revenues &amp; Expenses'!G41</f>
        <v>0</v>
      </c>
      <c r="H479" s="2670">
        <f>'Part V-Revenues &amp; Expenses'!H41</f>
        <v>0</v>
      </c>
      <c r="I479" s="2670">
        <f>'Part V-Revenues &amp; Expenses'!I41</f>
        <v>0</v>
      </c>
      <c r="J479" s="2670">
        <f>'Part V-Revenues &amp; Expenses'!J41</f>
        <v>0</v>
      </c>
      <c r="K479" s="2671">
        <f>'Part V-Revenues &amp; Expenses'!K41</f>
        <v>0</v>
      </c>
      <c r="L479" s="2672">
        <f t="shared" si="1"/>
        <v>0</v>
      </c>
      <c r="M479" s="2672">
        <f t="shared" si="2"/>
        <v>0</v>
      </c>
      <c r="N479" s="2541">
        <f>'Part V-Revenues &amp; Expenses'!N41</f>
        <v>0</v>
      </c>
      <c r="O479" s="1257">
        <f>'Part V-Revenues &amp; Expenses'!O41</f>
        <v>0</v>
      </c>
      <c r="P479" s="2541">
        <f>'Part V-Revenues &amp; Expenses'!P41</f>
        <v>0</v>
      </c>
      <c r="Q479" s="1805">
        <f>'Part V-Revenues &amp; Expenses'!Q41</f>
        <v>0</v>
      </c>
      <c r="R479" s="2673"/>
      <c r="S479" s="2674"/>
      <c r="T479" s="2675"/>
      <c r="U479" s="2675"/>
      <c r="V479" s="2675"/>
      <c r="W479" s="2675"/>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4337</v>
      </c>
    </row>
    <row r="480" spans="1:380" ht="13.9" customHeight="1">
      <c r="A480" s="2648" t="str">
        <f t="shared" si="0"/>
        <v/>
      </c>
      <c r="B480" s="2667">
        <f>'Part V-Revenues &amp; Expenses'!B42</f>
        <v>0</v>
      </c>
      <c r="C480" s="2668">
        <f>'Part V-Revenues &amp; Expenses'!C42</f>
        <v>0</v>
      </c>
      <c r="D480" s="2669">
        <f>'Part V-Revenues &amp; Expenses'!D42</f>
        <v>0</v>
      </c>
      <c r="E480" s="2670">
        <f>'Part V-Revenues &amp; Expenses'!E42</f>
        <v>0</v>
      </c>
      <c r="F480" s="2670">
        <f>'Part V-Revenues &amp; Expenses'!F42</f>
        <v>0</v>
      </c>
      <c r="G480" s="2670">
        <f>'Part V-Revenues &amp; Expenses'!G42</f>
        <v>0</v>
      </c>
      <c r="H480" s="2670">
        <f>'Part V-Revenues &amp; Expenses'!H42</f>
        <v>0</v>
      </c>
      <c r="I480" s="2670">
        <f>'Part V-Revenues &amp; Expenses'!I42</f>
        <v>0</v>
      </c>
      <c r="J480" s="2670">
        <f>'Part V-Revenues &amp; Expenses'!J42</f>
        <v>0</v>
      </c>
      <c r="K480" s="2671">
        <f>'Part V-Revenues &amp; Expenses'!K42</f>
        <v>0</v>
      </c>
      <c r="L480" s="2672">
        <f t="shared" si="1"/>
        <v>0</v>
      </c>
      <c r="M480" s="2672">
        <f t="shared" si="2"/>
        <v>0</v>
      </c>
      <c r="N480" s="2541">
        <f>'Part V-Revenues &amp; Expenses'!N42</f>
        <v>0</v>
      </c>
      <c r="O480" s="1257">
        <f>'Part V-Revenues &amp; Expenses'!O42</f>
        <v>0</v>
      </c>
      <c r="P480" s="2541">
        <f>'Part V-Revenues &amp; Expenses'!P42</f>
        <v>0</v>
      </c>
      <c r="Q480" s="1805">
        <f>'Part V-Revenues &amp; Expenses'!Q42</f>
        <v>0</v>
      </c>
      <c r="R480" s="2673"/>
      <c r="S480" s="2674"/>
      <c r="T480" s="2675"/>
      <c r="U480" s="2675"/>
      <c r="V480" s="2675"/>
      <c r="W480" s="2675"/>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4338</v>
      </c>
    </row>
    <row r="481" spans="1:380" ht="13.9" customHeight="1">
      <c r="A481" s="2648" t="str">
        <f t="shared" si="0"/>
        <v/>
      </c>
      <c r="B481" s="2667">
        <f>'Part V-Revenues &amp; Expenses'!B43</f>
        <v>0</v>
      </c>
      <c r="C481" s="2668">
        <f>'Part V-Revenues &amp; Expenses'!C43</f>
        <v>0</v>
      </c>
      <c r="D481" s="2669">
        <f>'Part V-Revenues &amp; Expenses'!D43</f>
        <v>0</v>
      </c>
      <c r="E481" s="2670">
        <f>'Part V-Revenues &amp; Expenses'!E43</f>
        <v>0</v>
      </c>
      <c r="F481" s="2670">
        <f>'Part V-Revenues &amp; Expenses'!F43</f>
        <v>0</v>
      </c>
      <c r="G481" s="2670">
        <f>'Part V-Revenues &amp; Expenses'!G43</f>
        <v>0</v>
      </c>
      <c r="H481" s="2670">
        <f>'Part V-Revenues &amp; Expenses'!H43</f>
        <v>0</v>
      </c>
      <c r="I481" s="2670">
        <f>'Part V-Revenues &amp; Expenses'!I43</f>
        <v>0</v>
      </c>
      <c r="J481" s="2670">
        <f>'Part V-Revenues &amp; Expenses'!J43</f>
        <v>0</v>
      </c>
      <c r="K481" s="2671">
        <f>'Part V-Revenues &amp; Expenses'!K43</f>
        <v>0</v>
      </c>
      <c r="L481" s="2672">
        <f t="shared" si="1"/>
        <v>0</v>
      </c>
      <c r="M481" s="2672">
        <f t="shared" si="2"/>
        <v>0</v>
      </c>
      <c r="N481" s="2541">
        <f>'Part V-Revenues &amp; Expenses'!N43</f>
        <v>0</v>
      </c>
      <c r="O481" s="1257">
        <f>'Part V-Revenues &amp; Expenses'!O43</f>
        <v>0</v>
      </c>
      <c r="P481" s="2541">
        <f>'Part V-Revenues &amp; Expenses'!P43</f>
        <v>0</v>
      </c>
      <c r="Q481" s="1805">
        <f>'Part V-Revenues &amp; Expenses'!Q43</f>
        <v>0</v>
      </c>
      <c r="R481" s="2673"/>
      <c r="S481" s="2674"/>
      <c r="T481" s="2675"/>
      <c r="U481" s="2675"/>
      <c r="V481" s="2675"/>
      <c r="W481" s="2675"/>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4339</v>
      </c>
    </row>
    <row r="482" spans="1:380" ht="13.9" customHeight="1">
      <c r="A482" s="2648" t="str">
        <f t="shared" si="0"/>
        <v/>
      </c>
      <c r="B482" s="2667">
        <f>'Part V-Revenues &amp; Expenses'!B44</f>
        <v>0</v>
      </c>
      <c r="C482" s="2668">
        <f>'Part V-Revenues &amp; Expenses'!C44</f>
        <v>0</v>
      </c>
      <c r="D482" s="2669">
        <f>'Part V-Revenues &amp; Expenses'!D44</f>
        <v>0</v>
      </c>
      <c r="E482" s="2670">
        <f>'Part V-Revenues &amp; Expenses'!E44</f>
        <v>0</v>
      </c>
      <c r="F482" s="2670">
        <f>'Part V-Revenues &amp; Expenses'!F44</f>
        <v>0</v>
      </c>
      <c r="G482" s="2670">
        <f>'Part V-Revenues &amp; Expenses'!G44</f>
        <v>0</v>
      </c>
      <c r="H482" s="2670">
        <f>'Part V-Revenues &amp; Expenses'!H44</f>
        <v>0</v>
      </c>
      <c r="I482" s="2670">
        <f>'Part V-Revenues &amp; Expenses'!I44</f>
        <v>0</v>
      </c>
      <c r="J482" s="2670">
        <f>'Part V-Revenues &amp; Expenses'!J44</f>
        <v>0</v>
      </c>
      <c r="K482" s="2671">
        <f>'Part V-Revenues &amp; Expenses'!K44</f>
        <v>0</v>
      </c>
      <c r="L482" s="2672">
        <f t="shared" si="1"/>
        <v>0</v>
      </c>
      <c r="M482" s="2672">
        <f t="shared" si="2"/>
        <v>0</v>
      </c>
      <c r="N482" s="2541">
        <f>'Part V-Revenues &amp; Expenses'!N44</f>
        <v>0</v>
      </c>
      <c r="O482" s="1257">
        <f>'Part V-Revenues &amp; Expenses'!O44</f>
        <v>0</v>
      </c>
      <c r="P482" s="2541">
        <f>'Part V-Revenues &amp; Expenses'!P44</f>
        <v>0</v>
      </c>
      <c r="Q482" s="1805">
        <f>'Part V-Revenues &amp; Expenses'!Q44</f>
        <v>0</v>
      </c>
      <c r="R482" s="2673"/>
      <c r="S482" s="2674"/>
      <c r="T482" s="2675"/>
      <c r="U482" s="2675"/>
      <c r="V482" s="2675"/>
      <c r="W482" s="2675"/>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4340</v>
      </c>
    </row>
    <row r="483" spans="1:380" ht="13.9" customHeight="1">
      <c r="A483" s="2648" t="str">
        <f t="shared" si="0"/>
        <v/>
      </c>
      <c r="B483" s="2667">
        <f>'Part V-Revenues &amp; Expenses'!B45</f>
        <v>0</v>
      </c>
      <c r="C483" s="2668">
        <f>'Part V-Revenues &amp; Expenses'!C45</f>
        <v>0</v>
      </c>
      <c r="D483" s="2669">
        <f>'Part V-Revenues &amp; Expenses'!D45</f>
        <v>0</v>
      </c>
      <c r="E483" s="2670">
        <f>'Part V-Revenues &amp; Expenses'!E45</f>
        <v>0</v>
      </c>
      <c r="F483" s="2670">
        <f>'Part V-Revenues &amp; Expenses'!F45</f>
        <v>0</v>
      </c>
      <c r="G483" s="2670">
        <f>'Part V-Revenues &amp; Expenses'!G45</f>
        <v>0</v>
      </c>
      <c r="H483" s="2670">
        <f>'Part V-Revenues &amp; Expenses'!H45</f>
        <v>0</v>
      </c>
      <c r="I483" s="2670">
        <f>'Part V-Revenues &amp; Expenses'!I45</f>
        <v>0</v>
      </c>
      <c r="J483" s="2670">
        <f>'Part V-Revenues &amp; Expenses'!J45</f>
        <v>0</v>
      </c>
      <c r="K483" s="2671">
        <f>'Part V-Revenues &amp; Expenses'!K45</f>
        <v>0</v>
      </c>
      <c r="L483" s="2672">
        <f t="shared" si="1"/>
        <v>0</v>
      </c>
      <c r="M483" s="2672">
        <f t="shared" si="2"/>
        <v>0</v>
      </c>
      <c r="N483" s="2541">
        <f>'Part V-Revenues &amp; Expenses'!N45</f>
        <v>0</v>
      </c>
      <c r="O483" s="1257">
        <f>'Part V-Revenues &amp; Expenses'!O45</f>
        <v>0</v>
      </c>
      <c r="P483" s="2541">
        <f>'Part V-Revenues &amp; Expenses'!P45</f>
        <v>0</v>
      </c>
      <c r="Q483" s="1805">
        <f>'Part V-Revenues &amp; Expenses'!Q45</f>
        <v>0</v>
      </c>
      <c r="R483" s="2673"/>
      <c r="S483" s="2674"/>
      <c r="T483" s="2675"/>
      <c r="U483" s="2675"/>
      <c r="V483" s="2675"/>
      <c r="W483" s="2675"/>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4341</v>
      </c>
    </row>
    <row r="484" spans="1:380" ht="13.9" customHeight="1">
      <c r="A484" s="2648" t="str">
        <f t="shared" si="0"/>
        <v/>
      </c>
      <c r="B484" s="2667">
        <f>'Part V-Revenues &amp; Expenses'!B46</f>
        <v>0</v>
      </c>
      <c r="C484" s="2668">
        <f>'Part V-Revenues &amp; Expenses'!C46</f>
        <v>0</v>
      </c>
      <c r="D484" s="2669">
        <f>'Part V-Revenues &amp; Expenses'!D46</f>
        <v>0</v>
      </c>
      <c r="E484" s="2670">
        <f>'Part V-Revenues &amp; Expenses'!E46</f>
        <v>0</v>
      </c>
      <c r="F484" s="2670">
        <f>'Part V-Revenues &amp; Expenses'!F46</f>
        <v>0</v>
      </c>
      <c r="G484" s="2670">
        <f>'Part V-Revenues &amp; Expenses'!G46</f>
        <v>0</v>
      </c>
      <c r="H484" s="2670">
        <f>'Part V-Revenues &amp; Expenses'!H46</f>
        <v>0</v>
      </c>
      <c r="I484" s="2670">
        <f>'Part V-Revenues &amp; Expenses'!I46</f>
        <v>0</v>
      </c>
      <c r="J484" s="2670">
        <f>'Part V-Revenues &amp; Expenses'!J46</f>
        <v>0</v>
      </c>
      <c r="K484" s="2671">
        <f>'Part V-Revenues &amp; Expenses'!K46</f>
        <v>0</v>
      </c>
      <c r="L484" s="2672">
        <f t="shared" si="1"/>
        <v>0</v>
      </c>
      <c r="M484" s="2672">
        <f t="shared" si="2"/>
        <v>0</v>
      </c>
      <c r="N484" s="2541">
        <f>'Part V-Revenues &amp; Expenses'!N46</f>
        <v>0</v>
      </c>
      <c r="O484" s="1257">
        <f>'Part V-Revenues &amp; Expenses'!O46</f>
        <v>0</v>
      </c>
      <c r="P484" s="2541">
        <f>'Part V-Revenues &amp; Expenses'!P46</f>
        <v>0</v>
      </c>
      <c r="Q484" s="1805">
        <f>'Part V-Revenues &amp; Expenses'!Q46</f>
        <v>0</v>
      </c>
      <c r="R484" s="2673"/>
      <c r="S484" s="2674"/>
      <c r="T484" s="2675"/>
      <c r="U484" s="2675"/>
      <c r="V484" s="2675"/>
      <c r="W484" s="2675"/>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4342</v>
      </c>
    </row>
    <row r="485" spans="1:380" ht="13.9" customHeight="1">
      <c r="A485" s="2648" t="str">
        <f t="shared" si="0"/>
        <v/>
      </c>
      <c r="B485" s="2667">
        <f>'Part V-Revenues &amp; Expenses'!B47</f>
        <v>0</v>
      </c>
      <c r="C485" s="2668">
        <f>'Part V-Revenues &amp; Expenses'!C47</f>
        <v>0</v>
      </c>
      <c r="D485" s="2669">
        <f>'Part V-Revenues &amp; Expenses'!D47</f>
        <v>0</v>
      </c>
      <c r="E485" s="2670">
        <f>'Part V-Revenues &amp; Expenses'!E47</f>
        <v>0</v>
      </c>
      <c r="F485" s="2670">
        <f>'Part V-Revenues &amp; Expenses'!F47</f>
        <v>0</v>
      </c>
      <c r="G485" s="2670">
        <f>'Part V-Revenues &amp; Expenses'!G47</f>
        <v>0</v>
      </c>
      <c r="H485" s="2670">
        <f>'Part V-Revenues &amp; Expenses'!H47</f>
        <v>0</v>
      </c>
      <c r="I485" s="2670">
        <f>'Part V-Revenues &amp; Expenses'!I47</f>
        <v>0</v>
      </c>
      <c r="J485" s="2670">
        <f>'Part V-Revenues &amp; Expenses'!J47</f>
        <v>0</v>
      </c>
      <c r="K485" s="2671">
        <f>'Part V-Revenues &amp; Expenses'!K47</f>
        <v>0</v>
      </c>
      <c r="L485" s="2672">
        <f t="shared" si="1"/>
        <v>0</v>
      </c>
      <c r="M485" s="2672">
        <f t="shared" si="2"/>
        <v>0</v>
      </c>
      <c r="N485" s="2541">
        <f>'Part V-Revenues &amp; Expenses'!N47</f>
        <v>0</v>
      </c>
      <c r="O485" s="1257">
        <f>'Part V-Revenues &amp; Expenses'!O47</f>
        <v>0</v>
      </c>
      <c r="P485" s="2541">
        <f>'Part V-Revenues &amp; Expenses'!P47</f>
        <v>0</v>
      </c>
      <c r="Q485" s="1805">
        <f>'Part V-Revenues &amp; Expenses'!Q47</f>
        <v>0</v>
      </c>
      <c r="R485" s="2673"/>
      <c r="S485" s="2674"/>
      <c r="T485" s="2675"/>
      <c r="U485" s="2675"/>
      <c r="V485" s="2675"/>
      <c r="W485" s="2675"/>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4343</v>
      </c>
    </row>
    <row r="486" spans="1:380" ht="13.9" customHeight="1">
      <c r="A486" s="2648" t="str">
        <f t="shared" si="0"/>
        <v/>
      </c>
      <c r="B486" s="2667">
        <f>'Part V-Revenues &amp; Expenses'!B48</f>
        <v>0</v>
      </c>
      <c r="C486" s="2668">
        <f>'Part V-Revenues &amp; Expenses'!C48</f>
        <v>0</v>
      </c>
      <c r="D486" s="2669">
        <f>'Part V-Revenues &amp; Expenses'!D48</f>
        <v>0</v>
      </c>
      <c r="E486" s="2670">
        <f>'Part V-Revenues &amp; Expenses'!E48</f>
        <v>0</v>
      </c>
      <c r="F486" s="2670">
        <f>'Part V-Revenues &amp; Expenses'!F48</f>
        <v>0</v>
      </c>
      <c r="G486" s="2670">
        <f>'Part V-Revenues &amp; Expenses'!G48</f>
        <v>0</v>
      </c>
      <c r="H486" s="2670">
        <f>'Part V-Revenues &amp; Expenses'!H48</f>
        <v>0</v>
      </c>
      <c r="I486" s="2670">
        <f>'Part V-Revenues &amp; Expenses'!I48</f>
        <v>0</v>
      </c>
      <c r="J486" s="2670">
        <f>'Part V-Revenues &amp; Expenses'!J48</f>
        <v>0</v>
      </c>
      <c r="K486" s="2671">
        <f>'Part V-Revenues &amp; Expenses'!K48</f>
        <v>0</v>
      </c>
      <c r="L486" s="2672">
        <f t="shared" si="1"/>
        <v>0</v>
      </c>
      <c r="M486" s="2672">
        <f t="shared" si="2"/>
        <v>0</v>
      </c>
      <c r="N486" s="2541">
        <f>'Part V-Revenues &amp; Expenses'!N48</f>
        <v>0</v>
      </c>
      <c r="O486" s="1257">
        <f>'Part V-Revenues &amp; Expenses'!O48</f>
        <v>0</v>
      </c>
      <c r="P486" s="2541">
        <f>'Part V-Revenues &amp; Expenses'!P48</f>
        <v>0</v>
      </c>
      <c r="Q486" s="1805">
        <f>'Part V-Revenues &amp; Expenses'!Q48</f>
        <v>0</v>
      </c>
      <c r="R486" s="2673"/>
      <c r="S486" s="2674"/>
      <c r="T486" s="2675"/>
      <c r="U486" s="2675"/>
      <c r="V486" s="2675"/>
      <c r="W486" s="2675"/>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4344</v>
      </c>
    </row>
    <row r="487" spans="1:380" ht="13.9" customHeight="1">
      <c r="A487" s="2648">
        <f>COUNT(A449,A450,A451,A452,A453,A454,A455,A456,A457,A458,A459,A460,A461,A462,A463,A464,A465,A466,A467,A468,A469,A470,A471,A472,A473,A474,A475,A476,A477,A478)</f>
        <v>0</v>
      </c>
      <c r="B487" s="2676" t="s">
        <v>3651</v>
      </c>
      <c r="C487" s="2676"/>
      <c r="D487" s="2677" t="s">
        <v>953</v>
      </c>
      <c r="E487" s="2678">
        <f>SUM(E449:E486)</f>
        <v>0</v>
      </c>
      <c r="F487" s="26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0</v>
      </c>
      <c r="H487" s="2680" t="s">
        <v>3648</v>
      </c>
      <c r="I487" s="2681" t="s">
        <v>3649</v>
      </c>
      <c r="J487" s="2682" t="str">
        <f>IF(P505=0,"",IF(SUM(P496:P500)/P505&gt;=0.4,"Pass","Fail"))</f>
        <v/>
      </c>
      <c r="K487" s="362"/>
      <c r="L487" s="2683" t="s">
        <v>1223</v>
      </c>
      <c r="M487" s="2684">
        <f>SUM(M449:M486)</f>
        <v>0</v>
      </c>
      <c r="N487" s="358"/>
      <c r="O487" s="358"/>
      <c r="P487" s="358"/>
      <c r="Q487" s="358"/>
      <c r="R487" s="358"/>
      <c r="S487" s="358"/>
      <c r="T487" s="358"/>
      <c r="U487" s="358"/>
      <c r="V487" s="2656"/>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0</v>
      </c>
      <c r="AJ487" s="1659">
        <f t="shared" si="338"/>
        <v>0</v>
      </c>
      <c r="AK487" s="1659">
        <f t="shared" si="338"/>
        <v>0</v>
      </c>
      <c r="AL487" s="1659">
        <f t="shared" si="338"/>
        <v>0</v>
      </c>
      <c r="AM487" s="1659">
        <f>SUM(AM449:AM486)</f>
        <v>0</v>
      </c>
      <c r="AN487" s="1659">
        <f>SUM(AN449:AN486)</f>
        <v>0</v>
      </c>
      <c r="AO487" s="1659">
        <f>SUM(AO449:AO486)</f>
        <v>0</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0</v>
      </c>
      <c r="EU487" s="1659">
        <f t="shared" si="338"/>
        <v>0</v>
      </c>
      <c r="EV487" s="1659">
        <f t="shared" si="338"/>
        <v>0</v>
      </c>
      <c r="EW487" s="1659">
        <f t="shared" si="338"/>
        <v>0</v>
      </c>
      <c r="EX487" s="1659">
        <f t="shared" si="338"/>
        <v>0</v>
      </c>
      <c r="EY487" s="1659">
        <f t="shared" si="338"/>
        <v>0</v>
      </c>
      <c r="EZ487" s="1659">
        <f t="shared" si="338"/>
        <v>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0</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0</v>
      </c>
      <c r="IB487" s="1659">
        <f t="shared" si="341"/>
        <v>0</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0</v>
      </c>
      <c r="MM487" s="1659">
        <f t="shared" si="343"/>
        <v>0</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4345</v>
      </c>
    </row>
    <row r="488" spans="1:380" ht="13.9" customHeight="1">
      <c r="B488" s="2685" t="str">
        <f>IF(SUM(E456:E486)=0,"",(B456*E456+B457*E457+B458*E458+B459*E459+B460*E460+B461*E461+B462*E462+B463*E463+B464*E464+B465*E465+B466*E466+B467*E467+B468*E468+B469*E469+B470*E470+B471*E471+B472*E472+B473*E473+B474*E474+B475*E475+B476*E476+B477*E477+B478*E478+B479*E479+B480*E480+B481*E481+B482*E482+B483*E483+B484*E484+B485*E485+B486*E486)/SUM(E456:E486))</f>
        <v/>
      </c>
      <c r="C488" s="2685"/>
      <c r="D488" s="2648" t="s">
        <v>3558</v>
      </c>
      <c r="E488" s="2678">
        <f>SUM(E456:E486)</f>
        <v>0</v>
      </c>
      <c r="F488" s="2679">
        <f>(E456*F456+E457*F457+E458*F458+E459*F459+E460*F460+E461*F461+E462*F462+E463*F463+E464*F464+E465*F465+E466*F466+E467*F467+E468*F468+E469*F469+E470*F470+E471*F471+E472*F472+E473*F473+E474*F474+E475*F475+E476*F476+E477*F477+E478*F478+E479*F479+E480*F480+E481*F481+E482*F482+E483*F483+E484*F484+E485*F485+E486*F486)</f>
        <v>0</v>
      </c>
      <c r="H488" s="2680"/>
      <c r="I488" s="2681" t="s">
        <v>3650</v>
      </c>
      <c r="J488" s="2682" t="str">
        <f>IF(P505=0,"",IF(SUM(P497:P500)/P505&gt;=0.2,"Pass","Fail"))</f>
        <v/>
      </c>
      <c r="K488" s="362"/>
      <c r="L488" s="2677" t="s">
        <v>756</v>
      </c>
      <c r="M488" s="2684">
        <f>M487*12</f>
        <v>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4346</v>
      </c>
    </row>
    <row r="489" spans="1:380" ht="7" customHeight="1">
      <c r="A489" s="2564" t="s">
        <v>5092</v>
      </c>
      <c r="B489" s="2508"/>
      <c r="C489" s="2508"/>
      <c r="D489" s="2508"/>
      <c r="E489" s="2508"/>
      <c r="F489" s="2508"/>
      <c r="G489" s="2508"/>
      <c r="H489" s="2508"/>
      <c r="I489" s="2508"/>
      <c r="J489" s="2508"/>
      <c r="K489" s="2508"/>
      <c r="L489" s="2508"/>
      <c r="M489" s="2508"/>
      <c r="N489" s="2508"/>
      <c r="O489" s="2508"/>
      <c r="P489" s="2508"/>
      <c r="Q489" s="2508"/>
      <c r="R489" s="2595"/>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8"/>
      <c r="B490" s="2508"/>
      <c r="C490" s="2508"/>
      <c r="D490" s="2508"/>
      <c r="E490" s="2508"/>
      <c r="F490" s="2508"/>
      <c r="G490" s="2508"/>
      <c r="H490" s="2508"/>
      <c r="I490" s="2508"/>
      <c r="J490" s="2508"/>
      <c r="K490" s="2508"/>
      <c r="L490" s="2508"/>
      <c r="M490" s="2508"/>
      <c r="N490" s="2508"/>
      <c r="O490" s="2508"/>
      <c r="P490" s="2508"/>
      <c r="Q490" s="2508"/>
      <c r="R490" s="2595"/>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6" t="s">
        <v>4541</v>
      </c>
      <c r="O491" s="2502" t="str">
        <f>'Part V-Revenues &amp; Expenses'!O53</f>
        <v>&lt;&lt; Select LIHTC Election &gt;&gt;</v>
      </c>
      <c r="P491" s="2502"/>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4543</v>
      </c>
      <c r="O492" s="2502" t="str">
        <f>'Part V-Revenues &amp; Expenses'!O54</f>
        <v>&lt;&lt; Select &gt;&gt;</v>
      </c>
      <c r="P492" s="2502"/>
      <c r="S492" s="360"/>
      <c r="T492" s="360"/>
      <c r="U492" s="2648"/>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4395</v>
      </c>
      <c r="H493" s="356" t="s">
        <v>974</v>
      </c>
      <c r="K493" s="2687" t="s">
        <v>525</v>
      </c>
      <c r="L493" s="1807" t="s">
        <v>499</v>
      </c>
      <c r="M493" s="1807" t="s">
        <v>500</v>
      </c>
      <c r="N493" s="1807" t="s">
        <v>501</v>
      </c>
      <c r="O493" s="1807" t="s">
        <v>502</v>
      </c>
      <c r="P493" s="1807" t="s">
        <v>503</v>
      </c>
      <c r="S493" s="360" t="s">
        <v>1706</v>
      </c>
      <c r="T493" s="360"/>
      <c r="U493" s="2648"/>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8" t="s">
        <v>3949</v>
      </c>
      <c r="B494" s="2688"/>
      <c r="C494" s="358" t="s">
        <v>1068</v>
      </c>
      <c r="D494" s="358"/>
      <c r="E494" s="358"/>
      <c r="F494" s="358"/>
      <c r="H494" s="1418" t="s">
        <v>3559</v>
      </c>
      <c r="I494" s="361"/>
      <c r="K494" s="2689">
        <f>X487</f>
        <v>0</v>
      </c>
      <c r="L494" s="2689">
        <f>Y487</f>
        <v>0</v>
      </c>
      <c r="M494" s="2689">
        <f>Z487</f>
        <v>0</v>
      </c>
      <c r="N494" s="2689">
        <f>AA487</f>
        <v>0</v>
      </c>
      <c r="O494" s="2689">
        <f>AB487</f>
        <v>0</v>
      </c>
      <c r="P494" s="2689">
        <f t="shared" ref="P494:P505" si="344">SUM(K494:O494)</f>
        <v>0</v>
      </c>
      <c r="Q494" s="2508" t="s">
        <v>3101</v>
      </c>
      <c r="R494" s="1787"/>
      <c r="S494" s="2675"/>
      <c r="T494" s="2675"/>
      <c r="U494" s="2675"/>
      <c r="V494" s="2675"/>
      <c r="W494" s="2675"/>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8"/>
      <c r="B495" s="2688"/>
      <c r="C495" s="358"/>
      <c r="D495" s="358"/>
      <c r="E495" s="358"/>
      <c r="F495" s="358"/>
      <c r="H495" s="1418" t="s">
        <v>3560</v>
      </c>
      <c r="I495" s="361"/>
      <c r="K495" s="2689">
        <f>AC487</f>
        <v>0</v>
      </c>
      <c r="L495" s="2689">
        <f>AD487</f>
        <v>0</v>
      </c>
      <c r="M495" s="2689">
        <f>AE487</f>
        <v>0</v>
      </c>
      <c r="N495" s="2689">
        <f>AF487</f>
        <v>0</v>
      </c>
      <c r="O495" s="2689">
        <f>AG487</f>
        <v>0</v>
      </c>
      <c r="P495" s="2689">
        <f t="shared" si="344"/>
        <v>0</v>
      </c>
      <c r="Q495" s="2508"/>
      <c r="R495" s="1787"/>
      <c r="S495" s="2675"/>
      <c r="T495" s="2675"/>
      <c r="U495" s="2675"/>
      <c r="V495" s="2675"/>
      <c r="W495" s="2675"/>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8"/>
      <c r="B496" s="2688"/>
      <c r="C496" s="358"/>
      <c r="D496" s="358"/>
      <c r="E496" s="358"/>
      <c r="F496" s="358"/>
      <c r="H496" s="1418" t="s">
        <v>1080</v>
      </c>
      <c r="I496" s="361"/>
      <c r="K496" s="2689">
        <f>AH487</f>
        <v>0</v>
      </c>
      <c r="L496" s="2689">
        <f>AI487</f>
        <v>0</v>
      </c>
      <c r="M496" s="2689">
        <f>AJ487</f>
        <v>0</v>
      </c>
      <c r="N496" s="2689">
        <f>AK487</f>
        <v>0</v>
      </c>
      <c r="O496" s="2689">
        <f>AL487</f>
        <v>0</v>
      </c>
      <c r="P496" s="2689">
        <f t="shared" si="344"/>
        <v>0</v>
      </c>
      <c r="Q496" s="2508"/>
      <c r="R496" s="1787"/>
      <c r="S496" s="2675"/>
      <c r="T496" s="2675"/>
      <c r="U496" s="2675"/>
      <c r="V496" s="2675"/>
      <c r="W496" s="2675"/>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8"/>
      <c r="B497" s="2688"/>
      <c r="C497" s="358"/>
      <c r="D497" s="358"/>
      <c r="E497" s="358"/>
      <c r="F497" s="358"/>
      <c r="H497" s="1418" t="s">
        <v>112</v>
      </c>
      <c r="I497" s="361"/>
      <c r="K497" s="2689">
        <f>AM487</f>
        <v>0</v>
      </c>
      <c r="L497" s="2689">
        <f>AN487</f>
        <v>0</v>
      </c>
      <c r="M497" s="2689">
        <f>AO487</f>
        <v>0</v>
      </c>
      <c r="N497" s="2689">
        <f>AP487</f>
        <v>0</v>
      </c>
      <c r="O497" s="2689">
        <f>AQ487</f>
        <v>0</v>
      </c>
      <c r="P497" s="2689">
        <f t="shared" si="344"/>
        <v>0</v>
      </c>
      <c r="Q497" s="2508"/>
      <c r="R497" s="1787"/>
      <c r="S497" s="2675"/>
      <c r="T497" s="2675"/>
      <c r="U497" s="2675"/>
      <c r="V497" s="2675"/>
      <c r="W497" s="2675"/>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8"/>
      <c r="B498" s="2688"/>
      <c r="C498" s="358"/>
      <c r="D498" s="358"/>
      <c r="E498" s="358"/>
      <c r="F498" s="358"/>
      <c r="H498" s="1418" t="s">
        <v>3561</v>
      </c>
      <c r="I498" s="361"/>
      <c r="K498" s="2689">
        <f>AR487</f>
        <v>0</v>
      </c>
      <c r="L498" s="2689">
        <f>AS487</f>
        <v>0</v>
      </c>
      <c r="M498" s="2689">
        <f>AT487</f>
        <v>0</v>
      </c>
      <c r="N498" s="2689">
        <f>AU487</f>
        <v>0</v>
      </c>
      <c r="O498" s="2689">
        <f>AV487</f>
        <v>0</v>
      </c>
      <c r="P498" s="2689">
        <f t="shared" si="344"/>
        <v>0</v>
      </c>
      <c r="Q498" s="2508"/>
      <c r="R498" s="1787"/>
      <c r="S498" s="2675"/>
      <c r="T498" s="2675"/>
      <c r="U498" s="2675"/>
      <c r="V498" s="2675"/>
      <c r="W498" s="2675"/>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8"/>
      <c r="B499" s="2688"/>
      <c r="C499" s="358"/>
      <c r="D499" s="358"/>
      <c r="E499" s="358"/>
      <c r="F499" s="358"/>
      <c r="H499" s="1418" t="s">
        <v>3562</v>
      </c>
      <c r="I499" s="361"/>
      <c r="K499" s="2689">
        <f>AW487</f>
        <v>0</v>
      </c>
      <c r="L499" s="2689">
        <f>AX487</f>
        <v>0</v>
      </c>
      <c r="M499" s="2689">
        <f>AY487</f>
        <v>0</v>
      </c>
      <c r="N499" s="2689">
        <f>AZ487</f>
        <v>0</v>
      </c>
      <c r="O499" s="2689">
        <f>BA487</f>
        <v>0</v>
      </c>
      <c r="P499" s="2689">
        <f t="shared" si="344"/>
        <v>0</v>
      </c>
      <c r="Q499" s="2508"/>
      <c r="R499" s="1787"/>
      <c r="S499" s="2675"/>
      <c r="T499" s="2675"/>
      <c r="U499" s="2675"/>
      <c r="V499" s="2675"/>
      <c r="W499" s="2675"/>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8"/>
      <c r="B500" s="2688"/>
      <c r="C500" s="1657"/>
      <c r="D500" s="358"/>
      <c r="E500" s="358"/>
      <c r="F500" s="358"/>
      <c r="H500" s="1418" t="s">
        <v>3563</v>
      </c>
      <c r="I500" s="361"/>
      <c r="K500" s="2689">
        <f>BB487</f>
        <v>0</v>
      </c>
      <c r="L500" s="2689">
        <f>BC487</f>
        <v>0</v>
      </c>
      <c r="M500" s="2689">
        <f>BD487</f>
        <v>0</v>
      </c>
      <c r="N500" s="2689">
        <f>BE487</f>
        <v>0</v>
      </c>
      <c r="O500" s="2689">
        <f>BF487</f>
        <v>0</v>
      </c>
      <c r="P500" s="2689">
        <f t="shared" si="344"/>
        <v>0</v>
      </c>
      <c r="Q500" s="2508"/>
      <c r="R500" s="1787"/>
      <c r="S500" s="2675"/>
      <c r="T500" s="2675"/>
      <c r="U500" s="2675"/>
      <c r="V500" s="2675"/>
      <c r="W500" s="2675"/>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8"/>
      <c r="B501" s="2688"/>
      <c r="C501" s="1418" t="s">
        <v>3645</v>
      </c>
      <c r="D501" s="358"/>
      <c r="E501" s="358"/>
      <c r="F501" s="358"/>
      <c r="H501" s="359"/>
      <c r="I501" s="794"/>
      <c r="K501" s="2689">
        <f>SUM(K494:K500)</f>
        <v>0</v>
      </c>
      <c r="L501" s="2689">
        <f>SUM(L494:L500)</f>
        <v>0</v>
      </c>
      <c r="M501" s="2689">
        <f>SUM(M494:M500)</f>
        <v>0</v>
      </c>
      <c r="N501" s="2689">
        <f>SUM(N494:N500)</f>
        <v>0</v>
      </c>
      <c r="O501" s="2689">
        <f>SUM(O494:O500)</f>
        <v>0</v>
      </c>
      <c r="P501" s="2689">
        <f t="shared" si="344"/>
        <v>0</v>
      </c>
      <c r="Q501" s="2508"/>
      <c r="S501" s="2675"/>
      <c r="T501" s="2675"/>
      <c r="U501" s="2675"/>
      <c r="V501" s="2675"/>
      <c r="W501" s="2675"/>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8"/>
      <c r="B502" s="2688"/>
      <c r="D502" s="358"/>
      <c r="E502" s="358"/>
      <c r="F502" s="358"/>
      <c r="H502" s="1418" t="s">
        <v>290</v>
      </c>
      <c r="I502" s="361"/>
      <c r="K502" s="2689">
        <f>BG487</f>
        <v>0</v>
      </c>
      <c r="L502" s="2689">
        <f>BH487</f>
        <v>0</v>
      </c>
      <c r="M502" s="2689">
        <f>BI487</f>
        <v>0</v>
      </c>
      <c r="N502" s="2689">
        <f>BJ487</f>
        <v>0</v>
      </c>
      <c r="O502" s="2689">
        <f>BK487</f>
        <v>0</v>
      </c>
      <c r="P502" s="2689">
        <f t="shared" si="344"/>
        <v>0</v>
      </c>
      <c r="S502" s="2675"/>
      <c r="T502" s="2675"/>
      <c r="U502" s="2675"/>
      <c r="V502" s="2675"/>
      <c r="W502" s="2675"/>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8"/>
      <c r="B503" s="2688"/>
      <c r="C503" s="2690" t="s">
        <v>1069</v>
      </c>
      <c r="D503" s="2690"/>
      <c r="E503" s="2690"/>
      <c r="F503" s="2690"/>
      <c r="G503" s="2691"/>
      <c r="H503" s="2692"/>
      <c r="I503" s="2693"/>
      <c r="J503" s="2691"/>
      <c r="K503" s="2694">
        <f>SUM(K501:K502)</f>
        <v>0</v>
      </c>
      <c r="L503" s="2694">
        <f>SUM(L501:L502)</f>
        <v>0</v>
      </c>
      <c r="M503" s="2694">
        <f>SUM(M501:M502)</f>
        <v>0</v>
      </c>
      <c r="N503" s="2694">
        <f>SUM(N501:N502)</f>
        <v>0</v>
      </c>
      <c r="O503" s="2694">
        <f>SUM(O501:O502)</f>
        <v>0</v>
      </c>
      <c r="P503" s="2694">
        <f t="shared" si="344"/>
        <v>0</v>
      </c>
      <c r="S503" s="2675"/>
      <c r="T503" s="2675"/>
      <c r="U503" s="2675"/>
      <c r="V503" s="2675"/>
      <c r="W503" s="2675"/>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8"/>
      <c r="B504" s="2688"/>
      <c r="D504" s="358"/>
      <c r="E504" s="358"/>
      <c r="F504" s="358"/>
      <c r="H504" s="1418" t="s">
        <v>2303</v>
      </c>
      <c r="I504" s="361"/>
      <c r="K504" s="2689">
        <f>ED487</f>
        <v>0</v>
      </c>
      <c r="L504" s="2689">
        <f>EE487</f>
        <v>0</v>
      </c>
      <c r="M504" s="2689">
        <f>EF487</f>
        <v>0</v>
      </c>
      <c r="N504" s="2689">
        <f>EG487</f>
        <v>0</v>
      </c>
      <c r="O504" s="2689">
        <f>EH487</f>
        <v>0</v>
      </c>
      <c r="P504" s="2689">
        <f t="shared" si="344"/>
        <v>0</v>
      </c>
      <c r="Q504" s="2508" t="s">
        <v>3102</v>
      </c>
      <c r="S504" s="2675"/>
      <c r="T504" s="2675"/>
      <c r="U504" s="2675"/>
      <c r="V504" s="2675"/>
      <c r="W504" s="2675"/>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8"/>
      <c r="B505" s="2688"/>
      <c r="C505" s="1657" t="s">
        <v>1662</v>
      </c>
      <c r="D505" s="358"/>
      <c r="E505" s="358"/>
      <c r="F505" s="358"/>
      <c r="H505" s="1418"/>
      <c r="I505" s="361"/>
      <c r="K505" s="2695">
        <f>SUM(K503:K504)</f>
        <v>0</v>
      </c>
      <c r="L505" s="2695">
        <f>SUM(L503:L504)</f>
        <v>0</v>
      </c>
      <c r="M505" s="2695">
        <f>SUM(M503:M504)</f>
        <v>0</v>
      </c>
      <c r="N505" s="2695">
        <f>SUM(N503:N504)</f>
        <v>0</v>
      </c>
      <c r="O505" s="2695">
        <f>SUM(O503:O504)</f>
        <v>0</v>
      </c>
      <c r="P505" s="2695">
        <f t="shared" si="344"/>
        <v>0</v>
      </c>
      <c r="S505" s="2675"/>
      <c r="T505" s="2675"/>
      <c r="U505" s="2675"/>
      <c r="V505" s="2675"/>
      <c r="W505" s="2675"/>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8"/>
      <c r="B506" s="2688"/>
      <c r="C506" s="2696"/>
      <c r="D506" s="2696"/>
      <c r="E506" s="2696"/>
      <c r="F506" s="2696"/>
      <c r="G506" s="2696"/>
      <c r="H506" s="2688"/>
      <c r="I506" s="2696"/>
      <c r="J506" s="2696"/>
      <c r="K506" s="2696"/>
      <c r="L506" s="2696"/>
      <c r="M506" s="2696"/>
      <c r="N506" s="2696"/>
      <c r="O506" s="2696"/>
      <c r="P506" s="2696"/>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8"/>
      <c r="B507" s="2688"/>
      <c r="C507" s="2696" t="s">
        <v>3654</v>
      </c>
      <c r="D507" s="2696"/>
      <c r="E507" s="2696"/>
      <c r="F507" s="2696"/>
      <c r="G507" s="2696"/>
      <c r="H507" s="2688"/>
      <c r="I507" s="2696"/>
      <c r="J507" s="2696"/>
      <c r="K507" s="2696"/>
      <c r="L507" s="2696"/>
      <c r="M507" s="2696"/>
      <c r="N507" s="2696"/>
      <c r="O507" s="2696"/>
      <c r="P507" s="2696"/>
      <c r="S507" s="2474" t="str">
        <f>C507</f>
        <v xml:space="preserve">Income Limit Distribution among Bedroom Sizes </v>
      </c>
      <c r="U507" s="2653"/>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8"/>
      <c r="B508" s="2688"/>
      <c r="C508" s="2696"/>
      <c r="D508" s="2696"/>
      <c r="E508" s="2696"/>
      <c r="F508" s="2696"/>
      <c r="H508" s="1418" t="s">
        <v>3559</v>
      </c>
      <c r="I508" s="361"/>
      <c r="J508" s="2697"/>
      <c r="K508" s="2698" t="str">
        <f t="shared" ref="K508:P508" si="345">IF(OR(K494=0,K505=0),"",K494/K505)</f>
        <v/>
      </c>
      <c r="L508" s="2698" t="str">
        <f t="shared" si="345"/>
        <v/>
      </c>
      <c r="M508" s="2698" t="str">
        <f t="shared" si="345"/>
        <v/>
      </c>
      <c r="N508" s="2698" t="str">
        <f t="shared" si="345"/>
        <v/>
      </c>
      <c r="O508" s="2698" t="str">
        <f t="shared" si="345"/>
        <v/>
      </c>
      <c r="P508" s="2698" t="str">
        <f t="shared" si="345"/>
        <v/>
      </c>
      <c r="Q508" s="1787" t="s">
        <v>3943</v>
      </c>
      <c r="S508" s="2675"/>
      <c r="T508" s="2675"/>
      <c r="U508" s="2675"/>
      <c r="V508" s="2675"/>
      <c r="W508" s="2675"/>
    </row>
    <row r="509" spans="1:343">
      <c r="A509" s="2688"/>
      <c r="B509" s="2688"/>
      <c r="C509" s="358"/>
      <c r="H509" s="1418" t="s">
        <v>5093</v>
      </c>
      <c r="I509" s="361"/>
      <c r="J509" s="358"/>
      <c r="K509" s="2699" t="str">
        <f>IF(OR(K494=0,P508="",K505=0),"",P508*K505)</f>
        <v/>
      </c>
      <c r="L509" s="2699" t="str">
        <f>IF(OR(L494=0,P508="",L505=0),"",P508*L505)</f>
        <v/>
      </c>
      <c r="M509" s="2699" t="str">
        <f>IF(OR(M494=0,P508="",M505=0),"",P508*M505)</f>
        <v/>
      </c>
      <c r="N509" s="2699" t="str">
        <f>IF(OR(N494=0,P508="",N505=0),"",P508*N505)</f>
        <v/>
      </c>
      <c r="O509" s="2699" t="str">
        <f>IF(OR(O494=0,P508="",O505=0),"",P508*O505)</f>
        <v/>
      </c>
      <c r="P509" s="2699" t="str">
        <f>IF(OR(P508="",P505=0),"",P508*P505)</f>
        <v/>
      </c>
      <c r="S509" s="2675"/>
      <c r="T509" s="2675"/>
      <c r="U509" s="2675"/>
      <c r="V509" s="2675"/>
      <c r="W509" s="2675"/>
    </row>
    <row r="510" spans="1:343">
      <c r="A510" s="2688"/>
      <c r="B510" s="2688"/>
      <c r="C510" s="358"/>
      <c r="G510" s="2681"/>
      <c r="H510" s="1418" t="s">
        <v>5094</v>
      </c>
      <c r="I510" s="361"/>
      <c r="J510" s="358"/>
      <c r="K510" s="2699" t="str">
        <f t="shared" ref="K510:P510" si="346">IF(OR(K509="",K494=0),"", K494-K509)</f>
        <v/>
      </c>
      <c r="L510" s="2699" t="str">
        <f t="shared" si="346"/>
        <v/>
      </c>
      <c r="M510" s="2699" t="str">
        <f t="shared" si="346"/>
        <v/>
      </c>
      <c r="N510" s="2699" t="str">
        <f t="shared" si="346"/>
        <v/>
      </c>
      <c r="O510" s="2699" t="str">
        <f t="shared" si="346"/>
        <v/>
      </c>
      <c r="P510" s="2699" t="str">
        <f t="shared" si="346"/>
        <v/>
      </c>
      <c r="S510" s="2675"/>
      <c r="T510" s="2675"/>
      <c r="U510" s="2675"/>
      <c r="V510" s="2675"/>
      <c r="W510" s="2675"/>
    </row>
    <row r="511" spans="1:343" ht="12.75" customHeight="1">
      <c r="A511" s="2688"/>
      <c r="B511" s="2688"/>
      <c r="C511" s="358"/>
      <c r="D511" s="358" t="s">
        <v>5095</v>
      </c>
      <c r="E511" s="358"/>
      <c r="F511" s="358"/>
      <c r="H511" s="1418" t="s">
        <v>3560</v>
      </c>
      <c r="I511" s="361"/>
      <c r="J511" s="358"/>
      <c r="K511" s="2698" t="str">
        <f t="shared" ref="K511:P511" si="347">IF(OR(K495=0,K505=0),"",K495/K505)</f>
        <v/>
      </c>
      <c r="L511" s="2698" t="str">
        <f t="shared" si="347"/>
        <v/>
      </c>
      <c r="M511" s="2698" t="str">
        <f t="shared" si="347"/>
        <v/>
      </c>
      <c r="N511" s="2698" t="str">
        <f t="shared" si="347"/>
        <v/>
      </c>
      <c r="O511" s="2698" t="str">
        <f t="shared" si="347"/>
        <v/>
      </c>
      <c r="P511" s="2698" t="str">
        <f t="shared" si="347"/>
        <v/>
      </c>
      <c r="S511" s="2675"/>
      <c r="T511" s="2675"/>
      <c r="U511" s="2675"/>
      <c r="V511" s="2675"/>
      <c r="W511" s="2675"/>
    </row>
    <row r="512" spans="1:343">
      <c r="C512" s="358"/>
      <c r="D512" s="358"/>
      <c r="E512" s="358"/>
      <c r="F512" s="358"/>
      <c r="H512" s="1418" t="s">
        <v>5093</v>
      </c>
      <c r="I512" s="361"/>
      <c r="J512" s="358"/>
      <c r="K512" s="2699" t="str">
        <f>IF(OR(K495=0,P511="",K505=0),"",P511*K505)</f>
        <v/>
      </c>
      <c r="L512" s="2699" t="str">
        <f>IF(OR(L495=0,P511="",L505=0),"",P511*L505)</f>
        <v/>
      </c>
      <c r="M512" s="2699" t="str">
        <f>IF(OR(M495=0,P511="",M505=0),"",P511*M505)</f>
        <v/>
      </c>
      <c r="N512" s="2699" t="str">
        <f>IF(OR(N495=0,P511="",N505=0),"",P511*N505)</f>
        <v/>
      </c>
      <c r="O512" s="2699" t="str">
        <f>IF(OR(O495=0,P511="",O505=0),"",P511*O505)</f>
        <v/>
      </c>
      <c r="P512" s="2699" t="str">
        <f>IF(OR(P511="",P505=0),"",P511*P505)</f>
        <v/>
      </c>
      <c r="S512" s="2675"/>
      <c r="T512" s="2675"/>
      <c r="U512" s="2675"/>
      <c r="V512" s="2675"/>
      <c r="W512" s="2675"/>
    </row>
    <row r="513" spans="3:23">
      <c r="C513" s="358"/>
      <c r="D513" s="358"/>
      <c r="E513" s="358"/>
      <c r="F513" s="358"/>
      <c r="G513" s="2681"/>
      <c r="H513" s="1418" t="s">
        <v>5094</v>
      </c>
      <c r="I513" s="361"/>
      <c r="J513" s="358"/>
      <c r="K513" s="2699" t="str">
        <f t="shared" ref="K513:P513" si="348">IF(OR(K512="",K495=0),"", K495-K512)</f>
        <v/>
      </c>
      <c r="L513" s="2699" t="str">
        <f t="shared" si="348"/>
        <v/>
      </c>
      <c r="M513" s="2699" t="str">
        <f t="shared" si="348"/>
        <v/>
      </c>
      <c r="N513" s="2699" t="str">
        <f t="shared" si="348"/>
        <v/>
      </c>
      <c r="O513" s="2699" t="str">
        <f t="shared" si="348"/>
        <v/>
      </c>
      <c r="P513" s="2699" t="str">
        <f t="shared" si="348"/>
        <v/>
      </c>
      <c r="S513" s="2675"/>
      <c r="T513" s="2675"/>
      <c r="U513" s="2675"/>
      <c r="V513" s="2675"/>
      <c r="W513" s="2675"/>
    </row>
    <row r="514" spans="3:23" ht="13">
      <c r="C514" s="360" t="s">
        <v>3941</v>
      </c>
      <c r="D514" s="358"/>
      <c r="E514" s="358"/>
      <c r="F514" s="358"/>
      <c r="H514" s="1418" t="s">
        <v>1080</v>
      </c>
      <c r="I514" s="361"/>
      <c r="J514" s="358"/>
      <c r="K514" s="2698" t="str">
        <f t="shared" ref="K514:P514" si="349">IF(OR(K496=0,K505=0),"",K496/K505)</f>
        <v/>
      </c>
      <c r="L514" s="2698" t="str">
        <f t="shared" si="349"/>
        <v/>
      </c>
      <c r="M514" s="2698" t="str">
        <f t="shared" si="349"/>
        <v/>
      </c>
      <c r="N514" s="2698" t="str">
        <f t="shared" si="349"/>
        <v/>
      </c>
      <c r="O514" s="2698" t="str">
        <f t="shared" si="349"/>
        <v/>
      </c>
      <c r="P514" s="2698" t="str">
        <f t="shared" si="349"/>
        <v/>
      </c>
      <c r="S514" s="2675"/>
      <c r="T514" s="2675"/>
      <c r="U514" s="2675"/>
      <c r="V514" s="2675"/>
      <c r="W514" s="2675"/>
    </row>
    <row r="515" spans="3:23" ht="15.75" customHeight="1">
      <c r="C515" s="360"/>
      <c r="D515" s="358"/>
      <c r="E515" s="358"/>
      <c r="F515" s="358"/>
      <c r="H515" s="1418" t="s">
        <v>5093</v>
      </c>
      <c r="I515" s="361"/>
      <c r="J515" s="358"/>
      <c r="K515" s="2699" t="str">
        <f>IF(OR(K496=0,P514="",K505=0),"",P514*K505)</f>
        <v/>
      </c>
      <c r="L515" s="2699" t="str">
        <f>IF(OR(L496=0,P514="",L505=0),"",P514*L505)</f>
        <v/>
      </c>
      <c r="M515" s="2699" t="str">
        <f>IF(OR(M496=0,P514="",M505=0),"",P514*M505)</f>
        <v/>
      </c>
      <c r="N515" s="2699" t="str">
        <f>IF(OR(N496=0,P514="",N505=0),"",P514*N505)</f>
        <v/>
      </c>
      <c r="O515" s="2699" t="str">
        <f>IF(OR(O496=0,P514="",O505=0),"",P514*O505)</f>
        <v/>
      </c>
      <c r="P515" s="2699" t="str">
        <f>IF(OR(P514="",P505=0),"",P514*P505)</f>
        <v/>
      </c>
      <c r="S515" s="2675"/>
      <c r="T515" s="2675"/>
      <c r="U515" s="2675"/>
      <c r="V515" s="2675"/>
      <c r="W515" s="2675"/>
    </row>
    <row r="516" spans="3:23" ht="15.75" customHeight="1">
      <c r="C516" s="360"/>
      <c r="D516" s="358"/>
      <c r="E516" s="358"/>
      <c r="F516" s="358"/>
      <c r="G516" s="2681"/>
      <c r="H516" s="1418" t="s">
        <v>5094</v>
      </c>
      <c r="I516" s="361"/>
      <c r="J516" s="358"/>
      <c r="K516" s="2699" t="str">
        <f t="shared" ref="K516:P516" si="350">IF(OR(K515="",K496=0),"", K496-K515)</f>
        <v/>
      </c>
      <c r="L516" s="2699" t="str">
        <f t="shared" si="350"/>
        <v/>
      </c>
      <c r="M516" s="2699" t="str">
        <f t="shared" si="350"/>
        <v/>
      </c>
      <c r="N516" s="2699" t="str">
        <f t="shared" si="350"/>
        <v/>
      </c>
      <c r="O516" s="2699" t="str">
        <f t="shared" si="350"/>
        <v/>
      </c>
      <c r="P516" s="2699" t="str">
        <f t="shared" si="350"/>
        <v/>
      </c>
    </row>
    <row r="517" spans="3:23" ht="13">
      <c r="C517" s="360" t="s">
        <v>3941</v>
      </c>
      <c r="D517" s="360"/>
      <c r="E517" s="360"/>
      <c r="H517" s="1418" t="s">
        <v>112</v>
      </c>
      <c r="I517" s="361"/>
      <c r="J517" s="358"/>
      <c r="K517" s="2698" t="str">
        <f t="shared" ref="K517:P517" si="351">IF(OR(K497=0,K505=0),"",K497/K505)</f>
        <v/>
      </c>
      <c r="L517" s="2698" t="str">
        <f t="shared" si="351"/>
        <v/>
      </c>
      <c r="M517" s="2698" t="str">
        <f t="shared" si="351"/>
        <v/>
      </c>
      <c r="N517" s="2698" t="str">
        <f t="shared" si="351"/>
        <v/>
      </c>
      <c r="O517" s="2698" t="str">
        <f t="shared" si="351"/>
        <v/>
      </c>
      <c r="P517" s="2698" t="str">
        <f t="shared" si="351"/>
        <v/>
      </c>
    </row>
    <row r="518" spans="3:23" ht="13">
      <c r="C518" s="360"/>
      <c r="D518" s="360"/>
      <c r="E518" s="360"/>
      <c r="H518" s="1418" t="s">
        <v>5093</v>
      </c>
      <c r="I518" s="361"/>
      <c r="J518" s="358"/>
      <c r="K518" s="2699" t="str">
        <f>IF(OR(K497=0,P517="",K505=0),"",P517*K505)</f>
        <v/>
      </c>
      <c r="L518" s="2699" t="str">
        <f>IF(OR(L497=0,P517="",L505=0),"",P517*L505)</f>
        <v/>
      </c>
      <c r="M518" s="2699" t="str">
        <f>IF(OR(M497=0,P517="",M505=0),"",P517*M505)</f>
        <v/>
      </c>
      <c r="N518" s="2699" t="str">
        <f>IF(OR(N497=0,P517="",N505=0),"",P517*N505)</f>
        <v/>
      </c>
      <c r="O518" s="2699" t="str">
        <f>IF(OR(O497=0,P517="",O505=0),"",P517*O505)</f>
        <v/>
      </c>
      <c r="P518" s="2699" t="str">
        <f>IF(OR(P517="",P505=0),"",P517*P505)</f>
        <v/>
      </c>
    </row>
    <row r="519" spans="3:23" ht="13">
      <c r="C519" s="360"/>
      <c r="D519" s="360"/>
      <c r="E519" s="360"/>
      <c r="G519" s="2681"/>
      <c r="H519" s="1418" t="s">
        <v>5094</v>
      </c>
      <c r="I519" s="361"/>
      <c r="J519" s="358"/>
      <c r="K519" s="2699" t="str">
        <f t="shared" ref="K519:P519" si="352">IF(OR(K518="",K497=0),"", K497-K518)</f>
        <v/>
      </c>
      <c r="L519" s="2699" t="str">
        <f t="shared" si="352"/>
        <v/>
      </c>
      <c r="M519" s="2699" t="str">
        <f t="shared" si="352"/>
        <v/>
      </c>
      <c r="N519" s="2699" t="str">
        <f t="shared" si="352"/>
        <v/>
      </c>
      <c r="O519" s="2699" t="str">
        <f t="shared" si="352"/>
        <v/>
      </c>
      <c r="P519" s="2699" t="str">
        <f t="shared" si="352"/>
        <v/>
      </c>
    </row>
    <row r="520" spans="3:23" ht="13">
      <c r="C520" s="360" t="s">
        <v>3941</v>
      </c>
      <c r="D520" s="360"/>
      <c r="E520" s="360"/>
      <c r="H520" s="1418" t="s">
        <v>3561</v>
      </c>
      <c r="I520" s="361"/>
      <c r="J520" s="358"/>
      <c r="K520" s="2698" t="str">
        <f t="shared" ref="K520:P520" si="353">IF(OR(K498=0,K505=0),"",K498/K505)</f>
        <v/>
      </c>
      <c r="L520" s="2698" t="str">
        <f t="shared" si="353"/>
        <v/>
      </c>
      <c r="M520" s="2698" t="str">
        <f t="shared" si="353"/>
        <v/>
      </c>
      <c r="N520" s="2698" t="str">
        <f t="shared" si="353"/>
        <v/>
      </c>
      <c r="O520" s="2698" t="str">
        <f t="shared" si="353"/>
        <v/>
      </c>
      <c r="P520" s="2698" t="str">
        <f t="shared" si="353"/>
        <v/>
      </c>
    </row>
    <row r="521" spans="3:23" ht="13">
      <c r="C521" s="360"/>
      <c r="H521" s="1418" t="s">
        <v>5093</v>
      </c>
      <c r="I521" s="361"/>
      <c r="J521" s="358"/>
      <c r="K521" s="2699" t="str">
        <f>IF(OR(K498=0,P520="",K505=0),"",P520*K505)</f>
        <v/>
      </c>
      <c r="L521" s="2699" t="str">
        <f>IF(OR(L498=0,P520="",L505=0),"",P520*L505)</f>
        <v/>
      </c>
      <c r="M521" s="2699" t="str">
        <f>IF(OR(M498=0,P520="",M505=0),"",P520*M505)</f>
        <v/>
      </c>
      <c r="N521" s="2699" t="str">
        <f>IF(OR(N498=0,P520="",N505=0),"",P520*N505)</f>
        <v/>
      </c>
      <c r="O521" s="2699" t="str">
        <f>IF(OR(O498=0,P520="",O505=0),"",P520*O505)</f>
        <v/>
      </c>
      <c r="P521" s="2699" t="str">
        <f>IF(OR(P520="",P505=0),"",P520*P505)</f>
        <v/>
      </c>
    </row>
    <row r="522" spans="3:23" ht="13">
      <c r="C522" s="360"/>
      <c r="G522" s="2681"/>
      <c r="H522" s="1418" t="s">
        <v>5094</v>
      </c>
      <c r="I522" s="361"/>
      <c r="J522" s="358"/>
      <c r="K522" s="2699" t="str">
        <f t="shared" ref="K522:P522" si="354">IF(OR(K521="",K498=0),"", K498-K521)</f>
        <v/>
      </c>
      <c r="L522" s="2699" t="str">
        <f t="shared" si="354"/>
        <v/>
      </c>
      <c r="M522" s="2699" t="str">
        <f t="shared" si="354"/>
        <v/>
      </c>
      <c r="N522" s="2699" t="str">
        <f t="shared" si="354"/>
        <v/>
      </c>
      <c r="O522" s="2699" t="str">
        <f t="shared" si="354"/>
        <v/>
      </c>
      <c r="P522" s="2699" t="str">
        <f t="shared" si="354"/>
        <v/>
      </c>
    </row>
    <row r="523" spans="3:23" ht="13">
      <c r="C523" s="360" t="s">
        <v>3941</v>
      </c>
      <c r="H523" s="1418" t="s">
        <v>3562</v>
      </c>
      <c r="I523" s="361"/>
      <c r="J523" s="358"/>
      <c r="K523" s="2698" t="str">
        <f t="shared" ref="K523:P523" si="355">IF(OR(K499=0,K505=0),"",K499/K505)</f>
        <v/>
      </c>
      <c r="L523" s="2698" t="str">
        <f t="shared" si="355"/>
        <v/>
      </c>
      <c r="M523" s="2698" t="str">
        <f t="shared" si="355"/>
        <v/>
      </c>
      <c r="N523" s="2698" t="str">
        <f t="shared" si="355"/>
        <v/>
      </c>
      <c r="O523" s="2698" t="str">
        <f t="shared" si="355"/>
        <v/>
      </c>
      <c r="P523" s="2698" t="str">
        <f t="shared" si="355"/>
        <v/>
      </c>
    </row>
    <row r="524" spans="3:23" ht="13">
      <c r="C524" s="360"/>
      <c r="H524" s="1418" t="s">
        <v>5093</v>
      </c>
      <c r="I524" s="361"/>
      <c r="J524" s="358"/>
      <c r="K524" s="2699" t="str">
        <f>IF(OR(K499=0,P523="",K505=0),"",P523*K505)</f>
        <v/>
      </c>
      <c r="L524" s="2699" t="str">
        <f>IF(OR(L499=0,P523="",L505=0),"",P523*L505)</f>
        <v/>
      </c>
      <c r="M524" s="2699" t="str">
        <f>IF(OR(M499=0,P523="",M505=0),"",P523*M505)</f>
        <v/>
      </c>
      <c r="N524" s="2699" t="str">
        <f>IF(OR(N499=0,P523="",N505=0),"",P523*N505)</f>
        <v/>
      </c>
      <c r="O524" s="2699" t="str">
        <f>IF(OR(O499=0,P523="",O505=0),"",P523*O505)</f>
        <v/>
      </c>
      <c r="P524" s="2699" t="str">
        <f>IF(OR(P523="",P505=0),"",P523*P505)</f>
        <v/>
      </c>
    </row>
    <row r="525" spans="3:23" ht="13">
      <c r="C525" s="360"/>
      <c r="G525" s="2681"/>
      <c r="H525" s="1418" t="s">
        <v>5094</v>
      </c>
      <c r="I525" s="361"/>
      <c r="J525" s="358"/>
      <c r="K525" s="2699" t="str">
        <f t="shared" ref="K525:P525" si="356">IF(OR(K524="",K499=0),"", K499-K524)</f>
        <v/>
      </c>
      <c r="L525" s="2699" t="str">
        <f t="shared" si="356"/>
        <v/>
      </c>
      <c r="M525" s="2699" t="str">
        <f t="shared" si="356"/>
        <v/>
      </c>
      <c r="N525" s="2699" t="str">
        <f t="shared" si="356"/>
        <v/>
      </c>
      <c r="O525" s="2699" t="str">
        <f t="shared" si="356"/>
        <v/>
      </c>
      <c r="P525" s="2699" t="str">
        <f t="shared" si="356"/>
        <v/>
      </c>
    </row>
    <row r="526" spans="3:23" ht="13">
      <c r="C526" s="360" t="s">
        <v>3941</v>
      </c>
      <c r="H526" s="1418" t="s">
        <v>3563</v>
      </c>
      <c r="I526" s="361"/>
      <c r="J526" s="358"/>
      <c r="K526" s="2698" t="str">
        <f t="shared" ref="K526:P526" si="357">IF(OR(K500=0,K505=0),"",K500/K505)</f>
        <v/>
      </c>
      <c r="L526" s="2698" t="str">
        <f t="shared" si="357"/>
        <v/>
      </c>
      <c r="M526" s="2698" t="str">
        <f t="shared" si="357"/>
        <v/>
      </c>
      <c r="N526" s="2698" t="str">
        <f t="shared" si="357"/>
        <v/>
      </c>
      <c r="O526" s="2698" t="str">
        <f t="shared" si="357"/>
        <v/>
      </c>
      <c r="P526" s="2698" t="str">
        <f t="shared" si="357"/>
        <v/>
      </c>
    </row>
    <row r="527" spans="3:23" ht="13">
      <c r="C527" s="360"/>
      <c r="D527" s="360"/>
      <c r="E527" s="360"/>
      <c r="H527" s="1418" t="s">
        <v>5093</v>
      </c>
      <c r="I527" s="361"/>
      <c r="J527" s="358"/>
      <c r="K527" s="2699" t="str">
        <f>IF(OR(K500=0,P526="",K505=0),"",P526*K505)</f>
        <v/>
      </c>
      <c r="L527" s="2699" t="str">
        <f>IF(OR(L500=0,P526="",L505=0),"",P526*L505)</f>
        <v/>
      </c>
      <c r="M527" s="2699" t="str">
        <f>IF(OR(M500=0,P526="",M505=0),"",P526*M505)</f>
        <v/>
      </c>
      <c r="N527" s="2699" t="str">
        <f>IF(OR(N500=0,P526="",N505=0),"",P526*N505)</f>
        <v/>
      </c>
      <c r="O527" s="2699" t="str">
        <f>IF(OR(O500=0,P526="",O505=0),"",P526*O505)</f>
        <v/>
      </c>
      <c r="P527" s="2699" t="str">
        <f>IF(OR(P526="",P505=0),"",P526*P505)</f>
        <v/>
      </c>
    </row>
    <row r="528" spans="3:23" ht="13">
      <c r="C528" s="360"/>
      <c r="D528" s="360"/>
      <c r="E528" s="360"/>
      <c r="G528" s="2681"/>
      <c r="H528" s="1418" t="s">
        <v>5094</v>
      </c>
      <c r="I528" s="361"/>
      <c r="J528" s="358"/>
      <c r="K528" s="2699" t="str">
        <f t="shared" ref="K528:P528" si="358">IF(OR(K527="",K500=0),"", K500-K527)</f>
        <v/>
      </c>
      <c r="L528" s="2699" t="str">
        <f t="shared" si="358"/>
        <v/>
      </c>
      <c r="M528" s="2699" t="str">
        <f t="shared" si="358"/>
        <v/>
      </c>
      <c r="N528" s="2699" t="str">
        <f t="shared" si="358"/>
        <v/>
      </c>
      <c r="O528" s="2699" t="str">
        <f t="shared" si="358"/>
        <v/>
      </c>
      <c r="P528" s="2699" t="str">
        <f t="shared" si="358"/>
        <v/>
      </c>
    </row>
    <row r="529" spans="1:343" ht="12" customHeight="1">
      <c r="A529" s="2688"/>
      <c r="B529" s="2688"/>
      <c r="C529" s="358"/>
      <c r="D529" s="358"/>
      <c r="E529" s="358"/>
      <c r="F529" s="358"/>
      <c r="H529" s="1418"/>
      <c r="I529" s="361"/>
      <c r="K529" s="2700"/>
      <c r="L529" s="2700"/>
      <c r="M529" s="2700"/>
      <c r="N529" s="2700"/>
      <c r="O529" s="2700"/>
      <c r="P529" s="2700"/>
      <c r="U529" s="2653"/>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8"/>
      <c r="B530" s="2688"/>
      <c r="C530" s="358"/>
      <c r="D530" s="358"/>
      <c r="E530" s="358"/>
      <c r="F530" s="358"/>
      <c r="H530" s="1418"/>
      <c r="I530" s="361"/>
      <c r="K530" s="2700"/>
      <c r="L530" s="2700"/>
      <c r="M530" s="2700"/>
      <c r="N530" s="2700"/>
      <c r="O530" s="2700"/>
      <c r="P530" s="2700"/>
      <c r="S530" s="2474" t="str">
        <f>C531</f>
        <v>PBRA-Assisted</v>
      </c>
      <c r="U530" s="2653"/>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8"/>
      <c r="B531" s="2688"/>
      <c r="C531" s="358" t="s">
        <v>874</v>
      </c>
      <c r="D531" s="358"/>
      <c r="E531" s="1418"/>
      <c r="F531" s="358"/>
      <c r="H531" s="1418" t="s">
        <v>3559</v>
      </c>
      <c r="I531" s="361"/>
      <c r="K531" s="2701">
        <f>CP487</f>
        <v>0</v>
      </c>
      <c r="L531" s="2701">
        <f>CQ487</f>
        <v>0</v>
      </c>
      <c r="M531" s="2701">
        <f>CR487</f>
        <v>0</v>
      </c>
      <c r="N531" s="2701">
        <f>CS487</f>
        <v>0</v>
      </c>
      <c r="O531" s="2701">
        <f>CT487</f>
        <v>0</v>
      </c>
      <c r="P531" s="2689">
        <f t="shared" ref="P531:P538" si="359">SUM(K531:O531)</f>
        <v>0</v>
      </c>
      <c r="S531" s="2675"/>
      <c r="T531" s="2675"/>
      <c r="U531" s="2675"/>
      <c r="V531" s="2675"/>
      <c r="W531" s="2675"/>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8"/>
      <c r="B532" s="2688"/>
      <c r="C532" s="361" t="s">
        <v>2304</v>
      </c>
      <c r="D532" s="358"/>
      <c r="E532" s="1418"/>
      <c r="F532" s="358"/>
      <c r="H532" s="1418" t="s">
        <v>3560</v>
      </c>
      <c r="I532" s="361"/>
      <c r="K532" s="2689">
        <f>CK487</f>
        <v>0</v>
      </c>
      <c r="L532" s="2689">
        <f>CL487</f>
        <v>0</v>
      </c>
      <c r="M532" s="2689">
        <f>CM487</f>
        <v>0</v>
      </c>
      <c r="N532" s="2689">
        <f>CN487</f>
        <v>0</v>
      </c>
      <c r="O532" s="2689">
        <f>CO487</f>
        <v>0</v>
      </c>
      <c r="P532" s="2689">
        <f t="shared" si="359"/>
        <v>0</v>
      </c>
      <c r="S532" s="2675"/>
      <c r="T532" s="2675"/>
      <c r="U532" s="2675"/>
      <c r="V532" s="2675"/>
      <c r="W532" s="2675"/>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5" customHeight="1">
      <c r="A533" s="2688"/>
      <c r="B533" s="2688"/>
      <c r="C533" s="358"/>
      <c r="D533" s="358"/>
      <c r="E533" s="1418"/>
      <c r="F533" s="358"/>
      <c r="H533" s="1418" t="s">
        <v>1080</v>
      </c>
      <c r="I533" s="361"/>
      <c r="K533" s="2689">
        <f>CF487</f>
        <v>0</v>
      </c>
      <c r="L533" s="2689">
        <f>CG487</f>
        <v>0</v>
      </c>
      <c r="M533" s="2689">
        <f>CH487</f>
        <v>0</v>
      </c>
      <c r="N533" s="2689">
        <f>CI487</f>
        <v>0</v>
      </c>
      <c r="O533" s="2689">
        <f>CJ487</f>
        <v>0</v>
      </c>
      <c r="P533" s="2689">
        <f t="shared" si="359"/>
        <v>0</v>
      </c>
      <c r="S533" s="2675"/>
      <c r="T533" s="2675"/>
      <c r="U533" s="2675"/>
      <c r="V533" s="2675"/>
      <c r="W533" s="2675"/>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8"/>
      <c r="B534" s="2688"/>
      <c r="C534" s="358"/>
      <c r="D534" s="358"/>
      <c r="E534" s="1418"/>
      <c r="F534" s="358"/>
      <c r="H534" s="1418" t="s">
        <v>112</v>
      </c>
      <c r="I534" s="361"/>
      <c r="K534" s="2689">
        <f>CA487</f>
        <v>0</v>
      </c>
      <c r="L534" s="2689">
        <f>CB487</f>
        <v>0</v>
      </c>
      <c r="M534" s="2689">
        <f>CC487</f>
        <v>0</v>
      </c>
      <c r="N534" s="2689">
        <f>CD487</f>
        <v>0</v>
      </c>
      <c r="O534" s="2689">
        <f>CE487</f>
        <v>0</v>
      </c>
      <c r="P534" s="2689">
        <f t="shared" si="359"/>
        <v>0</v>
      </c>
      <c r="S534" s="2675"/>
      <c r="T534" s="2675"/>
      <c r="U534" s="2675"/>
      <c r="V534" s="2675"/>
      <c r="W534" s="2675"/>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8"/>
      <c r="B535" s="2688"/>
      <c r="C535" s="358"/>
      <c r="D535" s="358"/>
      <c r="E535" s="1418"/>
      <c r="F535" s="358"/>
      <c r="H535" s="1418" t="s">
        <v>3561</v>
      </c>
      <c r="I535" s="361"/>
      <c r="K535" s="2689">
        <f>BV487</f>
        <v>0</v>
      </c>
      <c r="L535" s="2689">
        <f>BW487</f>
        <v>0</v>
      </c>
      <c r="M535" s="2689">
        <f>BX487</f>
        <v>0</v>
      </c>
      <c r="N535" s="2689">
        <f>BY487</f>
        <v>0</v>
      </c>
      <c r="O535" s="2689">
        <f>BZ487</f>
        <v>0</v>
      </c>
      <c r="P535" s="2689">
        <f t="shared" si="359"/>
        <v>0</v>
      </c>
      <c r="S535" s="2675"/>
      <c r="T535" s="2675"/>
      <c r="U535" s="2675"/>
      <c r="V535" s="2675"/>
      <c r="W535" s="2675"/>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3562</v>
      </c>
      <c r="I536" s="361"/>
      <c r="K536" s="2689">
        <f>BQ487</f>
        <v>0</v>
      </c>
      <c r="L536" s="2689">
        <f>BR487</f>
        <v>0</v>
      </c>
      <c r="M536" s="2689">
        <f>BS487</f>
        <v>0</v>
      </c>
      <c r="N536" s="2689">
        <f>BT487</f>
        <v>0</v>
      </c>
      <c r="O536" s="2689">
        <f>BU487</f>
        <v>0</v>
      </c>
      <c r="P536" s="2689">
        <f t="shared" si="359"/>
        <v>0</v>
      </c>
      <c r="S536" s="2675"/>
      <c r="T536" s="2675"/>
      <c r="U536" s="2675"/>
      <c r="V536" s="2675"/>
      <c r="W536" s="2675"/>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3563</v>
      </c>
      <c r="I537" s="361"/>
      <c r="K537" s="2701">
        <f>BL487</f>
        <v>0</v>
      </c>
      <c r="L537" s="2701">
        <f>BM487</f>
        <v>0</v>
      </c>
      <c r="M537" s="2701">
        <f>BN487</f>
        <v>0</v>
      </c>
      <c r="N537" s="2701">
        <f>BO487</f>
        <v>0</v>
      </c>
      <c r="O537" s="2701">
        <f>BP487</f>
        <v>0</v>
      </c>
      <c r="P537" s="2689">
        <f t="shared" si="359"/>
        <v>0</v>
      </c>
      <c r="S537" s="2675"/>
      <c r="T537" s="2675"/>
      <c r="U537" s="2675"/>
      <c r="V537" s="2675"/>
      <c r="W537" s="2675"/>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6"/>
      <c r="K538" s="2695">
        <f>SUM(K531:K537)</f>
        <v>0</v>
      </c>
      <c r="L538" s="2695">
        <f>SUM(L531:L537)</f>
        <v>0</v>
      </c>
      <c r="M538" s="2695">
        <f>SUM(M531:M537)</f>
        <v>0</v>
      </c>
      <c r="N538" s="2695">
        <f>SUM(N531:N537)</f>
        <v>0</v>
      </c>
      <c r="O538" s="2695">
        <f>SUM(O531:O537)</f>
        <v>0</v>
      </c>
      <c r="P538" s="2695">
        <f t="shared" si="359"/>
        <v>0</v>
      </c>
      <c r="S538" s="2675"/>
      <c r="T538" s="2675"/>
      <c r="U538" s="2675"/>
      <c r="V538" s="2675"/>
      <c r="W538" s="2675"/>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15" customHeight="1">
      <c r="A539" s="1546"/>
      <c r="B539" s="1546"/>
      <c r="C539" s="358"/>
      <c r="D539" s="358"/>
      <c r="E539" s="358"/>
      <c r="F539" s="358"/>
      <c r="H539" s="1418"/>
      <c r="I539" s="361"/>
      <c r="K539" s="2700"/>
      <c r="L539" s="2700"/>
      <c r="M539" s="2700"/>
      <c r="N539" s="2700"/>
      <c r="O539" s="2700"/>
      <c r="P539" s="2700"/>
      <c r="U539" s="2653"/>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5096</v>
      </c>
      <c r="H540" s="359"/>
      <c r="L540" s="2702" t="str">
        <f>O491</f>
        <v>&lt;&lt; Select LIHTC Election &gt;&gt;</v>
      </c>
      <c r="M540" s="2702"/>
      <c r="N540" s="2702"/>
      <c r="O540" s="2702"/>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4" t="str">
        <f>C542</f>
        <v>PHA Operating Subsidy-Assisted</v>
      </c>
      <c r="T541" s="360"/>
      <c r="U541" s="2648"/>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5" t="s">
        <v>831</v>
      </c>
      <c r="D542" s="2675"/>
      <c r="E542" s="2675"/>
      <c r="F542" s="358"/>
      <c r="H542" s="1418" t="s">
        <v>3559</v>
      </c>
      <c r="I542" s="361"/>
      <c r="K542" s="2701">
        <f>DY487</f>
        <v>0</v>
      </c>
      <c r="L542" s="2701">
        <f>DZ487</f>
        <v>0</v>
      </c>
      <c r="M542" s="2701">
        <f>EA487</f>
        <v>0</v>
      </c>
      <c r="N542" s="2701">
        <f>EB487</f>
        <v>0</v>
      </c>
      <c r="O542" s="2701">
        <f>EC487</f>
        <v>0</v>
      </c>
      <c r="P542" s="2689">
        <f t="shared" ref="P542:P549" si="360">SUM(K542:O542)</f>
        <v>0</v>
      </c>
      <c r="S542" s="2675"/>
      <c r="T542" s="2675"/>
      <c r="U542" s="2675"/>
      <c r="V542" s="2675"/>
      <c r="W542" s="2675"/>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5"/>
      <c r="E543" s="2675"/>
      <c r="F543" s="358"/>
      <c r="H543" s="1418" t="s">
        <v>3560</v>
      </c>
      <c r="I543" s="361"/>
      <c r="K543" s="2689">
        <f>DT487</f>
        <v>0</v>
      </c>
      <c r="L543" s="2689">
        <f>DU487</f>
        <v>0</v>
      </c>
      <c r="M543" s="2689">
        <f>DV487</f>
        <v>0</v>
      </c>
      <c r="N543" s="2689">
        <f>DW487</f>
        <v>0</v>
      </c>
      <c r="O543" s="2689">
        <f>DX487</f>
        <v>0</v>
      </c>
      <c r="P543" s="2689">
        <f t="shared" si="360"/>
        <v>0</v>
      </c>
      <c r="S543" s="2675"/>
      <c r="T543" s="2675"/>
      <c r="U543" s="2675"/>
      <c r="V543" s="2675"/>
      <c r="W543" s="2675"/>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5"/>
      <c r="D544" s="2675"/>
      <c r="E544" s="2675"/>
      <c r="F544" s="358"/>
      <c r="H544" s="1418" t="s">
        <v>1080</v>
      </c>
      <c r="I544" s="361"/>
      <c r="K544" s="2689">
        <f>DO487</f>
        <v>0</v>
      </c>
      <c r="L544" s="2689">
        <f>DP487</f>
        <v>0</v>
      </c>
      <c r="M544" s="2689">
        <f>DQ487</f>
        <v>0</v>
      </c>
      <c r="N544" s="2689">
        <f>DR487</f>
        <v>0</v>
      </c>
      <c r="O544" s="2689">
        <f>DS487</f>
        <v>0</v>
      </c>
      <c r="P544" s="2689">
        <f t="shared" si="360"/>
        <v>0</v>
      </c>
      <c r="S544" s="2675"/>
      <c r="T544" s="2675"/>
      <c r="U544" s="2675"/>
      <c r="V544" s="2675"/>
      <c r="W544" s="2675"/>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5"/>
      <c r="D545" s="2675"/>
      <c r="E545" s="2675"/>
      <c r="F545" s="358"/>
      <c r="H545" s="1418" t="s">
        <v>112</v>
      </c>
      <c r="I545" s="361"/>
      <c r="K545" s="2689">
        <f>DJ487</f>
        <v>0</v>
      </c>
      <c r="L545" s="2689">
        <f>DK487</f>
        <v>0</v>
      </c>
      <c r="M545" s="2689">
        <f>DL487</f>
        <v>0</v>
      </c>
      <c r="N545" s="2689">
        <f>DM487</f>
        <v>0</v>
      </c>
      <c r="O545" s="2689">
        <f>DN487</f>
        <v>0</v>
      </c>
      <c r="P545" s="2689">
        <f t="shared" si="360"/>
        <v>0</v>
      </c>
      <c r="S545" s="2675"/>
      <c r="T545" s="2675"/>
      <c r="U545" s="2675"/>
      <c r="V545" s="2675"/>
      <c r="W545" s="2675"/>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5"/>
      <c r="D546" s="2675"/>
      <c r="E546" s="2675"/>
      <c r="F546" s="358"/>
      <c r="H546" s="1418" t="s">
        <v>3561</v>
      </c>
      <c r="I546" s="361"/>
      <c r="K546" s="2689">
        <f>DE487</f>
        <v>0</v>
      </c>
      <c r="L546" s="2689">
        <f>DF487</f>
        <v>0</v>
      </c>
      <c r="M546" s="2689">
        <f>DG487</f>
        <v>0</v>
      </c>
      <c r="N546" s="2689">
        <f>DH487</f>
        <v>0</v>
      </c>
      <c r="O546" s="2689">
        <f>DI487</f>
        <v>0</v>
      </c>
      <c r="P546" s="2689">
        <f t="shared" si="360"/>
        <v>0</v>
      </c>
      <c r="S546" s="2675"/>
      <c r="T546" s="2675"/>
      <c r="U546" s="2675"/>
      <c r="V546" s="2675"/>
      <c r="W546" s="2675"/>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5"/>
      <c r="D547" s="2675"/>
      <c r="E547" s="2675"/>
      <c r="F547" s="358"/>
      <c r="H547" s="1418" t="s">
        <v>3562</v>
      </c>
      <c r="I547" s="361"/>
      <c r="K547" s="2689">
        <f>CZ487</f>
        <v>0</v>
      </c>
      <c r="L547" s="2689">
        <f>DA487</f>
        <v>0</v>
      </c>
      <c r="M547" s="2689">
        <f>DB487</f>
        <v>0</v>
      </c>
      <c r="N547" s="2689">
        <f>DC487</f>
        <v>0</v>
      </c>
      <c r="O547" s="2689">
        <f>DD487</f>
        <v>0</v>
      </c>
      <c r="P547" s="2689">
        <f t="shared" si="360"/>
        <v>0</v>
      </c>
      <c r="S547" s="2675"/>
      <c r="T547" s="2675"/>
      <c r="U547" s="2675"/>
      <c r="V547" s="2675"/>
      <c r="W547" s="2675"/>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5"/>
      <c r="D548" s="2675"/>
      <c r="E548" s="2675"/>
      <c r="F548" s="358"/>
      <c r="H548" s="1418" t="s">
        <v>3563</v>
      </c>
      <c r="I548" s="361"/>
      <c r="K548" s="2701">
        <f>CU487</f>
        <v>0</v>
      </c>
      <c r="L548" s="2701">
        <f>CV487</f>
        <v>0</v>
      </c>
      <c r="M548" s="2701">
        <f>CW487</f>
        <v>0</v>
      </c>
      <c r="N548" s="2701">
        <f>CX487</f>
        <v>0</v>
      </c>
      <c r="O548" s="2701">
        <f>CY487</f>
        <v>0</v>
      </c>
      <c r="P548" s="2689">
        <f t="shared" si="360"/>
        <v>0</v>
      </c>
      <c r="S548" s="2675"/>
      <c r="T548" s="2675"/>
      <c r="U548" s="2675"/>
      <c r="V548" s="2675"/>
      <c r="W548" s="2675"/>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6"/>
      <c r="K549" s="2695">
        <f>SUM(K542:K548)</f>
        <v>0</v>
      </c>
      <c r="L549" s="2695">
        <f>SUM(L542:L548)</f>
        <v>0</v>
      </c>
      <c r="M549" s="2695">
        <f>SUM(M542:M548)</f>
        <v>0</v>
      </c>
      <c r="N549" s="2695">
        <f>SUM(N542:N548)</f>
        <v>0</v>
      </c>
      <c r="O549" s="2695">
        <f>SUM(O542:O548)</f>
        <v>0</v>
      </c>
      <c r="P549" s="2695">
        <f t="shared" si="360"/>
        <v>0</v>
      </c>
      <c r="S549" s="2675"/>
      <c r="T549" s="2675"/>
      <c r="U549" s="2675"/>
      <c r="V549" s="2675"/>
      <c r="W549" s="2675"/>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700"/>
      <c r="L550" s="2700"/>
      <c r="M550" s="2700"/>
      <c r="N550" s="2700"/>
      <c r="O550" s="2700"/>
      <c r="P550" s="2700"/>
      <c r="S550" s="2474" t="str">
        <f>C551</f>
        <v>Type of Construction Activity</v>
      </c>
      <c r="U550" s="2653"/>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3" customHeight="1">
      <c r="A551" s="1546"/>
      <c r="B551" s="1546"/>
      <c r="C551" s="2675" t="s">
        <v>35</v>
      </c>
      <c r="D551" s="2675"/>
      <c r="E551" s="1418" t="s">
        <v>4831</v>
      </c>
      <c r="F551" s="358"/>
      <c r="H551" s="1418" t="s">
        <v>1341</v>
      </c>
      <c r="I551" s="361"/>
      <c r="K551" s="2689">
        <f>GG487</f>
        <v>0</v>
      </c>
      <c r="L551" s="2689">
        <f>GH487</f>
        <v>0</v>
      </c>
      <c r="M551" s="2689">
        <f>GI487</f>
        <v>0</v>
      </c>
      <c r="N551" s="2689">
        <f>GJ487</f>
        <v>0</v>
      </c>
      <c r="O551" s="2689">
        <f>GK487</f>
        <v>0</v>
      </c>
      <c r="P551" s="2689">
        <f t="shared" ref="P551:P561" si="361">SUM(K551:O551)</f>
        <v>0</v>
      </c>
      <c r="S551" s="2675"/>
      <c r="T551" s="2675"/>
      <c r="U551" s="2675"/>
      <c r="V551" s="2675"/>
      <c r="W551" s="2675"/>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3" customHeight="1">
      <c r="A552" s="1546"/>
      <c r="B552" s="1546"/>
      <c r="C552" s="2675"/>
      <c r="D552" s="2675"/>
      <c r="E552" s="1418"/>
      <c r="F552" s="358"/>
      <c r="H552" s="1418" t="s">
        <v>290</v>
      </c>
      <c r="I552" s="361"/>
      <c r="K552" s="2689">
        <f>GL487</f>
        <v>0</v>
      </c>
      <c r="L552" s="2689">
        <f>GM487</f>
        <v>0</v>
      </c>
      <c r="M552" s="2689">
        <f>GN487</f>
        <v>0</v>
      </c>
      <c r="N552" s="2689">
        <f>GO487</f>
        <v>0</v>
      </c>
      <c r="O552" s="2689">
        <f>GP487</f>
        <v>0</v>
      </c>
      <c r="P552" s="2689">
        <f t="shared" si="361"/>
        <v>0</v>
      </c>
      <c r="S552" s="2675"/>
      <c r="T552" s="2675"/>
      <c r="U552" s="2675"/>
      <c r="V552" s="2675"/>
      <c r="W552" s="2675"/>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5"/>
      <c r="D553" s="2675"/>
      <c r="E553" s="1418"/>
      <c r="F553" s="358"/>
      <c r="H553" s="1546" t="s">
        <v>29</v>
      </c>
      <c r="I553" s="2558" t="s">
        <v>4838</v>
      </c>
      <c r="J553" s="2703">
        <f>IF($P$67=0,0,P553/$P$67)</f>
        <v>0</v>
      </c>
      <c r="K553" s="2695">
        <f>SUM(K551:K552)+GQ487</f>
        <v>0</v>
      </c>
      <c r="L553" s="2695">
        <f>SUM(L551:L552)+GR487</f>
        <v>0</v>
      </c>
      <c r="M553" s="2695">
        <f>SUM(M551:M552)+GS487</f>
        <v>0</v>
      </c>
      <c r="N553" s="2695">
        <f>SUM(N551:N552)+GT487</f>
        <v>0</v>
      </c>
      <c r="O553" s="2695">
        <f>SUM(O551:O552)+GU487</f>
        <v>0</v>
      </c>
      <c r="P553" s="2695">
        <f t="shared" si="361"/>
        <v>0</v>
      </c>
      <c r="S553" s="2675"/>
      <c r="T553" s="2675"/>
      <c r="U553" s="2675"/>
      <c r="V553" s="2675"/>
      <c r="W553" s="2675"/>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3" customHeight="1">
      <c r="A554" s="1546"/>
      <c r="B554" s="1546"/>
      <c r="C554" s="2675"/>
      <c r="D554" s="2675"/>
      <c r="E554" s="1418" t="s">
        <v>1978</v>
      </c>
      <c r="F554" s="358"/>
      <c r="H554" s="1418" t="s">
        <v>1341</v>
      </c>
      <c r="I554" s="361"/>
      <c r="K554" s="2689">
        <f>GV487</f>
        <v>0</v>
      </c>
      <c r="L554" s="2689">
        <f>GW487</f>
        <v>0</v>
      </c>
      <c r="M554" s="2689">
        <f>GX487</f>
        <v>0</v>
      </c>
      <c r="N554" s="2689">
        <f>GY487</f>
        <v>0</v>
      </c>
      <c r="O554" s="2689">
        <f>GZ487</f>
        <v>0</v>
      </c>
      <c r="P554" s="2689">
        <f t="shared" si="361"/>
        <v>0</v>
      </c>
      <c r="S554" s="2675"/>
      <c r="T554" s="2675"/>
      <c r="U554" s="2675"/>
      <c r="V554" s="2675"/>
      <c r="W554" s="2675"/>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3" customHeight="1">
      <c r="A555" s="1546"/>
      <c r="B555" s="1546"/>
      <c r="C555" s="2675"/>
      <c r="D555" s="2675"/>
      <c r="E555" s="1418"/>
      <c r="F555" s="358"/>
      <c r="H555" s="1418" t="s">
        <v>290</v>
      </c>
      <c r="I555" s="361"/>
      <c r="K555" s="2689">
        <f>HA487</f>
        <v>0</v>
      </c>
      <c r="L555" s="2689">
        <f>HB487</f>
        <v>0</v>
      </c>
      <c r="M555" s="2689">
        <f>HC487</f>
        <v>0</v>
      </c>
      <c r="N555" s="2689">
        <f>HD487</f>
        <v>0</v>
      </c>
      <c r="O555" s="2689">
        <f>HE487</f>
        <v>0</v>
      </c>
      <c r="P555" s="2689">
        <f t="shared" si="361"/>
        <v>0</v>
      </c>
      <c r="S555" s="2675"/>
      <c r="T555" s="2675"/>
      <c r="U555" s="2675"/>
      <c r="V555" s="2675"/>
      <c r="W555" s="2675"/>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5"/>
      <c r="D556" s="2675"/>
      <c r="E556" s="1418"/>
      <c r="F556" s="358"/>
      <c r="H556" s="1546" t="s">
        <v>29</v>
      </c>
      <c r="I556" s="2558" t="s">
        <v>4838</v>
      </c>
      <c r="J556" s="2703">
        <f>IF($P$67=0,0,P556/$P$67)</f>
        <v>0</v>
      </c>
      <c r="K556" s="2695">
        <f>SUM(K554:K555)+HF487</f>
        <v>0</v>
      </c>
      <c r="L556" s="2695">
        <f>SUM(L554:L555)+HG487</f>
        <v>0</v>
      </c>
      <c r="M556" s="2695">
        <f>SUM(M554:M555)+HH487</f>
        <v>0</v>
      </c>
      <c r="N556" s="2695">
        <f>SUM(N554:N555)+HI487</f>
        <v>0</v>
      </c>
      <c r="O556" s="2695">
        <f>SUM(O554:O555)+HJ487</f>
        <v>0</v>
      </c>
      <c r="P556" s="2695">
        <f t="shared" si="361"/>
        <v>0</v>
      </c>
      <c r="S556" s="2675"/>
      <c r="T556" s="2675"/>
      <c r="U556" s="2675"/>
      <c r="V556" s="2675"/>
      <c r="W556" s="2675"/>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3" customHeight="1">
      <c r="A557" s="1546"/>
      <c r="B557" s="1546"/>
      <c r="C557" s="2649"/>
      <c r="D557" s="358"/>
      <c r="E557" s="2649" t="s">
        <v>1335</v>
      </c>
      <c r="F557" s="2649"/>
      <c r="H557" s="1418" t="s">
        <v>1341</v>
      </c>
      <c r="I557" s="361"/>
      <c r="K557" s="2689">
        <f>HK487</f>
        <v>0</v>
      </c>
      <c r="L557" s="2689">
        <f>HL487</f>
        <v>0</v>
      </c>
      <c r="M557" s="2689">
        <f>HM487</f>
        <v>0</v>
      </c>
      <c r="N557" s="2689">
        <f>HN487</f>
        <v>0</v>
      </c>
      <c r="O557" s="2689">
        <f>HO487</f>
        <v>0</v>
      </c>
      <c r="P557" s="2689">
        <f t="shared" si="361"/>
        <v>0</v>
      </c>
      <c r="S557" s="2675"/>
      <c r="T557" s="2675"/>
      <c r="U557" s="2675"/>
      <c r="V557" s="2675"/>
      <c r="W557" s="2675"/>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3" customHeight="1">
      <c r="A558" s="1546"/>
      <c r="B558" s="1546"/>
      <c r="C558" s="2649"/>
      <c r="D558" s="358"/>
      <c r="E558" s="2649"/>
      <c r="F558" s="2649"/>
      <c r="H558" s="1418" t="s">
        <v>290</v>
      </c>
      <c r="I558" s="361"/>
      <c r="K558" s="2689">
        <f>HP487</f>
        <v>0</v>
      </c>
      <c r="L558" s="2689">
        <f>HQ487</f>
        <v>0</v>
      </c>
      <c r="M558" s="2689">
        <f>HR487</f>
        <v>0</v>
      </c>
      <c r="N558" s="2689">
        <f>HS487</f>
        <v>0</v>
      </c>
      <c r="O558" s="2689">
        <f>HT487</f>
        <v>0</v>
      </c>
      <c r="P558" s="2689">
        <f t="shared" si="361"/>
        <v>0</v>
      </c>
      <c r="S558" s="2675"/>
      <c r="T558" s="2675"/>
      <c r="U558" s="2675"/>
      <c r="V558" s="2675"/>
      <c r="W558" s="2675"/>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9"/>
      <c r="D559" s="358"/>
      <c r="E559" s="1418"/>
      <c r="F559" s="358"/>
      <c r="H559" s="1546" t="s">
        <v>29</v>
      </c>
      <c r="I559" s="2558" t="s">
        <v>4838</v>
      </c>
      <c r="J559" s="2703">
        <f>IF($P$67=0,0,P559/$P$67)</f>
        <v>0</v>
      </c>
      <c r="K559" s="2695">
        <f>SUM(K557:K558)+HU487</f>
        <v>0</v>
      </c>
      <c r="L559" s="2695">
        <f>SUM(L557:L558)+HV487</f>
        <v>0</v>
      </c>
      <c r="M559" s="2695">
        <f>SUM(M557:M558)+HW487</f>
        <v>0</v>
      </c>
      <c r="N559" s="2695">
        <f>SUM(N557:N558)+HX487</f>
        <v>0</v>
      </c>
      <c r="O559" s="2695">
        <f>SUM(O557:O558)+HY487</f>
        <v>0</v>
      </c>
      <c r="P559" s="2695">
        <f t="shared" si="361"/>
        <v>0</v>
      </c>
      <c r="S559" s="2675"/>
      <c r="T559" s="2675"/>
      <c r="U559" s="2675"/>
      <c r="V559" s="2675"/>
      <c r="W559" s="2675"/>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9"/>
      <c r="D560" s="358"/>
      <c r="E560" s="1418" t="s">
        <v>4832</v>
      </c>
      <c r="F560" s="358"/>
      <c r="G560" s="2508"/>
      <c r="H560" s="359"/>
      <c r="K560" s="2689">
        <f>'Part V-Revenues &amp; Expenses'!K122</f>
        <v>0</v>
      </c>
      <c r="L560" s="2689">
        <f>'Part V-Revenues &amp; Expenses'!L122</f>
        <v>0</v>
      </c>
      <c r="M560" s="2689">
        <f>'Part V-Revenues &amp; Expenses'!M122</f>
        <v>0</v>
      </c>
      <c r="N560" s="2689">
        <f>'Part V-Revenues &amp; Expenses'!N122</f>
        <v>0</v>
      </c>
      <c r="O560" s="2689">
        <f>'Part V-Revenues &amp; Expenses'!O122</f>
        <v>0</v>
      </c>
      <c r="P560" s="2689">
        <f t="shared" si="361"/>
        <v>0</v>
      </c>
      <c r="S560" s="2675"/>
      <c r="T560" s="2675"/>
      <c r="U560" s="2675"/>
      <c r="V560" s="2675"/>
      <c r="W560" s="2675"/>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2" t="str">
        <f>IF(AND('Part III-A-Uses of Funds'!$T$179="Yes",'Part VIII Scoring Criteria'!$O$339&gt;0,P561&lt;1),"SHOW HISTORIC UNITS HERE &gt;&gt;&gt;&gt;","")</f>
        <v/>
      </c>
      <c r="B561" s="2652"/>
      <c r="C561" s="2652"/>
      <c r="D561" s="2652"/>
      <c r="E561" s="1418" t="s">
        <v>5041</v>
      </c>
      <c r="F561" s="358"/>
      <c r="G561" s="2508"/>
      <c r="H561" s="359"/>
      <c r="K561" s="2689">
        <f>'Part V-Revenues &amp; Expenses'!K123</f>
        <v>0</v>
      </c>
      <c r="L561" s="2689">
        <f>'Part V-Revenues &amp; Expenses'!L123</f>
        <v>0</v>
      </c>
      <c r="M561" s="2689">
        <f>'Part V-Revenues &amp; Expenses'!M123</f>
        <v>0</v>
      </c>
      <c r="N561" s="2689">
        <f>'Part V-Revenues &amp; Expenses'!N123</f>
        <v>0</v>
      </c>
      <c r="O561" s="2689">
        <f>'Part V-Revenues &amp; Expenses'!O123</f>
        <v>0</v>
      </c>
      <c r="P561" s="2689">
        <f t="shared" si="361"/>
        <v>0</v>
      </c>
      <c r="S561" s="2675"/>
      <c r="T561" s="2675"/>
      <c r="U561" s="2675"/>
      <c r="V561" s="2675"/>
      <c r="W561" s="2675"/>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4"/>
      <c r="B562" s="2704"/>
      <c r="C562" s="2704"/>
      <c r="D562" s="2704"/>
      <c r="E562" s="1418"/>
      <c r="F562" s="358"/>
      <c r="G562" s="2508"/>
      <c r="H562" s="359"/>
      <c r="K562" s="361"/>
      <c r="L562" s="361"/>
      <c r="M562" s="361"/>
      <c r="N562" s="361"/>
      <c r="O562" s="361"/>
      <c r="P562" s="361"/>
      <c r="S562" s="2675"/>
      <c r="T562" s="2675"/>
      <c r="U562" s="2675"/>
      <c r="V562" s="2675"/>
      <c r="W562" s="2675"/>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4"/>
      <c r="B563" s="2704"/>
      <c r="C563" s="2704"/>
      <c r="D563" s="2704"/>
      <c r="E563" s="1418" t="s">
        <v>2926</v>
      </c>
      <c r="F563" s="358"/>
      <c r="G563" s="2508"/>
      <c r="H563" s="359"/>
      <c r="K563" s="2689">
        <f>K571+K575+K579+K581+K583+K585</f>
        <v>0</v>
      </c>
      <c r="L563" s="2689">
        <f>L571+L575+L579+L581+L583+L585</f>
        <v>0</v>
      </c>
      <c r="M563" s="2689">
        <f>M571+M575+M579+M581+M583+M585</f>
        <v>0</v>
      </c>
      <c r="N563" s="2689">
        <f>N571+N575+N579+N581+N583+N585</f>
        <v>0</v>
      </c>
      <c r="O563" s="2689">
        <f>O571+O575+O579+O581+O583+O585</f>
        <v>0</v>
      </c>
      <c r="P563" s="2689">
        <f>SUM(K563:O563)</f>
        <v>0</v>
      </c>
      <c r="S563" s="2675"/>
      <c r="T563" s="2675"/>
      <c r="U563" s="2675"/>
      <c r="V563" s="2675"/>
      <c r="W563" s="2675"/>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8"/>
      <c r="H564" s="359"/>
      <c r="K564" s="2700"/>
      <c r="L564" s="2700"/>
      <c r="M564" s="2700"/>
      <c r="N564" s="2700"/>
      <c r="O564" s="2700"/>
      <c r="P564" s="2700"/>
      <c r="U564" s="2653"/>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5" t="s">
        <v>4830</v>
      </c>
      <c r="D565" s="2675"/>
      <c r="E565" s="1418" t="s">
        <v>4770</v>
      </c>
      <c r="F565" s="358"/>
      <c r="G565" s="2508"/>
      <c r="H565" s="359"/>
      <c r="K565" s="2705">
        <f>'Part V-Revenues &amp; Expenses'!K127</f>
        <v>0</v>
      </c>
      <c r="L565" s="358" t="s">
        <v>4833</v>
      </c>
      <c r="M565" s="2508"/>
      <c r="N565" s="359"/>
      <c r="S565" s="2474"/>
      <c r="U565" s="2653"/>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5"/>
      <c r="D566" s="2675"/>
      <c r="E566" s="1418"/>
      <c r="K566" s="2705">
        <f>'Part V-Revenues &amp; Expenses'!K128</f>
        <v>0</v>
      </c>
      <c r="L566" s="2675" t="s">
        <v>4834</v>
      </c>
      <c r="M566" s="2675"/>
      <c r="N566" s="2675"/>
      <c r="O566" s="2675"/>
      <c r="P566" s="2675"/>
      <c r="S566" s="2474"/>
      <c r="U566" s="2653"/>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5"/>
      <c r="D567" s="2675"/>
      <c r="E567" s="1418"/>
      <c r="K567" s="2700"/>
      <c r="L567" s="2675"/>
      <c r="M567" s="2675"/>
      <c r="N567" s="2675"/>
      <c r="O567" s="2675"/>
      <c r="P567" s="2675"/>
      <c r="S567" s="2474"/>
      <c r="U567" s="2653"/>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8"/>
      <c r="H568" s="359"/>
      <c r="K568" s="2700"/>
      <c r="L568" s="2700"/>
      <c r="M568" s="2700"/>
      <c r="N568" s="2700"/>
      <c r="O568" s="2700"/>
      <c r="P568" s="2700"/>
      <c r="S568" s="2474" t="str">
        <f>C569</f>
        <v xml:space="preserve">Building Type: (for Utility Allowance, Monitoring Fees, etc)
</v>
      </c>
      <c r="U568" s="2653"/>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5" t="s">
        <v>5097</v>
      </c>
      <c r="D569" s="2675"/>
      <c r="E569" s="1418" t="s">
        <v>36</v>
      </c>
      <c r="F569" s="358"/>
      <c r="G569" s="2508"/>
      <c r="H569" s="359"/>
      <c r="K569" s="2695">
        <f t="shared" ref="K569:P569" si="362">SUM(K570:K577)</f>
        <v>0</v>
      </c>
      <c r="L569" s="2695">
        <f t="shared" si="362"/>
        <v>0</v>
      </c>
      <c r="M569" s="2695">
        <f t="shared" si="362"/>
        <v>0</v>
      </c>
      <c r="N569" s="2695">
        <f t="shared" si="362"/>
        <v>0</v>
      </c>
      <c r="O569" s="2695">
        <f t="shared" si="362"/>
        <v>0</v>
      </c>
      <c r="P569" s="2695">
        <f t="shared" si="362"/>
        <v>0</v>
      </c>
      <c r="S569" s="2675"/>
      <c r="T569" s="2675"/>
      <c r="U569" s="2675"/>
      <c r="V569" s="2675"/>
      <c r="W569" s="2675"/>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5"/>
      <c r="D570" s="2675"/>
      <c r="E570" s="1418"/>
      <c r="F570" s="358"/>
      <c r="H570" s="2706" t="s">
        <v>4193</v>
      </c>
      <c r="I570" s="1787"/>
      <c r="K570" s="2689">
        <f>JS487</f>
        <v>0</v>
      </c>
      <c r="L570" s="2689">
        <f>JT487</f>
        <v>0</v>
      </c>
      <c r="M570" s="2689">
        <f>JU487</f>
        <v>0</v>
      </c>
      <c r="N570" s="2689">
        <f>JV487</f>
        <v>0</v>
      </c>
      <c r="O570" s="2689">
        <f>JW487</f>
        <v>0</v>
      </c>
      <c r="P570" s="2689">
        <f t="shared" ref="P570:P585" si="363">SUM(K570:O570)</f>
        <v>0</v>
      </c>
      <c r="S570" s="2675"/>
      <c r="T570" s="2675"/>
      <c r="U570" s="2675"/>
      <c r="V570" s="2675"/>
      <c r="W570" s="2675"/>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5"/>
      <c r="D571" s="2675"/>
      <c r="E571" s="1418"/>
      <c r="F571" s="358"/>
      <c r="H571" s="2707" t="s">
        <v>2926</v>
      </c>
      <c r="I571" s="2708"/>
      <c r="K571" s="2694">
        <f>KC487</f>
        <v>0</v>
      </c>
      <c r="L571" s="2694">
        <f>KD487</f>
        <v>0</v>
      </c>
      <c r="M571" s="2694">
        <f>KE487</f>
        <v>0</v>
      </c>
      <c r="N571" s="2694">
        <f>KF487</f>
        <v>0</v>
      </c>
      <c r="O571" s="2694">
        <f>KG487</f>
        <v>0</v>
      </c>
      <c r="P571" s="2694">
        <f t="shared" si="363"/>
        <v>0</v>
      </c>
      <c r="S571" s="2675"/>
      <c r="T571" s="2675"/>
      <c r="U571" s="2675"/>
      <c r="V571" s="2675"/>
      <c r="W571" s="2675"/>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5"/>
      <c r="D572" s="2675"/>
      <c r="E572" s="1418"/>
      <c r="F572" s="358"/>
      <c r="H572" s="2706" t="s">
        <v>4380</v>
      </c>
      <c r="I572" s="1787"/>
      <c r="K572" s="2689">
        <f>JX487</f>
        <v>0</v>
      </c>
      <c r="L572" s="2689">
        <f>JY487</f>
        <v>0</v>
      </c>
      <c r="M572" s="2689">
        <f>JZ487</f>
        <v>0</v>
      </c>
      <c r="N572" s="2689">
        <f>KA487</f>
        <v>0</v>
      </c>
      <c r="O572" s="2689">
        <f>KB487</f>
        <v>0</v>
      </c>
      <c r="P572" s="2689">
        <f t="shared" si="363"/>
        <v>0</v>
      </c>
      <c r="S572" s="2675"/>
      <c r="T572" s="2675"/>
      <c r="U572" s="2675"/>
      <c r="V572" s="2675"/>
      <c r="W572" s="2675"/>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5"/>
      <c r="D573" s="2675"/>
      <c r="E573" s="1418"/>
      <c r="F573" s="358"/>
      <c r="H573" s="2707" t="s">
        <v>2926</v>
      </c>
      <c r="I573" s="2708"/>
      <c r="K573" s="2694">
        <f>KH487</f>
        <v>0</v>
      </c>
      <c r="L573" s="2694">
        <f>KI487</f>
        <v>0</v>
      </c>
      <c r="M573" s="2694">
        <f>KJ487</f>
        <v>0</v>
      </c>
      <c r="N573" s="2694">
        <f>KK487</f>
        <v>0</v>
      </c>
      <c r="O573" s="2694">
        <f>KL487</f>
        <v>0</v>
      </c>
      <c r="P573" s="2694">
        <f t="shared" si="363"/>
        <v>0</v>
      </c>
      <c r="S573" s="2675"/>
      <c r="T573" s="2675"/>
      <c r="U573" s="2675"/>
      <c r="V573" s="2675"/>
      <c r="W573" s="2675"/>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5"/>
      <c r="D574" s="2675"/>
      <c r="E574" s="1418"/>
      <c r="F574" s="358"/>
      <c r="H574" s="2706" t="s">
        <v>4195</v>
      </c>
      <c r="I574" s="1787"/>
      <c r="K574" s="2689">
        <f>KM487</f>
        <v>0</v>
      </c>
      <c r="L574" s="2689">
        <f>KN487</f>
        <v>0</v>
      </c>
      <c r="M574" s="2689">
        <f>KO487</f>
        <v>0</v>
      </c>
      <c r="N574" s="2689">
        <f>KP487</f>
        <v>0</v>
      </c>
      <c r="O574" s="2689">
        <f>KQ487</f>
        <v>0</v>
      </c>
      <c r="P574" s="2689">
        <f t="shared" si="363"/>
        <v>0</v>
      </c>
      <c r="S574" s="2675"/>
      <c r="T574" s="2675"/>
      <c r="U574" s="2675"/>
      <c r="V574" s="2675"/>
      <c r="W574" s="2675"/>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5"/>
      <c r="D575" s="2675"/>
      <c r="E575" s="1418"/>
      <c r="F575" s="358"/>
      <c r="H575" s="2707" t="s">
        <v>2926</v>
      </c>
      <c r="I575" s="2708"/>
      <c r="K575" s="2694">
        <f>KW487</f>
        <v>0</v>
      </c>
      <c r="L575" s="2694">
        <f>KX487</f>
        <v>0</v>
      </c>
      <c r="M575" s="2694">
        <f>KY487</f>
        <v>0</v>
      </c>
      <c r="N575" s="2694">
        <f>KZ487</f>
        <v>0</v>
      </c>
      <c r="O575" s="2694">
        <f>LA487</f>
        <v>0</v>
      </c>
      <c r="P575" s="2694">
        <f t="shared" si="363"/>
        <v>0</v>
      </c>
      <c r="S575" s="2675"/>
      <c r="T575" s="2675"/>
      <c r="U575" s="2675"/>
      <c r="V575" s="2675"/>
      <c r="W575" s="2675"/>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5"/>
      <c r="D576" s="2675"/>
      <c r="E576" s="1418"/>
      <c r="F576" s="358"/>
      <c r="H576" s="2706" t="s">
        <v>4387</v>
      </c>
      <c r="I576" s="1787"/>
      <c r="K576" s="2689">
        <f>KR487</f>
        <v>0</v>
      </c>
      <c r="L576" s="2689">
        <f>KS487</f>
        <v>0</v>
      </c>
      <c r="M576" s="2689">
        <f>KT487</f>
        <v>0</v>
      </c>
      <c r="N576" s="2689">
        <f>KU487</f>
        <v>0</v>
      </c>
      <c r="O576" s="2689">
        <f>KV487</f>
        <v>0</v>
      </c>
      <c r="P576" s="2689">
        <f t="shared" si="363"/>
        <v>0</v>
      </c>
      <c r="S576" s="2675"/>
      <c r="T576" s="2675"/>
      <c r="U576" s="2675"/>
      <c r="V576" s="2675"/>
      <c r="W576" s="2675"/>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5"/>
      <c r="D577" s="2675"/>
      <c r="E577" s="1418"/>
      <c r="F577" s="358"/>
      <c r="H577" s="2707" t="s">
        <v>2926</v>
      </c>
      <c r="I577" s="2708"/>
      <c r="K577" s="2694">
        <f>LB487</f>
        <v>0</v>
      </c>
      <c r="L577" s="2694">
        <f>LC487</f>
        <v>0</v>
      </c>
      <c r="M577" s="2694">
        <f>LD487</f>
        <v>0</v>
      </c>
      <c r="N577" s="2694">
        <f>LE487</f>
        <v>0</v>
      </c>
      <c r="O577" s="2694">
        <f>LF487</f>
        <v>0</v>
      </c>
      <c r="P577" s="2694">
        <f t="shared" si="363"/>
        <v>0</v>
      </c>
      <c r="S577" s="2675"/>
      <c r="T577" s="2675"/>
      <c r="U577" s="2675"/>
      <c r="V577" s="2675"/>
      <c r="W577" s="2675"/>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9"/>
      <c r="D578" s="2709"/>
      <c r="E578" s="1418" t="s">
        <v>4382</v>
      </c>
      <c r="F578" s="358"/>
      <c r="H578" s="2706"/>
      <c r="I578" s="1787"/>
      <c r="K578" s="2689">
        <f>IE487</f>
        <v>0</v>
      </c>
      <c r="L578" s="2689">
        <f>IF487</f>
        <v>0</v>
      </c>
      <c r="M578" s="2689">
        <f>IG487</f>
        <v>0</v>
      </c>
      <c r="N578" s="2689">
        <f>IH487</f>
        <v>0</v>
      </c>
      <c r="O578" s="2689">
        <f>II487</f>
        <v>0</v>
      </c>
      <c r="P578" s="2695">
        <f t="shared" si="363"/>
        <v>0</v>
      </c>
      <c r="S578" s="2675"/>
      <c r="T578" s="2675"/>
      <c r="U578" s="2675"/>
      <c r="V578" s="2675"/>
      <c r="W578" s="2675"/>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9"/>
      <c r="D579" s="2709"/>
      <c r="E579" s="1418"/>
      <c r="F579" s="358"/>
      <c r="H579" s="2707" t="s">
        <v>2926</v>
      </c>
      <c r="I579" s="2708"/>
      <c r="K579" s="2694">
        <f>IJ487</f>
        <v>0</v>
      </c>
      <c r="L579" s="2694">
        <f>IK487</f>
        <v>0</v>
      </c>
      <c r="M579" s="2694">
        <f>IL487</f>
        <v>0</v>
      </c>
      <c r="N579" s="2694">
        <f>IM487</f>
        <v>0</v>
      </c>
      <c r="O579" s="2694">
        <f>IN487</f>
        <v>0</v>
      </c>
      <c r="P579" s="2710">
        <f t="shared" si="363"/>
        <v>0</v>
      </c>
      <c r="S579" s="2675"/>
      <c r="T579" s="2675"/>
      <c r="U579" s="2675"/>
      <c r="V579" s="2675"/>
      <c r="W579" s="2675"/>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9"/>
      <c r="D580" s="2709"/>
      <c r="E580" s="1418" t="s">
        <v>4383</v>
      </c>
      <c r="F580" s="358"/>
      <c r="H580" s="2706"/>
      <c r="I580" s="1787"/>
      <c r="K580" s="2689">
        <f>JI487</f>
        <v>0</v>
      </c>
      <c r="L580" s="2689">
        <f>JJ487</f>
        <v>0</v>
      </c>
      <c r="M580" s="2689">
        <f>JK487</f>
        <v>0</v>
      </c>
      <c r="N580" s="2689">
        <f>JL487</f>
        <v>0</v>
      </c>
      <c r="O580" s="2689">
        <f>JM487</f>
        <v>0</v>
      </c>
      <c r="P580" s="2695">
        <f t="shared" si="363"/>
        <v>0</v>
      </c>
      <c r="S580" s="2675"/>
      <c r="T580" s="2675"/>
      <c r="U580" s="2675"/>
      <c r="V580" s="2675"/>
      <c r="W580" s="2675"/>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9"/>
      <c r="D581" s="2709"/>
      <c r="E581" s="1418"/>
      <c r="F581" s="358"/>
      <c r="H581" s="2707" t="s">
        <v>2926</v>
      </c>
      <c r="I581" s="2708"/>
      <c r="K581" s="2694">
        <f>JN487</f>
        <v>0</v>
      </c>
      <c r="L581" s="2694">
        <f>JO487</f>
        <v>0</v>
      </c>
      <c r="M581" s="2694">
        <f>JP487</f>
        <v>0</v>
      </c>
      <c r="N581" s="2694">
        <f>JQ487</f>
        <v>0</v>
      </c>
      <c r="O581" s="2694">
        <f>JR487</f>
        <v>0</v>
      </c>
      <c r="P581" s="2710">
        <f t="shared" si="363"/>
        <v>0</v>
      </c>
      <c r="S581" s="2675"/>
      <c r="T581" s="2675"/>
      <c r="U581" s="2675"/>
      <c r="V581" s="2675"/>
      <c r="W581" s="2675"/>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9"/>
      <c r="D582" s="2709"/>
      <c r="E582" s="1418" t="s">
        <v>4189</v>
      </c>
      <c r="F582" s="358"/>
      <c r="H582" s="2706"/>
      <c r="I582" s="1787"/>
      <c r="K582" s="2689">
        <f>IY487</f>
        <v>0</v>
      </c>
      <c r="L582" s="2689">
        <f>IZ487</f>
        <v>0</v>
      </c>
      <c r="M582" s="2689">
        <f>JA487</f>
        <v>0</v>
      </c>
      <c r="N582" s="2689">
        <f>JB487</f>
        <v>0</v>
      </c>
      <c r="O582" s="2689">
        <f>JC487</f>
        <v>0</v>
      </c>
      <c r="P582" s="2695">
        <f t="shared" si="363"/>
        <v>0</v>
      </c>
      <c r="S582" s="2675"/>
      <c r="T582" s="2675"/>
      <c r="U582" s="2675"/>
      <c r="V582" s="2675"/>
      <c r="W582" s="2675"/>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9"/>
      <c r="D583" s="2709"/>
      <c r="E583" s="1418"/>
      <c r="F583" s="358"/>
      <c r="H583" s="2707" t="s">
        <v>2926</v>
      </c>
      <c r="I583" s="2708"/>
      <c r="K583" s="2694">
        <f>JD487</f>
        <v>0</v>
      </c>
      <c r="L583" s="2694">
        <f>JE487</f>
        <v>0</v>
      </c>
      <c r="M583" s="2694">
        <f>JF487</f>
        <v>0</v>
      </c>
      <c r="N583" s="2694">
        <f>JG487</f>
        <v>0</v>
      </c>
      <c r="O583" s="2694">
        <f>JH487</f>
        <v>0</v>
      </c>
      <c r="P583" s="2710">
        <f t="shared" si="363"/>
        <v>0</v>
      </c>
      <c r="S583" s="2675"/>
      <c r="T583" s="2675"/>
      <c r="U583" s="2675"/>
      <c r="V583" s="2675"/>
      <c r="W583" s="2675"/>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9"/>
      <c r="D584" s="2709"/>
      <c r="E584" s="359" t="s">
        <v>524</v>
      </c>
      <c r="F584" s="358"/>
      <c r="H584" s="2706"/>
      <c r="I584" s="1787"/>
      <c r="K584" s="2689">
        <f>IO487</f>
        <v>0</v>
      </c>
      <c r="L584" s="2689">
        <f>IP487</f>
        <v>0</v>
      </c>
      <c r="M584" s="2689">
        <f>IQ487</f>
        <v>0</v>
      </c>
      <c r="N584" s="2689">
        <f>IR487</f>
        <v>0</v>
      </c>
      <c r="O584" s="2689">
        <f>IS487</f>
        <v>0</v>
      </c>
      <c r="P584" s="2695">
        <f t="shared" si="363"/>
        <v>0</v>
      </c>
      <c r="S584" s="2675"/>
      <c r="T584" s="2675"/>
      <c r="U584" s="2675"/>
      <c r="V584" s="2675"/>
      <c r="W584" s="2675"/>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5"/>
      <c r="D585" s="2675"/>
      <c r="E585" s="359"/>
      <c r="F585" s="358"/>
      <c r="H585" s="2707" t="s">
        <v>2926</v>
      </c>
      <c r="I585" s="2708"/>
      <c r="K585" s="2694">
        <f>IT487</f>
        <v>0</v>
      </c>
      <c r="L585" s="2694">
        <f>IU487</f>
        <v>0</v>
      </c>
      <c r="M585" s="2694">
        <f>IV487</f>
        <v>0</v>
      </c>
      <c r="N585" s="2694">
        <f>IW487</f>
        <v>0</v>
      </c>
      <c r="O585" s="2694">
        <f>IX487</f>
        <v>0</v>
      </c>
      <c r="P585" s="2710">
        <f t="shared" si="363"/>
        <v>0</v>
      </c>
      <c r="S585" s="2675"/>
      <c r="T585" s="2675"/>
      <c r="U585" s="2675"/>
      <c r="V585" s="2675"/>
      <c r="W585" s="2675"/>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1"/>
      <c r="I586" s="2712"/>
      <c r="K586" s="2701"/>
      <c r="L586" s="2701"/>
      <c r="M586" s="2701"/>
      <c r="N586" s="2701"/>
      <c r="O586" s="2701"/>
      <c r="P586" s="2701"/>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5096</v>
      </c>
      <c r="H587" s="359"/>
      <c r="L587" s="2702">
        <f>$O$53</f>
        <v>0</v>
      </c>
      <c r="M587" s="2702"/>
      <c r="N587" s="2702"/>
      <c r="O587" s="2702"/>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8"/>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5" t="s">
        <v>5098</v>
      </c>
      <c r="D589" s="2675"/>
      <c r="E589" s="1418" t="s">
        <v>2921</v>
      </c>
      <c r="F589" s="2508"/>
      <c r="H589" s="2706"/>
      <c r="I589" s="1787"/>
      <c r="K589" s="2689">
        <f t="shared" ref="K589:O590" si="364">K578+K582+K584</f>
        <v>0</v>
      </c>
      <c r="L589" s="2689">
        <f>L578+L582+L584</f>
        <v>0</v>
      </c>
      <c r="M589" s="2689">
        <f t="shared" si="364"/>
        <v>0</v>
      </c>
      <c r="N589" s="2689">
        <f t="shared" si="364"/>
        <v>0</v>
      </c>
      <c r="O589" s="2689">
        <f t="shared" si="364"/>
        <v>0</v>
      </c>
      <c r="P589" s="2695">
        <f t="shared" ref="P589:P596" si="365">SUM(K589:O589)</f>
        <v>0</v>
      </c>
      <c r="S589" s="2675"/>
      <c r="T589" s="2675"/>
      <c r="U589" s="2675"/>
      <c r="V589" s="2675"/>
      <c r="W589" s="2675"/>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5"/>
      <c r="D590" s="2675"/>
      <c r="E590" s="1418"/>
      <c r="F590" s="2508"/>
      <c r="H590" s="2707" t="s">
        <v>2926</v>
      </c>
      <c r="I590" s="2708"/>
      <c r="K590" s="2694">
        <f t="shared" si="364"/>
        <v>0</v>
      </c>
      <c r="L590" s="2694">
        <f t="shared" si="364"/>
        <v>0</v>
      </c>
      <c r="M590" s="2694">
        <f t="shared" si="364"/>
        <v>0</v>
      </c>
      <c r="N590" s="2694">
        <f t="shared" si="364"/>
        <v>0</v>
      </c>
      <c r="O590" s="2694">
        <f t="shared" si="364"/>
        <v>0</v>
      </c>
      <c r="P590" s="2710">
        <f t="shared" si="365"/>
        <v>0</v>
      </c>
      <c r="S590" s="2675"/>
      <c r="T590" s="2675"/>
      <c r="U590" s="2675"/>
      <c r="V590" s="2675"/>
      <c r="W590" s="2675"/>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5"/>
      <c r="D591" s="2675"/>
      <c r="E591" s="1418" t="s">
        <v>2922</v>
      </c>
      <c r="F591" s="2508"/>
      <c r="H591" s="2474"/>
      <c r="I591" s="2508"/>
      <c r="K591" s="2689">
        <f t="shared" ref="K591:O592" si="366">K580</f>
        <v>0</v>
      </c>
      <c r="L591" s="2689">
        <f t="shared" si="366"/>
        <v>0</v>
      </c>
      <c r="M591" s="2689">
        <f t="shared" si="366"/>
        <v>0</v>
      </c>
      <c r="N591" s="2689">
        <f t="shared" si="366"/>
        <v>0</v>
      </c>
      <c r="O591" s="2689">
        <f t="shared" si="366"/>
        <v>0</v>
      </c>
      <c r="P591" s="2695">
        <f t="shared" si="365"/>
        <v>0</v>
      </c>
      <c r="S591" s="2675"/>
      <c r="T591" s="2675"/>
      <c r="U591" s="2675"/>
      <c r="V591" s="2675"/>
      <c r="W591" s="2675"/>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5"/>
      <c r="D592" s="2675"/>
      <c r="E592" s="1418"/>
      <c r="F592" s="2508"/>
      <c r="H592" s="2707" t="s">
        <v>2926</v>
      </c>
      <c r="I592" s="2708"/>
      <c r="K592" s="2694">
        <f t="shared" si="366"/>
        <v>0</v>
      </c>
      <c r="L592" s="2694">
        <f t="shared" si="366"/>
        <v>0</v>
      </c>
      <c r="M592" s="2694">
        <f t="shared" si="366"/>
        <v>0</v>
      </c>
      <c r="N592" s="2694">
        <f t="shared" si="366"/>
        <v>0</v>
      </c>
      <c r="O592" s="2694">
        <f t="shared" si="366"/>
        <v>0</v>
      </c>
      <c r="P592" s="2710">
        <f t="shared" si="365"/>
        <v>0</v>
      </c>
      <c r="S592" s="2675"/>
      <c r="T592" s="2675"/>
      <c r="U592" s="2675"/>
      <c r="V592" s="2675"/>
      <c r="W592" s="2675"/>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5"/>
      <c r="D593" s="2675"/>
      <c r="E593" s="1418" t="s">
        <v>2923</v>
      </c>
      <c r="F593" s="2508"/>
      <c r="H593" s="2706"/>
      <c r="I593" s="1787"/>
      <c r="K593" s="2689">
        <f t="shared" ref="K593:O596" si="367">K570+K574</f>
        <v>0</v>
      </c>
      <c r="L593" s="2689">
        <f t="shared" si="367"/>
        <v>0</v>
      </c>
      <c r="M593" s="2689">
        <f t="shared" si="367"/>
        <v>0</v>
      </c>
      <c r="N593" s="2689">
        <f t="shared" si="367"/>
        <v>0</v>
      </c>
      <c r="O593" s="2689">
        <f t="shared" si="367"/>
        <v>0</v>
      </c>
      <c r="P593" s="2695">
        <f t="shared" si="365"/>
        <v>0</v>
      </c>
      <c r="S593" s="2675"/>
      <c r="T593" s="2675"/>
      <c r="U593" s="2675"/>
      <c r="V593" s="2675"/>
      <c r="W593" s="2675"/>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5"/>
      <c r="D594" s="2675"/>
      <c r="E594" s="1418"/>
      <c r="F594" s="2508"/>
      <c r="H594" s="2707" t="s">
        <v>2926</v>
      </c>
      <c r="I594" s="2708"/>
      <c r="K594" s="2694">
        <f t="shared" si="367"/>
        <v>0</v>
      </c>
      <c r="L594" s="2694">
        <f t="shared" si="367"/>
        <v>0</v>
      </c>
      <c r="M594" s="2694">
        <f t="shared" si="367"/>
        <v>0</v>
      </c>
      <c r="N594" s="2694">
        <f t="shared" si="367"/>
        <v>0</v>
      </c>
      <c r="O594" s="2694">
        <f t="shared" si="367"/>
        <v>0</v>
      </c>
      <c r="P594" s="2710">
        <f t="shared" si="365"/>
        <v>0</v>
      </c>
      <c r="S594" s="2675"/>
      <c r="T594" s="2675"/>
      <c r="U594" s="2675"/>
      <c r="V594" s="2675"/>
      <c r="W594" s="2675"/>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5"/>
      <c r="D595" s="2675"/>
      <c r="E595" s="1418" t="s">
        <v>2924</v>
      </c>
      <c r="F595" s="2508"/>
      <c r="H595" s="2706"/>
      <c r="I595" s="1787"/>
      <c r="K595" s="2689">
        <f t="shared" si="367"/>
        <v>0</v>
      </c>
      <c r="L595" s="2689">
        <f t="shared" si="367"/>
        <v>0</v>
      </c>
      <c r="M595" s="2689">
        <f t="shared" si="367"/>
        <v>0</v>
      </c>
      <c r="N595" s="2689">
        <f t="shared" si="367"/>
        <v>0</v>
      </c>
      <c r="O595" s="2689">
        <f t="shared" si="367"/>
        <v>0</v>
      </c>
      <c r="P595" s="2695">
        <f t="shared" si="365"/>
        <v>0</v>
      </c>
      <c r="S595" s="2675"/>
      <c r="T595" s="2675"/>
      <c r="U595" s="2675"/>
      <c r="V595" s="2675"/>
      <c r="W595" s="2675"/>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8"/>
      <c r="H596" s="2707" t="s">
        <v>2926</v>
      </c>
      <c r="I596" s="2708"/>
      <c r="K596" s="2694">
        <f t="shared" si="367"/>
        <v>0</v>
      </c>
      <c r="L596" s="2694">
        <f t="shared" si="367"/>
        <v>0</v>
      </c>
      <c r="M596" s="2694">
        <f t="shared" si="367"/>
        <v>0</v>
      </c>
      <c r="N596" s="2694">
        <f t="shared" si="367"/>
        <v>0</v>
      </c>
      <c r="O596" s="2694">
        <f t="shared" si="367"/>
        <v>0</v>
      </c>
      <c r="P596" s="2710">
        <f t="shared" si="365"/>
        <v>0</v>
      </c>
      <c r="Q596" s="356" t="s">
        <v>5099</v>
      </c>
      <c r="S596" s="2675"/>
      <c r="T596" s="2675"/>
      <c r="U596" s="2675"/>
      <c r="V596" s="2675"/>
      <c r="W596" s="2675"/>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700"/>
      <c r="L597" s="2700"/>
      <c r="M597" s="2700"/>
      <c r="N597" s="2700"/>
      <c r="O597" s="2700"/>
      <c r="P597" s="2700"/>
      <c r="S597" s="377"/>
      <c r="U597" s="2653"/>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4396</v>
      </c>
      <c r="C598" s="358"/>
      <c r="D598" s="358"/>
      <c r="E598" s="358"/>
      <c r="F598" s="358"/>
      <c r="H598" s="1787"/>
      <c r="I598" s="1787"/>
      <c r="K598" s="2713"/>
      <c r="L598" s="2713"/>
      <c r="M598" s="2713"/>
      <c r="N598" s="2713"/>
      <c r="O598" s="2713"/>
      <c r="P598" s="2713"/>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3559</v>
      </c>
      <c r="I599" s="794"/>
      <c r="K599" s="2701">
        <f>EI487</f>
        <v>0</v>
      </c>
      <c r="L599" s="2701">
        <f>EJ487</f>
        <v>0</v>
      </c>
      <c r="M599" s="2701">
        <f>EK487</f>
        <v>0</v>
      </c>
      <c r="N599" s="2701">
        <f>EL487</f>
        <v>0</v>
      </c>
      <c r="O599" s="2701">
        <f>EM487</f>
        <v>0</v>
      </c>
      <c r="P599" s="2714">
        <f t="shared" ref="P599:P605" si="368">SUM(K599:O599)</f>
        <v>0</v>
      </c>
      <c r="Q599" s="2699" t="str">
        <f>'Part V-Revenues &amp; Expenses'!Q161</f>
        <v/>
      </c>
      <c r="S599" s="2675"/>
      <c r="T599" s="2675"/>
      <c r="U599" s="2675"/>
      <c r="V599" s="2675"/>
      <c r="W599" s="2675"/>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6" t="s">
        <v>3560</v>
      </c>
      <c r="I600" s="1787"/>
      <c r="K600" s="2714">
        <f>EN487</f>
        <v>0</v>
      </c>
      <c r="L600" s="2714">
        <f>EO487</f>
        <v>0</v>
      </c>
      <c r="M600" s="2714">
        <f>EP487</f>
        <v>0</v>
      </c>
      <c r="N600" s="2714">
        <f>EQ487</f>
        <v>0</v>
      </c>
      <c r="O600" s="2714">
        <f>ER487</f>
        <v>0</v>
      </c>
      <c r="P600" s="2714">
        <f t="shared" si="368"/>
        <v>0</v>
      </c>
      <c r="Q600" s="2699" t="str">
        <f>'Part V-Revenues &amp; Expenses'!Q162</f>
        <v/>
      </c>
      <c r="S600" s="2675"/>
      <c r="T600" s="2675"/>
      <c r="U600" s="2675"/>
      <c r="V600" s="2675"/>
      <c r="W600" s="2675"/>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6" t="s">
        <v>1080</v>
      </c>
      <c r="I601" s="1787"/>
      <c r="K601" s="2714">
        <f>ES487</f>
        <v>0</v>
      </c>
      <c r="L601" s="2714">
        <f>ET487</f>
        <v>0</v>
      </c>
      <c r="M601" s="2714">
        <f>EU487</f>
        <v>0</v>
      </c>
      <c r="N601" s="2714">
        <f>EV487</f>
        <v>0</v>
      </c>
      <c r="O601" s="2714">
        <f>EW487</f>
        <v>0</v>
      </c>
      <c r="P601" s="2714">
        <f t="shared" si="368"/>
        <v>0</v>
      </c>
      <c r="Q601" s="2699" t="str">
        <f>'Part V-Revenues &amp; Expenses'!Q163</f>
        <v/>
      </c>
      <c r="S601" s="2675"/>
      <c r="T601" s="2675"/>
      <c r="U601" s="2675"/>
      <c r="V601" s="2675"/>
      <c r="W601" s="2675"/>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6" t="s">
        <v>112</v>
      </c>
      <c r="I602" s="1787"/>
      <c r="K602" s="2714">
        <f>EX487</f>
        <v>0</v>
      </c>
      <c r="L602" s="2714">
        <f>EY487</f>
        <v>0</v>
      </c>
      <c r="M602" s="2714">
        <f>EZ487</f>
        <v>0</v>
      </c>
      <c r="N602" s="2714">
        <f>FA487</f>
        <v>0</v>
      </c>
      <c r="O602" s="2714">
        <f>FB487</f>
        <v>0</v>
      </c>
      <c r="P602" s="2714">
        <f t="shared" si="368"/>
        <v>0</v>
      </c>
      <c r="Q602" s="2699" t="str">
        <f>'Part V-Revenues &amp; Expenses'!Q164</f>
        <v/>
      </c>
      <c r="S602" s="2675"/>
      <c r="T602" s="2675"/>
      <c r="U602" s="2675"/>
      <c r="V602" s="2675"/>
      <c r="W602" s="2675"/>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6" t="s">
        <v>3561</v>
      </c>
      <c r="I603" s="1787"/>
      <c r="K603" s="2714">
        <f>FC487</f>
        <v>0</v>
      </c>
      <c r="L603" s="2714">
        <f>FD487</f>
        <v>0</v>
      </c>
      <c r="M603" s="2714">
        <f>FE487</f>
        <v>0</v>
      </c>
      <c r="N603" s="2714">
        <f>FF487</f>
        <v>0</v>
      </c>
      <c r="O603" s="2714">
        <f>FG487</f>
        <v>0</v>
      </c>
      <c r="P603" s="2714">
        <f t="shared" si="368"/>
        <v>0</v>
      </c>
      <c r="Q603" s="2699" t="str">
        <f>'Part V-Revenues &amp; Expenses'!Q165</f>
        <v/>
      </c>
      <c r="S603" s="2675"/>
      <c r="T603" s="2675"/>
      <c r="U603" s="2675"/>
      <c r="V603" s="2675"/>
      <c r="W603" s="2675"/>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6" t="s">
        <v>3562</v>
      </c>
      <c r="I604" s="1787"/>
      <c r="K604" s="2714">
        <f>FH487</f>
        <v>0</v>
      </c>
      <c r="L604" s="2714">
        <f>FI487</f>
        <v>0</v>
      </c>
      <c r="M604" s="2714">
        <f>FJ487</f>
        <v>0</v>
      </c>
      <c r="N604" s="2714">
        <f>FK487</f>
        <v>0</v>
      </c>
      <c r="O604" s="2714">
        <f>FL487</f>
        <v>0</v>
      </c>
      <c r="P604" s="2714">
        <f t="shared" si="368"/>
        <v>0</v>
      </c>
      <c r="Q604" s="2699" t="str">
        <f>'Part V-Revenues &amp; Expenses'!Q166</f>
        <v/>
      </c>
      <c r="S604" s="2675"/>
      <c r="T604" s="2675"/>
      <c r="U604" s="2675"/>
      <c r="V604" s="2675"/>
      <c r="W604" s="2675"/>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3563</v>
      </c>
      <c r="I605" s="794"/>
      <c r="K605" s="2701">
        <f>FM487</f>
        <v>0</v>
      </c>
      <c r="L605" s="2701">
        <f>FN487</f>
        <v>0</v>
      </c>
      <c r="M605" s="2701">
        <f>FO487</f>
        <v>0</v>
      </c>
      <c r="N605" s="2701">
        <f>FP487</f>
        <v>0</v>
      </c>
      <c r="O605" s="2701">
        <f>FQ487</f>
        <v>0</v>
      </c>
      <c r="P605" s="2714">
        <f t="shared" si="368"/>
        <v>0</v>
      </c>
      <c r="Q605" s="2699" t="str">
        <f>'Part V-Revenues &amp; Expenses'!Q167</f>
        <v/>
      </c>
      <c r="S605" s="2675"/>
      <c r="T605" s="2675"/>
      <c r="U605" s="2675"/>
      <c r="V605" s="2675"/>
      <c r="W605" s="2675"/>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7" t="s">
        <v>3644</v>
      </c>
      <c r="I606" s="2708"/>
      <c r="J606" s="2691"/>
      <c r="K606" s="2715">
        <f>SUM(K599:K605)</f>
        <v>0</v>
      </c>
      <c r="L606" s="2715">
        <f>SUM(L599:L605)</f>
        <v>0</v>
      </c>
      <c r="M606" s="2715">
        <f>SUM(M599:M605)</f>
        <v>0</v>
      </c>
      <c r="N606" s="2715">
        <f>SUM(N599:N605)</f>
        <v>0</v>
      </c>
      <c r="O606" s="2715">
        <f>SUM(O599:O605)</f>
        <v>0</v>
      </c>
      <c r="P606" s="2715">
        <f>SUM(K606:O606)</f>
        <v>0</v>
      </c>
      <c r="S606" s="2675"/>
      <c r="T606" s="2675"/>
      <c r="U606" s="2675"/>
      <c r="V606" s="2675"/>
      <c r="W606" s="2675"/>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4">
        <f>FR487</f>
        <v>0</v>
      </c>
      <c r="L607" s="2714">
        <f>FS487</f>
        <v>0</v>
      </c>
      <c r="M607" s="2714">
        <f>FT487</f>
        <v>0</v>
      </c>
      <c r="N607" s="2714">
        <f>FU487</f>
        <v>0</v>
      </c>
      <c r="O607" s="2714">
        <f>FV487</f>
        <v>0</v>
      </c>
      <c r="P607" s="2714">
        <f>SUM(K607:O607)</f>
        <v>0</v>
      </c>
      <c r="Q607" s="2699" t="str">
        <f>'Part V-Revenues &amp; Expenses'!Q169</f>
        <v/>
      </c>
      <c r="S607" s="2675"/>
      <c r="T607" s="2675"/>
      <c r="U607" s="2675"/>
      <c r="V607" s="2675"/>
      <c r="W607" s="2675"/>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6" t="s">
        <v>1069</v>
      </c>
      <c r="D608" s="2690"/>
      <c r="E608" s="2690"/>
      <c r="F608" s="2690"/>
      <c r="G608" s="2690"/>
      <c r="H608" s="2691"/>
      <c r="I608" s="2691"/>
      <c r="J608" s="2691"/>
      <c r="K608" s="2717">
        <f>SUM(K606:K607)</f>
        <v>0</v>
      </c>
      <c r="L608" s="2717">
        <f>SUM(L606:L607)</f>
        <v>0</v>
      </c>
      <c r="M608" s="2717">
        <f>SUM(M606:M607)</f>
        <v>0</v>
      </c>
      <c r="N608" s="2717">
        <f>SUM(N606:N607)</f>
        <v>0</v>
      </c>
      <c r="O608" s="2717">
        <f>SUM(O606:O607)</f>
        <v>0</v>
      </c>
      <c r="P608" s="2717">
        <f>SUM(K608:O608)</f>
        <v>0</v>
      </c>
      <c r="S608" s="2675"/>
      <c r="T608" s="2675"/>
      <c r="U608" s="2675"/>
      <c r="V608" s="2675"/>
      <c r="W608" s="2675"/>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4">
        <f>GB487</f>
        <v>0</v>
      </c>
      <c r="L609" s="2714">
        <f>GC487</f>
        <v>0</v>
      </c>
      <c r="M609" s="2714">
        <f>GD487</f>
        <v>0</v>
      </c>
      <c r="N609" s="2714">
        <f>GE487</f>
        <v>0</v>
      </c>
      <c r="O609" s="2714">
        <f>GF487</f>
        <v>0</v>
      </c>
      <c r="P609" s="2714">
        <f>SUM(K609:O609)</f>
        <v>0</v>
      </c>
      <c r="Q609" s="2699" t="str">
        <f>'Part V-Revenues &amp; Expenses'!Q171</f>
        <v/>
      </c>
      <c r="S609" s="2675"/>
      <c r="T609" s="2675"/>
      <c r="U609" s="2675"/>
      <c r="V609" s="2675"/>
      <c r="W609" s="2675"/>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8">
        <f>SUM(K608:K609)</f>
        <v>0</v>
      </c>
      <c r="L610" s="2718">
        <f>SUM(L608:L609)</f>
        <v>0</v>
      </c>
      <c r="M610" s="2718">
        <f>SUM(M608:M609)</f>
        <v>0</v>
      </c>
      <c r="N610" s="2718">
        <f>SUM(N608:N609)</f>
        <v>0</v>
      </c>
      <c r="O610" s="2718">
        <f>SUM(O608:O609)</f>
        <v>0</v>
      </c>
      <c r="P610" s="2718">
        <f>SUM(K610:O610)</f>
        <v>0</v>
      </c>
      <c r="S610" s="2675"/>
      <c r="T610" s="2675"/>
      <c r="U610" s="2675"/>
      <c r="V610" s="2675"/>
      <c r="W610" s="2675"/>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5"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5"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5100</v>
      </c>
      <c r="K613" s="2719" t="str">
        <f>'Part V-Revenues &amp; Expenses'!K175</f>
        <v/>
      </c>
      <c r="L613" s="2719" t="str">
        <f>'Part V-Revenues &amp; Expenses'!L175</f>
        <v/>
      </c>
      <c r="M613" s="2719" t="str">
        <f>'Part V-Revenues &amp; Expenses'!M175</f>
        <v/>
      </c>
      <c r="N613" s="2719" t="str">
        <f>'Part V-Revenues &amp; Expenses'!N175</f>
        <v/>
      </c>
      <c r="O613" s="2719" t="str">
        <f>'Part V-Revenues &amp; Expenses'!O175</f>
        <v/>
      </c>
      <c r="P613" s="2719">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5"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5" customHeight="1">
      <c r="A615" s="360" t="s">
        <v>690</v>
      </c>
      <c r="B615" s="360" t="s">
        <v>4546</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3"/>
      <c r="C616" s="376" t="s">
        <v>5101</v>
      </c>
      <c r="K616" s="2534">
        <f>'Part V-Revenues &amp; Expenses'!K178</f>
        <v>0</v>
      </c>
      <c r="L616" s="2534"/>
      <c r="Z616" s="1534">
        <v>68</v>
      </c>
    </row>
    <row r="617" spans="1:380" s="1729" customFormat="1" ht="13.4" customHeight="1">
      <c r="A617" s="2503"/>
      <c r="C617" s="376" t="s">
        <v>242</v>
      </c>
      <c r="K617" s="2534">
        <f>P610+K616</f>
        <v>0</v>
      </c>
      <c r="L617" s="2534"/>
      <c r="Z617" s="1534">
        <v>69</v>
      </c>
    </row>
    <row r="618" spans="1:380" s="358" customFormat="1" ht="14.15" customHeight="1">
      <c r="A618" s="2720"/>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5" customHeight="1">
      <c r="A619" s="360" t="s">
        <v>1661</v>
      </c>
      <c r="B619" s="360" t="s">
        <v>5102</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5" customHeight="1">
      <c r="B621" s="1546" t="s">
        <v>951</v>
      </c>
      <c r="C621" s="1418"/>
      <c r="D621" s="1418"/>
      <c r="E621" s="1418"/>
      <c r="F621" s="1418"/>
      <c r="G621" s="1418"/>
      <c r="H621" s="2721">
        <f>'Part V-Revenues &amp; Expenses'!H183</f>
        <v>0</v>
      </c>
      <c r="I621" s="2721"/>
      <c r="J621" s="2706" t="s">
        <v>5103</v>
      </c>
      <c r="M621" s="1418"/>
      <c r="N621" s="1418"/>
      <c r="O621" s="1418"/>
      <c r="P621" s="2722">
        <f>IF(M488=0,0,H621/M488)</f>
        <v>0</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5" customHeight="1">
      <c r="B622" s="2652"/>
      <c r="C622" s="359"/>
      <c r="D622" s="1418"/>
      <c r="E622" s="359"/>
      <c r="F622" s="359"/>
      <c r="G622" s="359"/>
      <c r="H622" s="359"/>
      <c r="I622" s="359"/>
      <c r="J622" s="2711"/>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5" customHeight="1">
      <c r="B623" s="2652" t="s">
        <v>1354</v>
      </c>
      <c r="C623" s="359"/>
      <c r="D623" s="359"/>
      <c r="E623" s="359"/>
      <c r="F623" s="359"/>
      <c r="G623" s="359"/>
      <c r="H623" s="359"/>
      <c r="I623" s="359"/>
      <c r="J623" s="2652"/>
      <c r="K623" s="359"/>
      <c r="L623" s="2723"/>
      <c r="M623" s="359"/>
      <c r="N623" s="359"/>
      <c r="O623" s="359"/>
      <c r="P623" s="359"/>
      <c r="Q623" s="359"/>
      <c r="S623" s="2648"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5" customHeight="1">
      <c r="B624" s="2724" t="s">
        <v>2106</v>
      </c>
      <c r="C624" s="359"/>
      <c r="D624" s="359"/>
      <c r="E624" s="359"/>
      <c r="F624" s="359"/>
      <c r="H624" s="2725">
        <v>1</v>
      </c>
      <c r="I624" s="2725">
        <v>2</v>
      </c>
      <c r="J624" s="2725">
        <v>3</v>
      </c>
      <c r="K624" s="2725">
        <v>4</v>
      </c>
      <c r="L624" s="2725">
        <v>5</v>
      </c>
      <c r="M624" s="2725">
        <v>6</v>
      </c>
      <c r="N624" s="2725">
        <v>7</v>
      </c>
      <c r="O624" s="2725">
        <v>8</v>
      </c>
      <c r="P624" s="2725">
        <v>9</v>
      </c>
      <c r="Q624" s="2725">
        <v>10</v>
      </c>
      <c r="R624" s="2726"/>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5" customHeight="1">
      <c r="B625" s="1418" t="s">
        <v>952</v>
      </c>
      <c r="C625" s="1418"/>
      <c r="D625" s="1418"/>
      <c r="E625" s="1418"/>
      <c r="F625" s="1418"/>
      <c r="H625" s="2727">
        <f>'Part V-Revenues &amp; Expenses'!H187</f>
        <v>0</v>
      </c>
      <c r="I625" s="2727">
        <f>'Part V-Revenues &amp; Expenses'!I187</f>
        <v>0</v>
      </c>
      <c r="J625" s="2727">
        <f>'Part V-Revenues &amp; Expenses'!J187</f>
        <v>0</v>
      </c>
      <c r="K625" s="2727">
        <f>'Part V-Revenues &amp; Expenses'!K187</f>
        <v>0</v>
      </c>
      <c r="L625" s="2727">
        <f>'Part V-Revenues &amp; Expenses'!L187</f>
        <v>0</v>
      </c>
      <c r="M625" s="2727">
        <f>'Part V-Revenues &amp; Expenses'!M187</f>
        <v>0</v>
      </c>
      <c r="N625" s="2727">
        <f>'Part V-Revenues &amp; Expenses'!N187</f>
        <v>0</v>
      </c>
      <c r="O625" s="2727">
        <f>'Part V-Revenues &amp; Expenses'!O187</f>
        <v>0</v>
      </c>
      <c r="P625" s="2727">
        <f>'Part V-Revenues &amp; Expenses'!P187</f>
        <v>0</v>
      </c>
      <c r="Q625" s="2727">
        <f>'Part V-Revenues &amp; Expenses'!Q187</f>
        <v>0</v>
      </c>
      <c r="R625" s="2719"/>
      <c r="S625" s="2675"/>
      <c r="T625" s="2675"/>
      <c r="U625" s="2675"/>
      <c r="V625" s="2675"/>
      <c r="W625" s="2675"/>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5" customHeight="1">
      <c r="B626" s="1418" t="s">
        <v>689</v>
      </c>
      <c r="C626" s="1418">
        <f>'Part V-Revenues &amp; Expenses'!C188</f>
        <v>0</v>
      </c>
      <c r="D626" s="1418"/>
      <c r="E626" s="1418"/>
      <c r="F626" s="1418"/>
      <c r="H626" s="2727">
        <f>'Part V-Revenues &amp; Expenses'!H188</f>
        <v>0</v>
      </c>
      <c r="I626" s="2727">
        <f>'Part V-Revenues &amp; Expenses'!I188</f>
        <v>0</v>
      </c>
      <c r="J626" s="2727">
        <f>'Part V-Revenues &amp; Expenses'!J188</f>
        <v>0</v>
      </c>
      <c r="K626" s="2727">
        <f>'Part V-Revenues &amp; Expenses'!K188</f>
        <v>0</v>
      </c>
      <c r="L626" s="2727">
        <f>'Part V-Revenues &amp; Expenses'!L188</f>
        <v>0</v>
      </c>
      <c r="M626" s="2727">
        <f>'Part V-Revenues &amp; Expenses'!M188</f>
        <v>0</v>
      </c>
      <c r="N626" s="2727">
        <f>'Part V-Revenues &amp; Expenses'!N188</f>
        <v>0</v>
      </c>
      <c r="O626" s="2727">
        <f>'Part V-Revenues &amp; Expenses'!O188</f>
        <v>0</v>
      </c>
      <c r="P626" s="2727">
        <f>'Part V-Revenues &amp; Expenses'!P188</f>
        <v>0</v>
      </c>
      <c r="Q626" s="2727">
        <f>'Part V-Revenues &amp; Expenses'!Q188</f>
        <v>0</v>
      </c>
      <c r="R626" s="2719"/>
      <c r="S626" s="2675"/>
      <c r="T626" s="2675"/>
      <c r="U626" s="2675"/>
      <c r="V626" s="2675"/>
      <c r="W626" s="2675"/>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5" customHeight="1">
      <c r="B627" s="1418"/>
      <c r="C627" s="1418" t="s">
        <v>869</v>
      </c>
      <c r="D627" s="1418"/>
      <c r="E627" s="1418"/>
      <c r="F627" s="1418"/>
      <c r="H627" s="2728">
        <f>SUM(H625:H626)</f>
        <v>0</v>
      </c>
      <c r="I627" s="2728">
        <f>SUM(I625:I626)</f>
        <v>0</v>
      </c>
      <c r="J627" s="2728">
        <f t="shared" ref="J627:Q627" si="369">SUM(J625:J626)</f>
        <v>0</v>
      </c>
      <c r="K627" s="2728">
        <f t="shared" si="369"/>
        <v>0</v>
      </c>
      <c r="L627" s="2728">
        <f t="shared" si="369"/>
        <v>0</v>
      </c>
      <c r="M627" s="2728">
        <f t="shared" si="369"/>
        <v>0</v>
      </c>
      <c r="N627" s="2728">
        <f t="shared" si="369"/>
        <v>0</v>
      </c>
      <c r="O627" s="2728">
        <f t="shared" si="369"/>
        <v>0</v>
      </c>
      <c r="P627" s="2728">
        <f t="shared" si="369"/>
        <v>0</v>
      </c>
      <c r="Q627" s="2728">
        <f t="shared" si="369"/>
        <v>0</v>
      </c>
      <c r="R627" s="362"/>
      <c r="S627" s="2675"/>
      <c r="T627" s="2675"/>
      <c r="U627" s="2675"/>
      <c r="V627" s="2675"/>
      <c r="W627" s="2675"/>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5" customHeight="1">
      <c r="B628" s="2724" t="s">
        <v>5104</v>
      </c>
      <c r="C628" s="359"/>
      <c r="D628" s="359"/>
      <c r="E628" s="359"/>
      <c r="F628" s="359"/>
      <c r="H628" s="2729"/>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5" customHeight="1">
      <c r="B629" s="1418" t="s">
        <v>497</v>
      </c>
      <c r="C629" s="1418"/>
      <c r="D629" s="1418"/>
      <c r="E629" s="1418"/>
      <c r="F629" s="1418"/>
      <c r="H629" s="2727">
        <f>'Part V-Revenues &amp; Expenses'!H191</f>
        <v>0</v>
      </c>
      <c r="I629" s="2727">
        <f>'Part V-Revenues &amp; Expenses'!I191</f>
        <v>0</v>
      </c>
      <c r="J629" s="2727">
        <f>'Part V-Revenues &amp; Expenses'!J191</f>
        <v>0</v>
      </c>
      <c r="K629" s="2727">
        <f>'Part V-Revenues &amp; Expenses'!K191</f>
        <v>0</v>
      </c>
      <c r="L629" s="2727">
        <f>'Part V-Revenues &amp; Expenses'!L191</f>
        <v>0</v>
      </c>
      <c r="M629" s="2727">
        <f>'Part V-Revenues &amp; Expenses'!M191</f>
        <v>0</v>
      </c>
      <c r="N629" s="2727">
        <f>'Part V-Revenues &amp; Expenses'!N191</f>
        <v>0</v>
      </c>
      <c r="O629" s="2727">
        <f>'Part V-Revenues &amp; Expenses'!O191</f>
        <v>0</v>
      </c>
      <c r="P629" s="2727">
        <f>'Part V-Revenues &amp; Expenses'!P191</f>
        <v>0</v>
      </c>
      <c r="Q629" s="2727">
        <f>'Part V-Revenues &amp; Expenses'!Q191</f>
        <v>0</v>
      </c>
      <c r="R629" s="2719"/>
      <c r="S629" s="2675"/>
      <c r="T629" s="2675"/>
      <c r="U629" s="2675"/>
      <c r="V629" s="2675"/>
      <c r="W629" s="2675"/>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5" customHeight="1">
      <c r="B630" s="1418" t="s">
        <v>689</v>
      </c>
      <c r="C630" s="1418">
        <f>'Part V-Revenues &amp; Expenses'!C192</f>
        <v>0</v>
      </c>
      <c r="D630" s="1418"/>
      <c r="E630" s="1418"/>
      <c r="F630" s="1418"/>
      <c r="H630" s="2727">
        <f>'Part V-Revenues &amp; Expenses'!H192</f>
        <v>0</v>
      </c>
      <c r="I630" s="2727">
        <f>'Part V-Revenues &amp; Expenses'!I192</f>
        <v>0</v>
      </c>
      <c r="J630" s="2727">
        <f>'Part V-Revenues &amp; Expenses'!J192</f>
        <v>0</v>
      </c>
      <c r="K630" s="2727">
        <f>'Part V-Revenues &amp; Expenses'!K192</f>
        <v>0</v>
      </c>
      <c r="L630" s="2727">
        <f>'Part V-Revenues &amp; Expenses'!L192</f>
        <v>0</v>
      </c>
      <c r="M630" s="2727">
        <f>'Part V-Revenues &amp; Expenses'!M192</f>
        <v>0</v>
      </c>
      <c r="N630" s="2727">
        <f>'Part V-Revenues &amp; Expenses'!N192</f>
        <v>0</v>
      </c>
      <c r="O630" s="2727">
        <f>'Part V-Revenues &amp; Expenses'!O192</f>
        <v>0</v>
      </c>
      <c r="P630" s="2727">
        <f>'Part V-Revenues &amp; Expenses'!P192</f>
        <v>0</v>
      </c>
      <c r="Q630" s="2727">
        <f>'Part V-Revenues &amp; Expenses'!Q192</f>
        <v>0</v>
      </c>
      <c r="R630" s="2719"/>
      <c r="S630" s="2675"/>
      <c r="T630" s="2675"/>
      <c r="U630" s="2675"/>
      <c r="V630" s="2675"/>
      <c r="W630" s="2675"/>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5" customHeight="1">
      <c r="B631" s="1418"/>
      <c r="C631" s="1418" t="s">
        <v>5105</v>
      </c>
      <c r="D631" s="1418"/>
      <c r="E631" s="1418"/>
      <c r="F631" s="1418"/>
      <c r="H631" s="2728">
        <f>SUM(H629:H630)</f>
        <v>0</v>
      </c>
      <c r="I631" s="2728">
        <f>SUM(I629:I630)</f>
        <v>0</v>
      </c>
      <c r="J631" s="2728">
        <f t="shared" ref="J631:Q631" si="370">SUM(J629:J630)</f>
        <v>0</v>
      </c>
      <c r="K631" s="2728">
        <f t="shared" si="370"/>
        <v>0</v>
      </c>
      <c r="L631" s="2728">
        <f t="shared" si="370"/>
        <v>0</v>
      </c>
      <c r="M631" s="2728">
        <f t="shared" si="370"/>
        <v>0</v>
      </c>
      <c r="N631" s="2728">
        <f t="shared" si="370"/>
        <v>0</v>
      </c>
      <c r="O631" s="2728">
        <f t="shared" si="370"/>
        <v>0</v>
      </c>
      <c r="P631" s="2728">
        <f t="shared" si="370"/>
        <v>0</v>
      </c>
      <c r="Q631" s="2728">
        <f t="shared" si="370"/>
        <v>0</v>
      </c>
      <c r="R631" s="362"/>
      <c r="S631" s="2675"/>
      <c r="T631" s="2675"/>
      <c r="U631" s="2675"/>
      <c r="V631" s="2675"/>
      <c r="W631" s="2675"/>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5" customHeight="1">
      <c r="B632" s="2652"/>
      <c r="C632" s="359"/>
      <c r="D632" s="359"/>
      <c r="E632" s="359"/>
      <c r="F632" s="359"/>
      <c r="H632" s="2729"/>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5" customHeight="1">
      <c r="B633" s="2724" t="s">
        <v>2106</v>
      </c>
      <c r="C633" s="359"/>
      <c r="D633" s="359"/>
      <c r="E633" s="359"/>
      <c r="F633" s="359"/>
      <c r="H633" s="2725">
        <v>11</v>
      </c>
      <c r="I633" s="2725">
        <v>12</v>
      </c>
      <c r="J633" s="2725">
        <v>13</v>
      </c>
      <c r="K633" s="2725">
        <v>14</v>
      </c>
      <c r="L633" s="2725">
        <v>15</v>
      </c>
      <c r="M633" s="2725">
        <v>16</v>
      </c>
      <c r="N633" s="2725">
        <v>17</v>
      </c>
      <c r="O633" s="2725">
        <v>18</v>
      </c>
      <c r="P633" s="2725">
        <v>19</v>
      </c>
      <c r="Q633" s="2725">
        <v>20</v>
      </c>
      <c r="S633" s="2677"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5" customHeight="1">
      <c r="B634" s="1418" t="s">
        <v>952</v>
      </c>
      <c r="C634" s="1418"/>
      <c r="D634" s="1418"/>
      <c r="E634" s="1418"/>
      <c r="F634" s="1418"/>
      <c r="H634" s="2727">
        <f>'Part V-Revenues &amp; Expenses'!H196</f>
        <v>0</v>
      </c>
      <c r="I634" s="2727">
        <f>'Part V-Revenues &amp; Expenses'!I196</f>
        <v>0</v>
      </c>
      <c r="J634" s="2727">
        <f>'Part V-Revenues &amp; Expenses'!J196</f>
        <v>0</v>
      </c>
      <c r="K634" s="2727">
        <f>'Part V-Revenues &amp; Expenses'!K196</f>
        <v>0</v>
      </c>
      <c r="L634" s="2727">
        <f>'Part V-Revenues &amp; Expenses'!L196</f>
        <v>0</v>
      </c>
      <c r="M634" s="2727">
        <f>'Part V-Revenues &amp; Expenses'!M196</f>
        <v>0</v>
      </c>
      <c r="N634" s="2727">
        <f>'Part V-Revenues &amp; Expenses'!N196</f>
        <v>0</v>
      </c>
      <c r="O634" s="2727">
        <f>'Part V-Revenues &amp; Expenses'!O196</f>
        <v>0</v>
      </c>
      <c r="P634" s="2727">
        <f>'Part V-Revenues &amp; Expenses'!P196</f>
        <v>0</v>
      </c>
      <c r="Q634" s="2727">
        <f>'Part V-Revenues &amp; Expenses'!Q196</f>
        <v>0</v>
      </c>
      <c r="R634" s="2719"/>
      <c r="S634" s="2675"/>
      <c r="T634" s="2675"/>
      <c r="U634" s="2675"/>
      <c r="V634" s="2675"/>
      <c r="W634" s="2675"/>
    </row>
    <row r="635" spans="2:380" ht="15.65" customHeight="1">
      <c r="B635" s="1418" t="s">
        <v>689</v>
      </c>
      <c r="C635" s="1418">
        <f>'Part V-Revenues &amp; Expenses'!C197</f>
        <v>0</v>
      </c>
      <c r="D635" s="1418"/>
      <c r="E635" s="1418"/>
      <c r="F635" s="1418"/>
      <c r="H635" s="2727">
        <f>'Part V-Revenues &amp; Expenses'!H197</f>
        <v>0</v>
      </c>
      <c r="I635" s="2727">
        <f>'Part V-Revenues &amp; Expenses'!I197</f>
        <v>0</v>
      </c>
      <c r="J635" s="2727">
        <f>'Part V-Revenues &amp; Expenses'!J197</f>
        <v>0</v>
      </c>
      <c r="K635" s="2727">
        <f>'Part V-Revenues &amp; Expenses'!K197</f>
        <v>0</v>
      </c>
      <c r="L635" s="2727">
        <f>'Part V-Revenues &amp; Expenses'!L197</f>
        <v>0</v>
      </c>
      <c r="M635" s="2727">
        <f>'Part V-Revenues &amp; Expenses'!M197</f>
        <v>0</v>
      </c>
      <c r="N635" s="2727">
        <f>'Part V-Revenues &amp; Expenses'!N197</f>
        <v>0</v>
      </c>
      <c r="O635" s="2727">
        <f>'Part V-Revenues &amp; Expenses'!O197</f>
        <v>0</v>
      </c>
      <c r="P635" s="2727">
        <f>'Part V-Revenues &amp; Expenses'!P197</f>
        <v>0</v>
      </c>
      <c r="Q635" s="2727">
        <f>'Part V-Revenues &amp; Expenses'!Q197</f>
        <v>0</v>
      </c>
      <c r="R635" s="2719"/>
      <c r="S635" s="2675"/>
      <c r="T635" s="2675"/>
      <c r="U635" s="2675"/>
      <c r="V635" s="2675"/>
      <c r="W635" s="2675"/>
    </row>
    <row r="636" spans="2:380" ht="15.65" customHeight="1">
      <c r="B636" s="1418"/>
      <c r="C636" s="1418" t="s">
        <v>869</v>
      </c>
      <c r="D636" s="1418"/>
      <c r="E636" s="1418"/>
      <c r="F636" s="1418"/>
      <c r="H636" s="2728">
        <f>SUM(H634:H635)</f>
        <v>0</v>
      </c>
      <c r="I636" s="2728">
        <f>SUM(I634:I635)</f>
        <v>0</v>
      </c>
      <c r="J636" s="2728">
        <f t="shared" ref="J636:Q636" si="371">SUM(J634:J635)</f>
        <v>0</v>
      </c>
      <c r="K636" s="2728">
        <f t="shared" si="371"/>
        <v>0</v>
      </c>
      <c r="L636" s="2728">
        <f t="shared" si="371"/>
        <v>0</v>
      </c>
      <c r="M636" s="2728">
        <f t="shared" si="371"/>
        <v>0</v>
      </c>
      <c r="N636" s="2728">
        <f t="shared" si="371"/>
        <v>0</v>
      </c>
      <c r="O636" s="2728">
        <f t="shared" si="371"/>
        <v>0</v>
      </c>
      <c r="P636" s="2728">
        <f t="shared" si="371"/>
        <v>0</v>
      </c>
      <c r="Q636" s="2728">
        <f t="shared" si="371"/>
        <v>0</v>
      </c>
      <c r="R636" s="362"/>
      <c r="S636" s="2675"/>
      <c r="T636" s="2675"/>
      <c r="U636" s="2675"/>
      <c r="V636" s="2675"/>
      <c r="W636" s="2675"/>
    </row>
    <row r="637" spans="2:380" ht="15.65" customHeight="1">
      <c r="B637" s="2724" t="s">
        <v>5104</v>
      </c>
      <c r="C637" s="359"/>
      <c r="D637" s="359"/>
      <c r="E637" s="359"/>
      <c r="F637" s="359"/>
      <c r="H637" s="2729"/>
      <c r="I637" s="359"/>
      <c r="J637" s="359"/>
      <c r="K637" s="359"/>
      <c r="L637" s="359"/>
      <c r="M637" s="359"/>
      <c r="N637" s="359"/>
      <c r="O637" s="359"/>
      <c r="P637" s="359"/>
      <c r="Q637" s="359"/>
      <c r="S637" s="358" t="str">
        <f>B637</f>
        <v>NOT Included in Mgt Fee:</v>
      </c>
    </row>
    <row r="638" spans="2:380" ht="15.65" customHeight="1">
      <c r="B638" s="1418" t="s">
        <v>497</v>
      </c>
      <c r="C638" s="1418"/>
      <c r="D638" s="1418"/>
      <c r="E638" s="1418"/>
      <c r="F638" s="1418"/>
      <c r="H638" s="2727">
        <f>'Part V-Revenues &amp; Expenses'!H200</f>
        <v>0</v>
      </c>
      <c r="I638" s="2727">
        <f>'Part V-Revenues &amp; Expenses'!I200</f>
        <v>0</v>
      </c>
      <c r="J638" s="2727">
        <f>'Part V-Revenues &amp; Expenses'!J200</f>
        <v>0</v>
      </c>
      <c r="K638" s="2727">
        <f>'Part V-Revenues &amp; Expenses'!K200</f>
        <v>0</v>
      </c>
      <c r="L638" s="2727">
        <f>'Part V-Revenues &amp; Expenses'!L200</f>
        <v>0</v>
      </c>
      <c r="M638" s="2727">
        <f>'Part V-Revenues &amp; Expenses'!M200</f>
        <v>0</v>
      </c>
      <c r="N638" s="2727">
        <f>'Part V-Revenues &amp; Expenses'!N200</f>
        <v>0</v>
      </c>
      <c r="O638" s="2727">
        <f>'Part V-Revenues &amp; Expenses'!O200</f>
        <v>0</v>
      </c>
      <c r="P638" s="2727">
        <f>'Part V-Revenues &amp; Expenses'!P200</f>
        <v>0</v>
      </c>
      <c r="Q638" s="2727">
        <f>'Part V-Revenues &amp; Expenses'!Q200</f>
        <v>0</v>
      </c>
      <c r="R638" s="2719"/>
      <c r="S638" s="2675"/>
      <c r="T638" s="2675"/>
      <c r="U638" s="2675"/>
      <c r="V638" s="2675"/>
      <c r="W638" s="2675"/>
    </row>
    <row r="639" spans="2:380" ht="15.65" customHeight="1">
      <c r="B639" s="1418" t="s">
        <v>689</v>
      </c>
      <c r="C639" s="1418">
        <f>'Part V-Revenues &amp; Expenses'!C201</f>
        <v>0</v>
      </c>
      <c r="D639" s="1418"/>
      <c r="E639" s="1418"/>
      <c r="F639" s="1418"/>
      <c r="H639" s="2727">
        <f>'Part V-Revenues &amp; Expenses'!H201</f>
        <v>0</v>
      </c>
      <c r="I639" s="2727">
        <f>'Part V-Revenues &amp; Expenses'!I201</f>
        <v>0</v>
      </c>
      <c r="J639" s="2727">
        <f>'Part V-Revenues &amp; Expenses'!J201</f>
        <v>0</v>
      </c>
      <c r="K639" s="2727">
        <f>'Part V-Revenues &amp; Expenses'!K201</f>
        <v>0</v>
      </c>
      <c r="L639" s="2727">
        <f>'Part V-Revenues &amp; Expenses'!L201</f>
        <v>0</v>
      </c>
      <c r="M639" s="2727">
        <f>'Part V-Revenues &amp; Expenses'!M201</f>
        <v>0</v>
      </c>
      <c r="N639" s="2727">
        <f>'Part V-Revenues &amp; Expenses'!N201</f>
        <v>0</v>
      </c>
      <c r="O639" s="2727">
        <f>'Part V-Revenues &amp; Expenses'!O201</f>
        <v>0</v>
      </c>
      <c r="P639" s="2727">
        <f>'Part V-Revenues &amp; Expenses'!P201</f>
        <v>0</v>
      </c>
      <c r="Q639" s="2727">
        <f>'Part V-Revenues &amp; Expenses'!Q201</f>
        <v>0</v>
      </c>
      <c r="R639" s="2719"/>
      <c r="S639" s="2675"/>
      <c r="T639" s="2675"/>
      <c r="U639" s="2675"/>
      <c r="V639" s="2675"/>
      <c r="W639" s="2675"/>
    </row>
    <row r="640" spans="2:380" ht="15.65" customHeight="1">
      <c r="B640" s="1418"/>
      <c r="C640" s="1418" t="s">
        <v>5105</v>
      </c>
      <c r="D640" s="1418"/>
      <c r="E640" s="1418"/>
      <c r="F640" s="1418"/>
      <c r="H640" s="2728">
        <f>SUM(H638:H639)</f>
        <v>0</v>
      </c>
      <c r="I640" s="2728">
        <f>SUM(I638:I639)</f>
        <v>0</v>
      </c>
      <c r="J640" s="2728">
        <f t="shared" ref="J640:Q640" si="372">SUM(J638:J639)</f>
        <v>0</v>
      </c>
      <c r="K640" s="2728">
        <f t="shared" si="372"/>
        <v>0</v>
      </c>
      <c r="L640" s="2728">
        <f t="shared" si="372"/>
        <v>0</v>
      </c>
      <c r="M640" s="2728">
        <f t="shared" si="372"/>
        <v>0</v>
      </c>
      <c r="N640" s="2728">
        <f t="shared" si="372"/>
        <v>0</v>
      </c>
      <c r="O640" s="2728">
        <f t="shared" si="372"/>
        <v>0</v>
      </c>
      <c r="P640" s="2728">
        <f t="shared" si="372"/>
        <v>0</v>
      </c>
      <c r="Q640" s="2728">
        <f t="shared" si="372"/>
        <v>0</v>
      </c>
      <c r="R640" s="362"/>
      <c r="S640" s="2675"/>
      <c r="T640" s="2675"/>
      <c r="U640" s="2675"/>
      <c r="V640" s="2675"/>
      <c r="W640" s="2675"/>
    </row>
    <row r="641" spans="2:343" ht="15.65" customHeight="1">
      <c r="B641" s="2652"/>
      <c r="C641" s="359"/>
      <c r="D641" s="359"/>
      <c r="E641" s="359"/>
      <c r="F641" s="359"/>
      <c r="H641" s="2729"/>
      <c r="I641" s="359"/>
      <c r="J641" s="359"/>
      <c r="K641" s="359"/>
      <c r="L641" s="359"/>
      <c r="M641" s="359"/>
      <c r="N641" s="359"/>
      <c r="O641" s="359"/>
      <c r="P641" s="359"/>
      <c r="Q641" s="359"/>
    </row>
    <row r="642" spans="2:343" ht="15.65" customHeight="1">
      <c r="B642" s="2724" t="s">
        <v>2106</v>
      </c>
      <c r="C642" s="359"/>
      <c r="D642" s="359"/>
      <c r="E642" s="359"/>
      <c r="F642" s="359"/>
      <c r="H642" s="2725">
        <v>21</v>
      </c>
      <c r="I642" s="2725">
        <v>22</v>
      </c>
      <c r="J642" s="2725">
        <v>23</v>
      </c>
      <c r="K642" s="2725">
        <v>24</v>
      </c>
      <c r="L642" s="2725">
        <v>25</v>
      </c>
      <c r="M642" s="2725">
        <v>26</v>
      </c>
      <c r="N642" s="2725">
        <v>27</v>
      </c>
      <c r="O642" s="2725">
        <v>28</v>
      </c>
      <c r="P642" s="2725">
        <v>29</v>
      </c>
      <c r="Q642" s="2725">
        <v>30</v>
      </c>
      <c r="R642" s="2726"/>
      <c r="S642" s="2677" t="s">
        <v>2403</v>
      </c>
      <c r="T642" s="358" t="str">
        <f>B642</f>
        <v>Included in Mgt Fee:</v>
      </c>
    </row>
    <row r="643" spans="2:343" ht="15.65" customHeight="1">
      <c r="B643" s="1418" t="s">
        <v>952</v>
      </c>
      <c r="C643" s="1418"/>
      <c r="D643" s="1418"/>
      <c r="E643" s="1418"/>
      <c r="F643" s="1418"/>
      <c r="H643" s="2727">
        <f>'Part V-Revenues &amp; Expenses'!H205</f>
        <v>0</v>
      </c>
      <c r="I643" s="2727">
        <f>'Part V-Revenues &amp; Expenses'!I205</f>
        <v>0</v>
      </c>
      <c r="J643" s="2727">
        <f>'Part V-Revenues &amp; Expenses'!J205</f>
        <v>0</v>
      </c>
      <c r="K643" s="2727">
        <f>'Part V-Revenues &amp; Expenses'!K205</f>
        <v>0</v>
      </c>
      <c r="L643" s="2727">
        <f>'Part V-Revenues &amp; Expenses'!L205</f>
        <v>0</v>
      </c>
      <c r="M643" s="2727">
        <f>'Part V-Revenues &amp; Expenses'!M205</f>
        <v>0</v>
      </c>
      <c r="N643" s="2727">
        <f>'Part V-Revenues &amp; Expenses'!N205</f>
        <v>0</v>
      </c>
      <c r="O643" s="2727">
        <f>'Part V-Revenues &amp; Expenses'!O205</f>
        <v>0</v>
      </c>
      <c r="P643" s="2727">
        <f>'Part V-Revenues &amp; Expenses'!P205</f>
        <v>0</v>
      </c>
      <c r="Q643" s="2727">
        <f>'Part V-Revenues &amp; Expenses'!Q205</f>
        <v>0</v>
      </c>
      <c r="R643" s="2719"/>
      <c r="S643" s="2675"/>
      <c r="T643" s="2675"/>
      <c r="U643" s="2675"/>
      <c r="V643" s="2675"/>
      <c r="W643" s="2675"/>
    </row>
    <row r="644" spans="2:343" ht="15.65" customHeight="1">
      <c r="B644" s="1418" t="s">
        <v>689</v>
      </c>
      <c r="C644" s="1418">
        <f>'Part V-Revenues &amp; Expenses'!C206</f>
        <v>0</v>
      </c>
      <c r="D644" s="1418"/>
      <c r="E644" s="1418"/>
      <c r="F644" s="1418"/>
      <c r="H644" s="2727">
        <f>'Part V-Revenues &amp; Expenses'!H206</f>
        <v>0</v>
      </c>
      <c r="I644" s="2727">
        <f>'Part V-Revenues &amp; Expenses'!I206</f>
        <v>0</v>
      </c>
      <c r="J644" s="2727">
        <f>'Part V-Revenues &amp; Expenses'!J206</f>
        <v>0</v>
      </c>
      <c r="K644" s="2727">
        <f>'Part V-Revenues &amp; Expenses'!K206</f>
        <v>0</v>
      </c>
      <c r="L644" s="2727">
        <f>'Part V-Revenues &amp; Expenses'!L206</f>
        <v>0</v>
      </c>
      <c r="M644" s="2727">
        <f>'Part V-Revenues &amp; Expenses'!M206</f>
        <v>0</v>
      </c>
      <c r="N644" s="2727">
        <f>'Part V-Revenues &amp; Expenses'!N206</f>
        <v>0</v>
      </c>
      <c r="O644" s="2727">
        <f>'Part V-Revenues &amp; Expenses'!O206</f>
        <v>0</v>
      </c>
      <c r="P644" s="2727">
        <f>'Part V-Revenues &amp; Expenses'!P206</f>
        <v>0</v>
      </c>
      <c r="Q644" s="2727">
        <f>'Part V-Revenues &amp; Expenses'!Q206</f>
        <v>0</v>
      </c>
      <c r="R644" s="2719"/>
      <c r="S644" s="2675"/>
      <c r="T644" s="2675"/>
      <c r="U644" s="2675"/>
      <c r="V644" s="2675"/>
      <c r="W644" s="2675"/>
    </row>
    <row r="645" spans="2:343" ht="15.65" customHeight="1">
      <c r="B645" s="1418"/>
      <c r="C645" s="1418" t="s">
        <v>869</v>
      </c>
      <c r="D645" s="1418"/>
      <c r="E645" s="1418"/>
      <c r="F645" s="1418"/>
      <c r="H645" s="2728">
        <f>SUM(H643:H644)</f>
        <v>0</v>
      </c>
      <c r="I645" s="2728">
        <f>SUM(I643:I644)</f>
        <v>0</v>
      </c>
      <c r="J645" s="2728">
        <f t="shared" ref="J645:Q645" si="373">SUM(J643:J644)</f>
        <v>0</v>
      </c>
      <c r="K645" s="2728">
        <f t="shared" si="373"/>
        <v>0</v>
      </c>
      <c r="L645" s="2728">
        <f t="shared" si="373"/>
        <v>0</v>
      </c>
      <c r="M645" s="2728">
        <f t="shared" si="373"/>
        <v>0</v>
      </c>
      <c r="N645" s="2728">
        <f t="shared" si="373"/>
        <v>0</v>
      </c>
      <c r="O645" s="2728">
        <f t="shared" si="373"/>
        <v>0</v>
      </c>
      <c r="P645" s="2728">
        <f t="shared" si="373"/>
        <v>0</v>
      </c>
      <c r="Q645" s="2728">
        <f t="shared" si="373"/>
        <v>0</v>
      </c>
      <c r="R645" s="362"/>
      <c r="S645" s="2675"/>
      <c r="T645" s="2675"/>
      <c r="U645" s="2675"/>
      <c r="V645" s="2675"/>
      <c r="W645" s="2675"/>
    </row>
    <row r="646" spans="2:343" ht="15.65" customHeight="1">
      <c r="B646" s="2724" t="s">
        <v>5104</v>
      </c>
      <c r="C646" s="359"/>
      <c r="D646" s="359"/>
      <c r="E646" s="359"/>
      <c r="F646" s="359"/>
      <c r="H646" s="2729"/>
      <c r="I646" s="359"/>
      <c r="J646" s="359"/>
      <c r="K646" s="359"/>
      <c r="L646" s="359"/>
      <c r="M646" s="359"/>
      <c r="N646" s="359"/>
      <c r="O646" s="359"/>
      <c r="P646" s="359"/>
      <c r="Q646" s="359"/>
      <c r="S646" s="358" t="str">
        <f>B646</f>
        <v>NOT Included in Mgt Fee:</v>
      </c>
    </row>
    <row r="647" spans="2:343" ht="15.65" customHeight="1">
      <c r="B647" s="1418" t="s">
        <v>497</v>
      </c>
      <c r="C647" s="1418"/>
      <c r="D647" s="1418"/>
      <c r="E647" s="1418"/>
      <c r="F647" s="1418"/>
      <c r="H647" s="2727">
        <f>'Part V-Revenues &amp; Expenses'!H209</f>
        <v>0</v>
      </c>
      <c r="I647" s="2727">
        <f>'Part V-Revenues &amp; Expenses'!I209</f>
        <v>0</v>
      </c>
      <c r="J647" s="2727">
        <f>'Part V-Revenues &amp; Expenses'!J209</f>
        <v>0</v>
      </c>
      <c r="K647" s="2727">
        <f>'Part V-Revenues &amp; Expenses'!K209</f>
        <v>0</v>
      </c>
      <c r="L647" s="2727">
        <f>'Part V-Revenues &amp; Expenses'!L209</f>
        <v>0</v>
      </c>
      <c r="M647" s="2727">
        <f>'Part V-Revenues &amp; Expenses'!M209</f>
        <v>0</v>
      </c>
      <c r="N647" s="2727">
        <f>'Part V-Revenues &amp; Expenses'!N209</f>
        <v>0</v>
      </c>
      <c r="O647" s="2727">
        <f>'Part V-Revenues &amp; Expenses'!O209</f>
        <v>0</v>
      </c>
      <c r="P647" s="2727">
        <f>'Part V-Revenues &amp; Expenses'!P209</f>
        <v>0</v>
      </c>
      <c r="Q647" s="2727">
        <f>'Part V-Revenues &amp; Expenses'!Q209</f>
        <v>0</v>
      </c>
      <c r="R647" s="2719"/>
      <c r="S647" s="2675"/>
      <c r="T647" s="2675"/>
      <c r="U647" s="2675"/>
      <c r="V647" s="2675"/>
      <c r="W647" s="2675"/>
    </row>
    <row r="648" spans="2:343" ht="15.65" customHeight="1">
      <c r="B648" s="1418" t="s">
        <v>689</v>
      </c>
      <c r="C648" s="1418">
        <f>'Part V-Revenues &amp; Expenses'!C210</f>
        <v>0</v>
      </c>
      <c r="D648" s="1418"/>
      <c r="E648" s="1418"/>
      <c r="F648" s="1418"/>
      <c r="H648" s="2727">
        <f>'Part V-Revenues &amp; Expenses'!H210</f>
        <v>0</v>
      </c>
      <c r="I648" s="2727">
        <f>'Part V-Revenues &amp; Expenses'!I210</f>
        <v>0</v>
      </c>
      <c r="J648" s="2727">
        <f>'Part V-Revenues &amp; Expenses'!J210</f>
        <v>0</v>
      </c>
      <c r="K648" s="2727">
        <f>'Part V-Revenues &amp; Expenses'!K210</f>
        <v>0</v>
      </c>
      <c r="L648" s="2727">
        <f>'Part V-Revenues &amp; Expenses'!L210</f>
        <v>0</v>
      </c>
      <c r="M648" s="2727">
        <f>'Part V-Revenues &amp; Expenses'!M210</f>
        <v>0</v>
      </c>
      <c r="N648" s="2727">
        <f>'Part V-Revenues &amp; Expenses'!N210</f>
        <v>0</v>
      </c>
      <c r="O648" s="2727">
        <f>'Part V-Revenues &amp; Expenses'!O210</f>
        <v>0</v>
      </c>
      <c r="P648" s="2727">
        <f>'Part V-Revenues &amp; Expenses'!P210</f>
        <v>0</v>
      </c>
      <c r="Q648" s="2727">
        <f>'Part V-Revenues &amp; Expenses'!Q210</f>
        <v>0</v>
      </c>
      <c r="R648" s="2719"/>
      <c r="S648" s="2675"/>
      <c r="T648" s="2675"/>
      <c r="U648" s="2675"/>
      <c r="V648" s="2675"/>
      <c r="W648" s="2675"/>
    </row>
    <row r="649" spans="2:343" ht="15.65" customHeight="1">
      <c r="B649" s="1418"/>
      <c r="C649" s="1418" t="s">
        <v>5105</v>
      </c>
      <c r="D649" s="1418"/>
      <c r="E649" s="1418"/>
      <c r="F649" s="1418"/>
      <c r="H649" s="2728">
        <f>SUM(H647:H648)</f>
        <v>0</v>
      </c>
      <c r="I649" s="2728">
        <f>SUM(I647:I648)</f>
        <v>0</v>
      </c>
      <c r="J649" s="2728">
        <f t="shared" ref="J649:Q649" si="374">SUM(J647:J648)</f>
        <v>0</v>
      </c>
      <c r="K649" s="2728">
        <f t="shared" si="374"/>
        <v>0</v>
      </c>
      <c r="L649" s="2728">
        <f t="shared" si="374"/>
        <v>0</v>
      </c>
      <c r="M649" s="2728">
        <f t="shared" si="374"/>
        <v>0</v>
      </c>
      <c r="N649" s="2728">
        <f t="shared" si="374"/>
        <v>0</v>
      </c>
      <c r="O649" s="2728">
        <f t="shared" si="374"/>
        <v>0</v>
      </c>
      <c r="P649" s="2728">
        <f t="shared" si="374"/>
        <v>0</v>
      </c>
      <c r="Q649" s="2728">
        <f t="shared" si="374"/>
        <v>0</v>
      </c>
      <c r="R649" s="362"/>
      <c r="S649" s="2675"/>
      <c r="T649" s="2675"/>
      <c r="U649" s="2675"/>
      <c r="V649" s="2675"/>
      <c r="W649" s="2675"/>
    </row>
    <row r="650" spans="2:343" ht="15.65" customHeight="1">
      <c r="B650" s="2652"/>
      <c r="C650" s="359"/>
      <c r="D650" s="359"/>
      <c r="E650" s="359"/>
      <c r="F650" s="359"/>
      <c r="H650" s="2729"/>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5" customHeight="1">
      <c r="B651" s="2724" t="s">
        <v>2106</v>
      </c>
      <c r="C651" s="359"/>
      <c r="D651" s="359"/>
      <c r="E651" s="359"/>
      <c r="F651" s="359"/>
      <c r="H651" s="2725">
        <v>31</v>
      </c>
      <c r="I651" s="2725">
        <v>32</v>
      </c>
      <c r="J651" s="2725">
        <v>33</v>
      </c>
      <c r="K651" s="2725">
        <v>34</v>
      </c>
      <c r="L651" s="2725">
        <v>35</v>
      </c>
      <c r="M651" s="359"/>
      <c r="N651" s="359"/>
      <c r="O651" s="359"/>
      <c r="P651" s="359"/>
      <c r="Q651" s="359"/>
      <c r="S651" s="2677"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5" customHeight="1">
      <c r="B652" s="1418" t="s">
        <v>952</v>
      </c>
      <c r="C652" s="1418"/>
      <c r="D652" s="1418"/>
      <c r="E652" s="1418"/>
      <c r="F652" s="1418"/>
      <c r="H652" s="2727">
        <f>'Part V-Revenues &amp; Expenses'!H214</f>
        <v>0</v>
      </c>
      <c r="I652" s="2727">
        <f>'Part V-Revenues &amp; Expenses'!I214</f>
        <v>0</v>
      </c>
      <c r="J652" s="2727">
        <f>'Part V-Revenues &amp; Expenses'!J214</f>
        <v>0</v>
      </c>
      <c r="K652" s="2727">
        <f>'Part V-Revenues &amp; Expenses'!K214</f>
        <v>0</v>
      </c>
      <c r="L652" s="2727">
        <f>'Part V-Revenues &amp; Expenses'!L214</f>
        <v>0</v>
      </c>
      <c r="M652" s="359"/>
      <c r="N652" s="359"/>
      <c r="O652" s="359"/>
      <c r="P652" s="359"/>
      <c r="Q652" s="359"/>
      <c r="S652" s="2675"/>
      <c r="T652" s="2675"/>
      <c r="U652" s="2675"/>
      <c r="V652" s="2675"/>
      <c r="W652" s="2675"/>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5" customHeight="1">
      <c r="B653" s="1418" t="s">
        <v>689</v>
      </c>
      <c r="C653" s="1418">
        <f>'Part V-Revenues &amp; Expenses'!C215</f>
        <v>0</v>
      </c>
      <c r="D653" s="1418"/>
      <c r="E653" s="1418"/>
      <c r="F653" s="1418"/>
      <c r="H653" s="2727">
        <f>'Part V-Revenues &amp; Expenses'!H215</f>
        <v>0</v>
      </c>
      <c r="I653" s="2727">
        <f>'Part V-Revenues &amp; Expenses'!I215</f>
        <v>0</v>
      </c>
      <c r="J653" s="2727">
        <f>'Part V-Revenues &amp; Expenses'!J215</f>
        <v>0</v>
      </c>
      <c r="K653" s="2727">
        <f>'Part V-Revenues &amp; Expenses'!K215</f>
        <v>0</v>
      </c>
      <c r="L653" s="2727">
        <f>'Part V-Revenues &amp; Expenses'!L215</f>
        <v>0</v>
      </c>
      <c r="M653" s="359"/>
      <c r="N653" s="359"/>
      <c r="O653" s="359"/>
      <c r="P653" s="359"/>
      <c r="Q653" s="359"/>
      <c r="S653" s="2675"/>
      <c r="T653" s="2675"/>
      <c r="U653" s="2675"/>
      <c r="V653" s="2675"/>
      <c r="W653" s="2675"/>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5" customHeight="1">
      <c r="B654" s="1418"/>
      <c r="C654" s="1418" t="s">
        <v>869</v>
      </c>
      <c r="D654" s="1418"/>
      <c r="E654" s="1418"/>
      <c r="F654" s="1418"/>
      <c r="H654" s="2728">
        <f>SUM(H652:H653)</f>
        <v>0</v>
      </c>
      <c r="I654" s="2728">
        <f>SUM(I652:I653)</f>
        <v>0</v>
      </c>
      <c r="J654" s="2728">
        <f>SUM(J652:J653)</f>
        <v>0</v>
      </c>
      <c r="K654" s="2728">
        <f>SUM(K652:K653)</f>
        <v>0</v>
      </c>
      <c r="L654" s="2728">
        <f>SUM(L652:L653)</f>
        <v>0</v>
      </c>
      <c r="M654" s="359"/>
      <c r="N654" s="359"/>
      <c r="O654" s="359"/>
      <c r="P654" s="359"/>
      <c r="Q654" s="359"/>
      <c r="S654" s="2675"/>
      <c r="T654" s="2675"/>
      <c r="U654" s="2675"/>
      <c r="V654" s="2675"/>
      <c r="W654" s="2675"/>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5" customHeight="1">
      <c r="B655" s="2724" t="s">
        <v>5104</v>
      </c>
      <c r="C655" s="359"/>
      <c r="D655" s="359"/>
      <c r="E655" s="359"/>
      <c r="F655" s="359"/>
      <c r="H655" s="2729"/>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5" customHeight="1">
      <c r="B656" s="1418" t="s">
        <v>497</v>
      </c>
      <c r="C656" s="1418"/>
      <c r="D656" s="1418"/>
      <c r="E656" s="1418"/>
      <c r="F656" s="1418"/>
      <c r="H656" s="2727">
        <f>'Part V-Revenues &amp; Expenses'!H218</f>
        <v>0</v>
      </c>
      <c r="I656" s="2727">
        <f>'Part V-Revenues &amp; Expenses'!I218</f>
        <v>0</v>
      </c>
      <c r="J656" s="2727">
        <f>'Part V-Revenues &amp; Expenses'!J218</f>
        <v>0</v>
      </c>
      <c r="K656" s="2727">
        <f>'Part V-Revenues &amp; Expenses'!K218</f>
        <v>0</v>
      </c>
      <c r="L656" s="2727">
        <f>'Part V-Revenues &amp; Expenses'!L218</f>
        <v>0</v>
      </c>
      <c r="M656" s="359"/>
      <c r="N656" s="359"/>
      <c r="O656" s="359"/>
      <c r="P656" s="359"/>
      <c r="Q656" s="359"/>
      <c r="S656" s="2675"/>
      <c r="T656" s="2675"/>
      <c r="U656" s="2675"/>
      <c r="V656" s="2675"/>
      <c r="W656" s="2675"/>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5" customHeight="1">
      <c r="B657" s="1418" t="s">
        <v>689</v>
      </c>
      <c r="C657" s="1418">
        <f>'Part V-Revenues &amp; Expenses'!C219</f>
        <v>0</v>
      </c>
      <c r="D657" s="1418"/>
      <c r="E657" s="1418"/>
      <c r="F657" s="1418"/>
      <c r="H657" s="2727">
        <f>'Part V-Revenues &amp; Expenses'!H219</f>
        <v>0</v>
      </c>
      <c r="I657" s="2727">
        <f>'Part V-Revenues &amp; Expenses'!I219</f>
        <v>0</v>
      </c>
      <c r="J657" s="2727">
        <f>'Part V-Revenues &amp; Expenses'!J219</f>
        <v>0</v>
      </c>
      <c r="K657" s="2727">
        <f>'Part V-Revenues &amp; Expenses'!K219</f>
        <v>0</v>
      </c>
      <c r="L657" s="2727">
        <f>'Part V-Revenues &amp; Expenses'!L219</f>
        <v>0</v>
      </c>
      <c r="M657" s="359"/>
      <c r="N657" s="359"/>
      <c r="O657" s="359"/>
      <c r="P657" s="359"/>
      <c r="Q657" s="359"/>
      <c r="S657" s="2675"/>
      <c r="T657" s="2675"/>
      <c r="U657" s="2675"/>
      <c r="V657" s="2675"/>
      <c r="W657" s="2675"/>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5" customHeight="1">
      <c r="B658" s="1418"/>
      <c r="C658" s="1418" t="s">
        <v>5105</v>
      </c>
      <c r="D658" s="1418"/>
      <c r="E658" s="1418"/>
      <c r="F658" s="1418"/>
      <c r="H658" s="2728">
        <f>SUM(H656:H657)</f>
        <v>0</v>
      </c>
      <c r="I658" s="2728">
        <f>SUM(I656:I657)</f>
        <v>0</v>
      </c>
      <c r="J658" s="2728">
        <f>SUM(J656:J657)</f>
        <v>0</v>
      </c>
      <c r="K658" s="2728">
        <f>SUM(K656:K657)</f>
        <v>0</v>
      </c>
      <c r="L658" s="2728">
        <f>SUM(L656:L657)</f>
        <v>0</v>
      </c>
      <c r="M658" s="359"/>
      <c r="N658" s="359"/>
      <c r="O658" s="359"/>
      <c r="P658" s="359"/>
      <c r="Q658" s="359"/>
      <c r="S658" s="2675"/>
      <c r="T658" s="2675"/>
      <c r="U658" s="2675"/>
      <c r="V658" s="2675"/>
      <c r="W658" s="2675"/>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30"/>
      <c r="G659" s="2730"/>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1" t="s">
        <v>954</v>
      </c>
      <c r="C660" s="2731"/>
      <c r="D660" s="2731"/>
      <c r="E660" s="2731"/>
      <c r="F660" s="2731"/>
      <c r="G660" s="2731"/>
      <c r="H660" s="2731"/>
      <c r="I660" s="2731"/>
      <c r="J660" s="2731"/>
      <c r="K660" s="2731"/>
      <c r="L660" s="2731"/>
      <c r="N660" s="2732"/>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1"/>
      <c r="C661" s="2731"/>
      <c r="D661" s="2731"/>
      <c r="E661" s="2731"/>
      <c r="F661" s="2731"/>
      <c r="G661" s="2731"/>
      <c r="H661" s="2731"/>
      <c r="I661" s="2731"/>
      <c r="J661" s="2731"/>
      <c r="K661" s="2731"/>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3">
        <f>IF(OR('Part VI-Pro Forma'!$B$22 = "Choose Mgt Fee",'Part VI-Pro Forma'!$B$22 = "Choose One!"), 0,- 'Part VI-Pro Forma'!$B$22)</f>
        <v>0</v>
      </c>
      <c r="S662" s="2675"/>
      <c r="T662" s="2675"/>
      <c r="U662" s="2675"/>
      <c r="V662" s="2675"/>
      <c r="W662" s="2675"/>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4">
        <f>'Part V-Revenues &amp; Expenses'!F225</f>
        <v>0</v>
      </c>
      <c r="G663" s="2714"/>
      <c r="I663" s="358" t="s">
        <v>1298</v>
      </c>
      <c r="L663" s="2714">
        <f>'Part V-Revenues &amp; Expenses'!L225</f>
        <v>0</v>
      </c>
      <c r="M663" s="2714"/>
      <c r="O663" s="2734" t="e">
        <f>+Q662/(P505*0.93)</f>
        <v>#DIV/0!</v>
      </c>
      <c r="P663" s="2693" t="s">
        <v>2478</v>
      </c>
      <c r="R663" s="2719"/>
      <c r="S663" s="2675"/>
      <c r="T663" s="2675"/>
      <c r="U663" s="2675"/>
      <c r="V663" s="2675"/>
      <c r="W663" s="2675"/>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4">
        <f>'Part V-Revenues &amp; Expenses'!F226</f>
        <v>0</v>
      </c>
      <c r="G664" s="2714"/>
      <c r="I664" s="358" t="s">
        <v>1299</v>
      </c>
      <c r="L664" s="2714">
        <f>'Part V-Revenues &amp; Expenses'!L226</f>
        <v>0</v>
      </c>
      <c r="M664" s="2714"/>
      <c r="O664" s="2734" t="e">
        <f>+Q662/(P505*0.93)/12</f>
        <v>#DIV/0!</v>
      </c>
      <c r="P664" s="2693" t="s">
        <v>2479</v>
      </c>
      <c r="R664" s="2719"/>
      <c r="S664" s="2675"/>
      <c r="T664" s="2675"/>
      <c r="U664" s="2675"/>
      <c r="V664" s="2675"/>
      <c r="W664" s="2675"/>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4">
        <f>'Part V-Revenues &amp; Expenses'!F227</f>
        <v>0</v>
      </c>
      <c r="G665" s="2714"/>
      <c r="K665" s="2735" t="s">
        <v>184</v>
      </c>
      <c r="L665" s="2714">
        <f>SUM(L663:M664)</f>
        <v>0</v>
      </c>
      <c r="M665" s="2714"/>
      <c r="O665" s="361" t="s">
        <v>3139</v>
      </c>
      <c r="P665" s="361"/>
      <c r="Q665" s="361"/>
      <c r="R665" s="2719"/>
      <c r="S665" s="2675"/>
      <c r="T665" s="2675"/>
      <c r="U665" s="2675"/>
      <c r="V665" s="2675"/>
      <c r="W665" s="2675"/>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6" t="s">
        <v>4531</v>
      </c>
      <c r="F666" s="2714">
        <f>'Part V-Revenues &amp; Expenses'!F228</f>
        <v>0</v>
      </c>
      <c r="G666" s="2714"/>
      <c r="R666" s="2719"/>
      <c r="S666" s="2675"/>
      <c r="T666" s="2675"/>
      <c r="U666" s="2675"/>
      <c r="V666" s="2675"/>
      <c r="W666" s="2675"/>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6" t="s">
        <v>3895</v>
      </c>
      <c r="F667" s="2714">
        <f>'Part V-Revenues &amp; Expenses'!F229</f>
        <v>0</v>
      </c>
      <c r="G667" s="2714"/>
      <c r="R667" s="2719"/>
      <c r="S667" s="2675"/>
      <c r="T667" s="2675"/>
      <c r="U667" s="2675"/>
      <c r="V667" s="2675"/>
      <c r="W667" s="2675"/>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4">
        <f>'Part V-Revenues &amp; Expenses'!F230</f>
        <v>0</v>
      </c>
      <c r="G668" s="2714"/>
      <c r="I668" s="1657" t="s">
        <v>1213</v>
      </c>
      <c r="R668" s="2719"/>
      <c r="S668" s="2675"/>
      <c r="T668" s="2675"/>
      <c r="U668" s="2675"/>
      <c r="V668" s="2675"/>
      <c r="W668" s="2675"/>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5" t="s">
        <v>184</v>
      </c>
      <c r="F669" s="2714">
        <f>SUM(F663:G668)</f>
        <v>0</v>
      </c>
      <c r="G669" s="2714"/>
      <c r="I669" s="358" t="s">
        <v>1495</v>
      </c>
      <c r="L669" s="2714">
        <f>'Part V-Revenues &amp; Expenses'!L231</f>
        <v>0</v>
      </c>
      <c r="M669" s="2714"/>
      <c r="S669" s="2675"/>
      <c r="T669" s="2675"/>
      <c r="U669" s="2675"/>
      <c r="V669" s="2675"/>
      <c r="W669" s="2675"/>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5"/>
      <c r="F670" s="2689"/>
      <c r="G670" s="2689"/>
      <c r="I670" s="358" t="s">
        <v>1894</v>
      </c>
      <c r="L670" s="2714">
        <f>'Part V-Revenues &amp; Expenses'!L232</f>
        <v>0</v>
      </c>
      <c r="M670" s="2714"/>
      <c r="N670" s="1546" t="str">
        <f>IF(Q672="","",IF(Q670&lt;Q672, "WARNING! OE below required minimum.",""))</f>
        <v/>
      </c>
      <c r="O670" s="1657" t="s">
        <v>2024</v>
      </c>
      <c r="Q670" s="2719">
        <f>F669+F678+F689+L665+L673+L683+L689+Q662</f>
        <v>0</v>
      </c>
      <c r="S670" s="2675"/>
      <c r="T670" s="2675"/>
      <c r="U670" s="2675"/>
      <c r="V670" s="2675"/>
      <c r="W670" s="2675"/>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5"/>
      <c r="I671" s="358" t="s">
        <v>1496</v>
      </c>
      <c r="L671" s="2714">
        <f>'Part V-Revenues &amp; Expenses'!L233</f>
        <v>0</v>
      </c>
      <c r="M671" s="2714"/>
      <c r="N671" s="1546"/>
      <c r="O671" s="2693" t="s">
        <v>2480</v>
      </c>
      <c r="P671" s="2734" t="e">
        <f>+Q670/P505</f>
        <v>#DIV/0!</v>
      </c>
      <c r="R671" s="2733"/>
      <c r="S671" s="2675"/>
      <c r="T671" s="2675"/>
      <c r="U671" s="2675"/>
      <c r="V671" s="2675"/>
      <c r="W671" s="2675"/>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4347</v>
      </c>
    </row>
    <row r="672" spans="1:380" s="358" customFormat="1" ht="16.5" customHeight="1">
      <c r="B672" s="358" t="s">
        <v>1292</v>
      </c>
      <c r="D672" s="2705"/>
      <c r="F672" s="2714">
        <f>'Part V-Revenues &amp; Expenses'!F234</f>
        <v>0</v>
      </c>
      <c r="G672" s="2714"/>
      <c r="I672" s="2737" t="str">
        <f>'Part V-Revenues &amp; Expenses'!I234</f>
        <v>Other (describe here)</v>
      </c>
      <c r="J672" s="2737"/>
      <c r="K672" s="2737"/>
      <c r="L672" s="2714">
        <f>'Part V-Revenues &amp; Expenses'!L234</f>
        <v>0</v>
      </c>
      <c r="M672" s="2714"/>
      <c r="N672" s="1546"/>
      <c r="P672" s="2693" t="s">
        <v>3140</v>
      </c>
      <c r="Q672" s="2719"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
      </c>
      <c r="S672" s="2675"/>
      <c r="T672" s="2675"/>
      <c r="U672" s="2675"/>
      <c r="V672" s="2675"/>
      <c r="W672" s="2675"/>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5"/>
      <c r="F673" s="2714">
        <f>'Part V-Revenues &amp; Expenses'!F235</f>
        <v>0</v>
      </c>
      <c r="G673" s="2714"/>
      <c r="I673" s="1657"/>
      <c r="K673" s="2735" t="s">
        <v>184</v>
      </c>
      <c r="L673" s="2719">
        <f>SUM(L669:L672)</f>
        <v>0</v>
      </c>
      <c r="M673" s="2719"/>
      <c r="N673" s="1546"/>
      <c r="O673" s="2738" t="s">
        <v>4835</v>
      </c>
      <c r="P673" s="2738"/>
      <c r="Q673" s="2738"/>
      <c r="S673" s="2675"/>
      <c r="T673" s="2675"/>
      <c r="U673" s="2675"/>
      <c r="V673" s="2675"/>
      <c r="W673" s="2675"/>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5"/>
      <c r="F674" s="2714">
        <f>'Part V-Revenues &amp; Expenses'!F236</f>
        <v>0</v>
      </c>
      <c r="G674" s="2714"/>
      <c r="O674" s="2738"/>
      <c r="P674" s="2738"/>
      <c r="Q674" s="2738"/>
      <c r="R674" s="1787"/>
      <c r="S674" s="2675"/>
      <c r="T674" s="2675"/>
      <c r="U674" s="2675"/>
      <c r="V674" s="2675"/>
      <c r="W674" s="2675"/>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5"/>
      <c r="F675" s="2714">
        <f>'Part V-Revenues &amp; Expenses'!F237</f>
        <v>0</v>
      </c>
      <c r="G675" s="2714"/>
      <c r="R675" s="1787"/>
      <c r="S675" s="2675"/>
      <c r="T675" s="2675"/>
      <c r="U675" s="2675"/>
      <c r="V675" s="2675"/>
      <c r="W675" s="2675"/>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4348</v>
      </c>
    </row>
    <row r="676" spans="2:380" s="358" customFormat="1" ht="16.5" customHeight="1">
      <c r="B676" s="358" t="s">
        <v>1493</v>
      </c>
      <c r="D676" s="2705"/>
      <c r="F676" s="2714">
        <f>'Part V-Revenues &amp; Expenses'!F238</f>
        <v>0</v>
      </c>
      <c r="G676" s="2714"/>
      <c r="I676" s="1657" t="s">
        <v>1295</v>
      </c>
      <c r="K676" s="1534" t="s">
        <v>3763</v>
      </c>
      <c r="O676" s="1657" t="s">
        <v>3001</v>
      </c>
      <c r="P676" s="1657"/>
      <c r="Q676" s="2739">
        <f>Q685</f>
        <v>0</v>
      </c>
      <c r="S676" s="2675"/>
      <c r="T676" s="2675"/>
      <c r="U676" s="2675"/>
      <c r="V676" s="2675"/>
      <c r="W676" s="2675"/>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4">
        <f>'Part V-Revenues &amp; Expenses'!F239</f>
        <v>0</v>
      </c>
      <c r="G677" s="2714"/>
      <c r="I677" s="358" t="s">
        <v>1288</v>
      </c>
      <c r="K677" s="2599" t="e">
        <f>L677/12/P505</f>
        <v>#DIV/0!</v>
      </c>
      <c r="L677" s="2714">
        <f>'Part V-Revenues &amp; Expenses'!L239</f>
        <v>0</v>
      </c>
      <c r="M677" s="2714"/>
      <c r="N677" s="1546" t="str">
        <f>IF(Q676&lt;Q685, "WARNING! RR proposed is below the DCA required minimum.","")</f>
        <v/>
      </c>
      <c r="O677" s="361" t="s">
        <v>3762</v>
      </c>
      <c r="Q677" s="2740" t="e">
        <f>Q676/P685</f>
        <v>#DIV/0!</v>
      </c>
      <c r="R677" s="2719"/>
      <c r="S677" s="2675"/>
      <c r="T677" s="2675"/>
      <c r="U677" s="2675"/>
      <c r="V677" s="2675"/>
      <c r="W677" s="2675"/>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5" t="s">
        <v>184</v>
      </c>
      <c r="F678" s="2714">
        <f>SUM(F672:G677)</f>
        <v>0</v>
      </c>
      <c r="G678" s="2714"/>
      <c r="I678" s="358" t="s">
        <v>1289</v>
      </c>
      <c r="K678" s="2599" t="e">
        <f>L678/12/P505</f>
        <v>#DIV/0!</v>
      </c>
      <c r="L678" s="2714">
        <f>'Part V-Revenues &amp; Expenses'!L240</f>
        <v>0</v>
      </c>
      <c r="M678" s="2714"/>
      <c r="N678" s="1546"/>
      <c r="O678" s="2741" t="s">
        <v>3148</v>
      </c>
      <c r="P678" s="2741"/>
      <c r="Q678" s="2741"/>
      <c r="S678" s="2675"/>
      <c r="T678" s="2675"/>
      <c r="U678" s="2675"/>
      <c r="V678" s="2675"/>
      <c r="W678" s="2675"/>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5"/>
      <c r="F679" s="2689"/>
      <c r="G679" s="2689"/>
      <c r="I679" s="358" t="s">
        <v>3808</v>
      </c>
      <c r="K679" s="2599" t="e">
        <f>L679/12/P505</f>
        <v>#DIV/0!</v>
      </c>
      <c r="L679" s="2714">
        <f>'Part V-Revenues &amp; Expenses'!L241</f>
        <v>0</v>
      </c>
      <c r="M679" s="2714"/>
      <c r="N679" s="1546"/>
      <c r="O679" s="2742" t="s">
        <v>2458</v>
      </c>
      <c r="P679" s="2743" t="s">
        <v>3202</v>
      </c>
      <c r="Q679" s="2743" t="s">
        <v>2972</v>
      </c>
      <c r="S679" s="2675"/>
      <c r="T679" s="2675"/>
      <c r="U679" s="2675"/>
      <c r="V679" s="2675"/>
      <c r="W679" s="2675"/>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4281</v>
      </c>
    </row>
    <row r="680" spans="2:380" s="358" customFormat="1" ht="16.5" customHeight="1">
      <c r="B680" s="1657" t="s">
        <v>1214</v>
      </c>
      <c r="D680" s="2705"/>
      <c r="I680" s="358" t="s">
        <v>1291</v>
      </c>
      <c r="K680" s="2599" t="e">
        <f>L680/12/P505</f>
        <v>#DIV/0!</v>
      </c>
      <c r="L680" s="2714">
        <f>'Part V-Revenues &amp; Expenses'!L242</f>
        <v>0</v>
      </c>
      <c r="M680" s="2714"/>
      <c r="N680" s="1546"/>
      <c r="O680" s="403" t="s">
        <v>36</v>
      </c>
      <c r="R680" s="2733"/>
      <c r="S680" s="2675"/>
      <c r="T680" s="2675"/>
      <c r="U680" s="2675"/>
      <c r="V680" s="2675"/>
      <c r="W680" s="2675"/>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5"/>
      <c r="F681" s="2714">
        <f>'Part V-Revenues &amp; Expenses'!F243</f>
        <v>0</v>
      </c>
      <c r="G681" s="2714"/>
      <c r="I681" s="358" t="s">
        <v>5106</v>
      </c>
      <c r="K681" s="2599" t="e">
        <f>L681/12/P505</f>
        <v>#DIV/0!</v>
      </c>
      <c r="L681" s="2714">
        <f>'Part V-Revenues &amp; Expenses'!L243</f>
        <v>0</v>
      </c>
      <c r="M681" s="2714"/>
      <c r="N681" s="1546"/>
      <c r="O681" s="2508" t="s">
        <v>2970</v>
      </c>
      <c r="P681" s="2744" t="str">
        <f>CONCATENATE(SUM(MF487:MJ487)," units x $",'DCA Underwriting Assumptions'!$Q$41," =")</f>
        <v>0 units x $400 =</v>
      </c>
      <c r="Q681" s="2744">
        <f>SUM(MF487:MJ487)*'DCA Underwriting Assumptions'!$Q$41</f>
        <v>0</v>
      </c>
      <c r="R681" s="2739"/>
      <c r="S681" s="2675"/>
      <c r="T681" s="2675"/>
      <c r="U681" s="2675"/>
      <c r="V681" s="2675"/>
      <c r="W681" s="2675"/>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5"/>
      <c r="F682" s="2714">
        <f>'Part V-Revenues &amp; Expenses'!F244</f>
        <v>0</v>
      </c>
      <c r="G682" s="2714"/>
      <c r="I682" s="2737" t="str">
        <f>'Part V-Revenues &amp; Expenses'!I244</f>
        <v>Other (describe here)</v>
      </c>
      <c r="J682" s="2737"/>
      <c r="K682" s="2599" t="e">
        <f>L682/12/P505</f>
        <v>#DIV/0!</v>
      </c>
      <c r="L682" s="2714">
        <f>'Part V-Revenues &amp; Expenses'!L244</f>
        <v>0</v>
      </c>
      <c r="M682" s="2714"/>
      <c r="N682" s="1546"/>
      <c r="O682" s="2508" t="s">
        <v>2969</v>
      </c>
      <c r="P682" s="2744" t="str">
        <f>CONCATENATE(SUM(MK487:MO487)," units x $",'DCA Underwriting Assumptions'!$Q$42," =")</f>
        <v>0 units x $300 =</v>
      </c>
      <c r="Q682" s="2744">
        <f>SUM(MK487:MO487)*'DCA Underwriting Assumptions'!$Q$42</f>
        <v>0</v>
      </c>
      <c r="S682" s="2675"/>
      <c r="T682" s="2675"/>
      <c r="U682" s="2675"/>
      <c r="V682" s="2675"/>
      <c r="W682" s="2675"/>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5"/>
      <c r="F683" s="2714">
        <f>'Part V-Revenues &amp; Expenses'!F245</f>
        <v>0</v>
      </c>
      <c r="G683" s="2714"/>
      <c r="K683" s="2735" t="s">
        <v>184</v>
      </c>
      <c r="L683" s="2719">
        <f>SUM(L677:L682)</f>
        <v>0</v>
      </c>
      <c r="M683" s="2719"/>
      <c r="N683" s="1546"/>
      <c r="O683" s="2564" t="s">
        <v>4400</v>
      </c>
      <c r="P683" s="2744" t="str">
        <f>CONCATENATE(SUM(MP487:MT487)," units x $",'DCA Underwriting Assumptions'!$Q$43," =")</f>
        <v>0 units x $470 =</v>
      </c>
      <c r="Q683" s="2744">
        <f>SUM(MP487:MT487)*'DCA Underwriting Assumptions'!$Q$43</f>
        <v>0</v>
      </c>
      <c r="R683" s="2743"/>
      <c r="S683" s="2675"/>
      <c r="T683" s="2675"/>
      <c r="U683" s="2675"/>
      <c r="V683" s="2675"/>
      <c r="W683" s="2675"/>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5"/>
      <c r="F684" s="2714">
        <f>'Part V-Revenues &amp; Expenses'!F246</f>
        <v>0</v>
      </c>
      <c r="G684" s="2714"/>
      <c r="O684" s="2564" t="s">
        <v>2968</v>
      </c>
      <c r="P684" s="2744" t="str">
        <f>CONCATENATE(P563," units x $",'DCA Underwriting Assumptions'!$Q$44," =")</f>
        <v>0 units x $420 =</v>
      </c>
      <c r="Q684" s="2744">
        <f>P563*'DCA Underwriting Assumptions'!$Q$44</f>
        <v>0</v>
      </c>
      <c r="S684" s="2675"/>
      <c r="T684" s="2675"/>
      <c r="U684" s="2675"/>
      <c r="V684" s="2675"/>
      <c r="W684" s="2675"/>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4349</v>
      </c>
    </row>
    <row r="685" spans="2:380" s="358" customFormat="1" ht="16.5" customHeight="1">
      <c r="B685" s="358" t="s">
        <v>939</v>
      </c>
      <c r="D685" s="2705"/>
      <c r="F685" s="2714">
        <f>'Part V-Revenues &amp; Expenses'!F247</f>
        <v>0</v>
      </c>
      <c r="G685" s="2714"/>
      <c r="I685" s="1657" t="s">
        <v>1296</v>
      </c>
      <c r="O685" s="2683" t="s">
        <v>2461</v>
      </c>
      <c r="P685" s="2673">
        <f>SUM(MF487:MJ487)+SUM(MK487:MO487)+SUM(MP487:MT487)+P563</f>
        <v>0</v>
      </c>
      <c r="Q685" s="2745">
        <f>SUM(Q681:Q684)</f>
        <v>0</v>
      </c>
      <c r="R685" s="2744"/>
      <c r="S685" s="2675"/>
      <c r="T685" s="2675"/>
      <c r="U685" s="2675"/>
      <c r="V685" s="2675"/>
      <c r="W685" s="2675"/>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5"/>
      <c r="F686" s="2714">
        <f>'Part V-Revenues &amp; Expenses'!F248</f>
        <v>0</v>
      </c>
      <c r="G686" s="2714"/>
      <c r="I686" s="358" t="s">
        <v>5107</v>
      </c>
      <c r="L686" s="2714">
        <f>'Part V-Revenues &amp; Expenses'!L248</f>
        <v>0</v>
      </c>
      <c r="M686" s="2714"/>
      <c r="R686" s="2744"/>
      <c r="S686" s="2675"/>
      <c r="T686" s="2675"/>
      <c r="U686" s="2675"/>
      <c r="V686" s="2675"/>
      <c r="W686" s="2675"/>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5"/>
      <c r="F687" s="2714">
        <f>'Part V-Revenues &amp; Expenses'!F249</f>
        <v>0</v>
      </c>
      <c r="G687" s="2714"/>
      <c r="I687" s="358" t="s">
        <v>140</v>
      </c>
      <c r="L687" s="2714">
        <f>'Part V-Revenues &amp; Expenses'!L249</f>
        <v>0</v>
      </c>
      <c r="M687" s="2714"/>
      <c r="R687" s="2744"/>
      <c r="S687" s="2675"/>
      <c r="T687" s="2675"/>
      <c r="U687" s="2675"/>
      <c r="V687" s="2675"/>
      <c r="W687" s="2675"/>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4">
        <f>'Part V-Revenues &amp; Expenses'!F250</f>
        <v>0</v>
      </c>
      <c r="G688" s="2714"/>
      <c r="I688" s="2737" t="str">
        <f>'Part V-Revenues &amp; Expenses'!I250</f>
        <v>Other (describe here)</v>
      </c>
      <c r="J688" s="2737"/>
      <c r="K688" s="2737"/>
      <c r="L688" s="2714">
        <f>'Part V-Revenues &amp; Expenses'!L250</f>
        <v>0</v>
      </c>
      <c r="M688" s="2714"/>
      <c r="R688" s="2744"/>
      <c r="S688" s="2675"/>
      <c r="T688" s="2675"/>
      <c r="U688" s="2675"/>
      <c r="V688" s="2675"/>
      <c r="W688" s="2675"/>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4350</v>
      </c>
    </row>
    <row r="689" spans="1:380" s="358" customFormat="1" ht="16.5" customHeight="1">
      <c r="B689" s="1657"/>
      <c r="E689" s="2735" t="s">
        <v>184</v>
      </c>
      <c r="F689" s="2714">
        <f>SUM(F681:G688)</f>
        <v>0</v>
      </c>
      <c r="G689" s="2714"/>
      <c r="K689" s="2735" t="s">
        <v>184</v>
      </c>
      <c r="L689" s="2719">
        <f>SUM(L685:L688)</f>
        <v>0</v>
      </c>
      <c r="M689" s="2719"/>
      <c r="O689" s="1657" t="s">
        <v>2025</v>
      </c>
      <c r="Q689" s="2719">
        <f>Q670+Q676</f>
        <v>0</v>
      </c>
      <c r="R689" s="2744"/>
      <c r="S689" s="2675"/>
      <c r="T689" s="2675"/>
      <c r="U689" s="2675"/>
      <c r="V689" s="2675"/>
      <c r="W689" s="2675"/>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5"/>
      <c r="F690" s="2689"/>
      <c r="G690" s="2689"/>
      <c r="K690" s="2689"/>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5" customHeight="1">
      <c r="B691" s="1657"/>
      <c r="C691" s="2735"/>
      <c r="F691" s="2689"/>
      <c r="G691" s="2689"/>
      <c r="K691" s="2689"/>
      <c r="R691" s="2719"/>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5"/>
      <c r="F692" s="2689"/>
      <c r="G692" s="2689"/>
      <c r="K692" s="2689"/>
      <c r="O692" s="1657"/>
      <c r="Q692" s="2719"/>
      <c r="R692" s="2719"/>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3289</v>
      </c>
      <c r="B693" s="1657" t="s">
        <v>3752</v>
      </c>
      <c r="C693" s="2735"/>
      <c r="H693" s="2689"/>
      <c r="I693" s="2746" t="s">
        <v>3753</v>
      </c>
      <c r="K693" s="2719">
        <f>'Part V-Revenues &amp; Expenses'!K255</f>
        <v>0</v>
      </c>
      <c r="L693" s="2719"/>
      <c r="M693" s="2736" t="s">
        <v>3781</v>
      </c>
      <c r="N693" s="2699">
        <f>'Part V-Revenues &amp; Expenses'!N255</f>
        <v>0</v>
      </c>
      <c r="O693" s="1657" t="s">
        <v>3755</v>
      </c>
      <c r="Q693" s="2699">
        <f>K693*N693</f>
        <v>0</v>
      </c>
      <c r="R693" s="2719"/>
      <c r="S693" s="2675"/>
      <c r="T693" s="2675"/>
      <c r="U693" s="2675"/>
      <c r="V693" s="2675"/>
      <c r="W693" s="2675"/>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5"/>
      <c r="F694" s="2689"/>
      <c r="G694" s="2689"/>
      <c r="K694" s="2689"/>
      <c r="O694" s="1657"/>
      <c r="Q694" s="2719"/>
      <c r="R694" s="2719"/>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3782</v>
      </c>
      <c r="C695" s="2735"/>
      <c r="F695" s="2689"/>
      <c r="G695" s="2689"/>
      <c r="J695" s="1804" t="str">
        <f>'Part V-Revenues &amp; Expenses'!J257</f>
        <v>&lt;&lt;Select&gt;&gt;</v>
      </c>
      <c r="K695" s="2746" t="s">
        <v>3784</v>
      </c>
      <c r="L695" s="1804" t="str">
        <f>'Part V-Revenues &amp; Expenses'!L257</f>
        <v>&lt;&lt;Select&gt;&gt;</v>
      </c>
      <c r="M695" s="1804" t="s">
        <v>3785</v>
      </c>
      <c r="N695" s="2699">
        <f>'Part V-Revenues &amp; Expenses'!N257</f>
        <v>0</v>
      </c>
      <c r="O695" s="358" t="s">
        <v>3783</v>
      </c>
      <c r="Q695" s="2699">
        <f>'Part V-Revenues &amp; Expenses'!Q257</f>
        <v>0</v>
      </c>
      <c r="R695" s="2719"/>
      <c r="S695" s="2675"/>
      <c r="T695" s="2675"/>
      <c r="U695" s="2675"/>
      <c r="V695" s="2675"/>
      <c r="W695" s="2675"/>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4351</v>
      </c>
    </row>
    <row r="696" spans="1:380" s="358" customFormat="1" ht="30.75" customHeight="1">
      <c r="B696" s="1657"/>
      <c r="C696" s="2735"/>
      <c r="F696" s="2689"/>
      <c r="G696" s="2689"/>
      <c r="K696" s="2689"/>
      <c r="O696" s="1657"/>
      <c r="Q696" s="2719"/>
      <c r="R696" s="2719"/>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3751</v>
      </c>
      <c r="B697" s="360" t="s">
        <v>529</v>
      </c>
      <c r="N697" s="360" t="s">
        <v>4547</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9"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2519"/>
      <c r="C698" s="2519"/>
      <c r="D698" s="2519"/>
      <c r="E698" s="2519"/>
      <c r="F698" s="2519"/>
      <c r="G698" s="2519"/>
      <c r="H698" s="2519"/>
      <c r="I698" s="2519"/>
      <c r="J698" s="2519"/>
      <c r="K698" s="2519"/>
      <c r="L698" s="2519"/>
      <c r="M698" s="2519"/>
      <c r="N698" s="2519"/>
      <c r="O698" s="2519"/>
      <c r="P698" s="2519"/>
      <c r="Q698" s="2519"/>
      <c r="R698" s="2747" t="s">
        <v>3288</v>
      </c>
      <c r="S698" s="2747"/>
      <c r="T698" s="2747"/>
      <c r="U698" s="2747"/>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ht="13">
      <c r="A702" s="1657" t="str">
        <f>CONCATENATE("PART SIX - OPERATING PRO FORMA","  -  ",'Part I-Project Identification'!$O$7," ",'Part I-Project Identification'!$F$26,", ",'Part I-Project Identification'!F644,", ",'Part I-Project Identification'!J644," County")</f>
        <v>PART SIX - OPERATING PRO FORMA  -  2024-5 , ,  County</v>
      </c>
    </row>
    <row r="703" spans="1:380" ht="13">
      <c r="A703" s="360"/>
      <c r="B703" s="360"/>
      <c r="C703" s="360"/>
      <c r="D703" s="360"/>
      <c r="E703" s="360"/>
      <c r="F703" s="360"/>
      <c r="G703" s="360"/>
      <c r="H703" s="360"/>
      <c r="I703" s="360"/>
      <c r="J703" s="360"/>
      <c r="K703" s="360"/>
    </row>
    <row r="704" spans="1:380" ht="13" customHeight="1">
      <c r="A704" s="360" t="s">
        <v>85</v>
      </c>
      <c r="C704" s="2748" t="str">
        <f>'Part I-Project Identification'!$A$6</f>
        <v>4% Credit Core
Sept 26, 2024</v>
      </c>
      <c r="D704" s="360" t="s">
        <v>75</v>
      </c>
      <c r="E704" s="2648"/>
      <c r="F704" s="2506" t="s">
        <v>5108</v>
      </c>
    </row>
    <row r="705" spans="1:19">
      <c r="C705" s="1546"/>
    </row>
    <row r="706" spans="1:19" ht="12.65" customHeight="1">
      <c r="A706" s="356" t="s">
        <v>2026</v>
      </c>
      <c r="B706" s="2749">
        <f>'DCA Underwriting Assumptions'!$Q$114</f>
        <v>0.02</v>
      </c>
      <c r="C706" s="1546"/>
      <c r="D706" s="2675" t="s">
        <v>5109</v>
      </c>
      <c r="E706" s="2675"/>
      <c r="F706" s="2675"/>
      <c r="G706" s="2750">
        <f>'Part VI-Pro Forma'!G6</f>
        <v>0</v>
      </c>
      <c r="H706" s="2712" t="s">
        <v>1763</v>
      </c>
      <c r="K706" s="2751" t="e">
        <f>IF(($B$15+$B$16+$B$17+$B$18)=0,"",B731/($B$15+$B$16+$B$17+$B$18))</f>
        <v>#VALUE!</v>
      </c>
    </row>
    <row r="707" spans="1:19" ht="13">
      <c r="A707" s="356" t="s">
        <v>2027</v>
      </c>
      <c r="B707" s="2749">
        <f>'DCA Underwriting Assumptions'!$Q$117</f>
        <v>0.03</v>
      </c>
      <c r="C707" s="1546"/>
      <c r="D707" s="2675"/>
      <c r="E707" s="2675"/>
      <c r="F707" s="2675"/>
      <c r="G707" s="2752">
        <f>IF(OR('Part II-Sources of Funds'!E623="Yes",'Part II-Sources of Funds'!I623&gt;0),'DCA Underwriting Assumptions'!$Q$79,0)</f>
        <v>0</v>
      </c>
    </row>
    <row r="708" spans="1:19">
      <c r="A708" s="356" t="s">
        <v>2029</v>
      </c>
      <c r="B708" s="2749">
        <f>'DCA Underwriting Assumptions'!$Q$118</f>
        <v>0.03</v>
      </c>
      <c r="C708" s="1546"/>
      <c r="D708" s="358" t="s">
        <v>258</v>
      </c>
      <c r="G708" s="2753"/>
      <c r="H708" s="2712" t="s">
        <v>2185</v>
      </c>
      <c r="K708" s="2751" t="e">
        <f>IF(($B$15+$B$16+$B$17+$B$18)=0,"",-B722/($B$15+$B$16+$B$17+$B$18))</f>
        <v>#VALUE!</v>
      </c>
    </row>
    <row r="709" spans="1:19" ht="13">
      <c r="A709" s="356" t="s">
        <v>2028</v>
      </c>
      <c r="B709" s="2749">
        <f>'Part VI-Pro Forma'!B9</f>
        <v>7.0000000000000007E-2</v>
      </c>
      <c r="C709" s="2503" t="str">
        <f>IF(B709&lt;0.07, "Must be &gt;= 7%!","")</f>
        <v/>
      </c>
      <c r="D709" s="358" t="s">
        <v>2301</v>
      </c>
      <c r="G709" s="2754">
        <f>'Part VI-Pro Forma'!G9</f>
        <v>0</v>
      </c>
      <c r="H709" s="2755" t="s">
        <v>1353</v>
      </c>
      <c r="K709" s="2756">
        <f>'Part VI-Pro Forma'!K9</f>
        <v>0</v>
      </c>
    </row>
    <row r="710" spans="1:19">
      <c r="A710" s="356" t="s">
        <v>1334</v>
      </c>
      <c r="B710" s="2749">
        <v>0.02</v>
      </c>
      <c r="D710" s="358" t="s">
        <v>1595</v>
      </c>
      <c r="G710" s="2754">
        <f>'Part VI-Pro Forma'!G10</f>
        <v>0</v>
      </c>
      <c r="H710" s="2755" t="s">
        <v>2168</v>
      </c>
      <c r="K710" s="2757">
        <f>'Part VI-Pro Forma'!K10</f>
        <v>0</v>
      </c>
    </row>
    <row r="712" spans="1:19" ht="13">
      <c r="A712" s="360" t="s">
        <v>86</v>
      </c>
      <c r="D712" s="2731"/>
    </row>
    <row r="714" spans="1:19" ht="13">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9">
      <c r="A715" s="356" t="s">
        <v>2209</v>
      </c>
      <c r="B715" s="2758">
        <f>'Part VI-Pro Forma'!B15</f>
        <v>0</v>
      </c>
      <c r="C715" s="2758">
        <f>'Part VI-Pro Forma'!C15</f>
        <v>0</v>
      </c>
      <c r="D715" s="2758">
        <f>'Part VI-Pro Forma'!D15</f>
        <v>0</v>
      </c>
      <c r="E715" s="2758">
        <f>'Part VI-Pro Forma'!E15</f>
        <v>0</v>
      </c>
      <c r="F715" s="2758">
        <f>'Part VI-Pro Forma'!F15</f>
        <v>0</v>
      </c>
      <c r="G715" s="2758">
        <f>'Part VI-Pro Forma'!G15</f>
        <v>0</v>
      </c>
      <c r="H715" s="2758">
        <f>'Part VI-Pro Forma'!H15</f>
        <v>0</v>
      </c>
      <c r="I715" s="2758">
        <f>'Part VI-Pro Forma'!I15</f>
        <v>0</v>
      </c>
      <c r="J715" s="2758">
        <f>'Part VI-Pro Forma'!J15</f>
        <v>0</v>
      </c>
      <c r="K715" s="2758">
        <f>'Part VI-Pro Forma'!K15</f>
        <v>0</v>
      </c>
      <c r="S715" s="4012" t="s">
        <v>3323</v>
      </c>
    </row>
    <row r="716" spans="1:19">
      <c r="A716" s="356" t="s">
        <v>951</v>
      </c>
      <c r="B716" s="2758">
        <f>'Part VI-Pro Forma'!B16</f>
        <v>0</v>
      </c>
      <c r="C716" s="2758">
        <f>'Part VI-Pro Forma'!C16</f>
        <v>0</v>
      </c>
      <c r="D716" s="2758">
        <f>'Part VI-Pro Forma'!D16</f>
        <v>0</v>
      </c>
      <c r="E716" s="2758">
        <f>'Part VI-Pro Forma'!E16</f>
        <v>0</v>
      </c>
      <c r="F716" s="2758">
        <f>'Part VI-Pro Forma'!F16</f>
        <v>0</v>
      </c>
      <c r="G716" s="2758">
        <f>'Part VI-Pro Forma'!G16</f>
        <v>0</v>
      </c>
      <c r="H716" s="2758">
        <f>'Part VI-Pro Forma'!H16</f>
        <v>0</v>
      </c>
      <c r="I716" s="2758">
        <f>'Part VI-Pro Forma'!I16</f>
        <v>0</v>
      </c>
      <c r="J716" s="2758">
        <f>'Part VI-Pro Forma'!J16</f>
        <v>0</v>
      </c>
      <c r="K716" s="2758">
        <f>'Part VI-Pro Forma'!K16</f>
        <v>0</v>
      </c>
      <c r="S716" s="4013"/>
    </row>
    <row r="717" spans="1:19">
      <c r="A717" s="356" t="s">
        <v>2210</v>
      </c>
      <c r="B717" s="2758">
        <f>'Part VI-Pro Forma'!B17</f>
        <v>0</v>
      </c>
      <c r="C717" s="2758">
        <f>'Part VI-Pro Forma'!C17</f>
        <v>0</v>
      </c>
      <c r="D717" s="2758">
        <f>'Part VI-Pro Forma'!D17</f>
        <v>0</v>
      </c>
      <c r="E717" s="2758">
        <f>'Part VI-Pro Forma'!E17</f>
        <v>0</v>
      </c>
      <c r="F717" s="2758">
        <f>'Part VI-Pro Forma'!F17</f>
        <v>0</v>
      </c>
      <c r="G717" s="2758">
        <f>'Part VI-Pro Forma'!G17</f>
        <v>0</v>
      </c>
      <c r="H717" s="2758">
        <f>'Part VI-Pro Forma'!H17</f>
        <v>0</v>
      </c>
      <c r="I717" s="2758">
        <f>'Part VI-Pro Forma'!I17</f>
        <v>0</v>
      </c>
      <c r="J717" s="2758">
        <f>'Part VI-Pro Forma'!J17</f>
        <v>0</v>
      </c>
      <c r="K717" s="2758">
        <f>'Part VI-Pro Forma'!K17</f>
        <v>0</v>
      </c>
      <c r="Q717" s="4015" t="s">
        <v>3217</v>
      </c>
      <c r="R717" s="4015" t="s">
        <v>3322</v>
      </c>
      <c r="S717" s="4013"/>
    </row>
    <row r="718" spans="1:19">
      <c r="A718" s="356" t="s">
        <v>47</v>
      </c>
      <c r="B718" s="2758">
        <f>'Part VI-Pro Forma'!B18</f>
        <v>0</v>
      </c>
      <c r="C718" s="2758">
        <f>'Part VI-Pro Forma'!C18</f>
        <v>0</v>
      </c>
      <c r="D718" s="2758">
        <f>'Part VI-Pro Forma'!D18</f>
        <v>0</v>
      </c>
      <c r="E718" s="2758">
        <f>'Part VI-Pro Forma'!E18</f>
        <v>0</v>
      </c>
      <c r="F718" s="2758">
        <f>'Part VI-Pro Forma'!F18</f>
        <v>0</v>
      </c>
      <c r="G718" s="2758">
        <f>'Part VI-Pro Forma'!G18</f>
        <v>0</v>
      </c>
      <c r="H718" s="2758">
        <f>'Part VI-Pro Forma'!H18</f>
        <v>0</v>
      </c>
      <c r="I718" s="2758">
        <f>'Part VI-Pro Forma'!I18</f>
        <v>0</v>
      </c>
      <c r="J718" s="2758">
        <f>'Part VI-Pro Forma'!J18</f>
        <v>0</v>
      </c>
      <c r="K718" s="2758">
        <f>'Part VI-Pro Forma'!K18</f>
        <v>0</v>
      </c>
      <c r="Q718" s="4015"/>
      <c r="R718" s="4015"/>
      <c r="S718" s="4014"/>
    </row>
    <row r="719" spans="1:19">
      <c r="A719" s="356" t="s">
        <v>48</v>
      </c>
      <c r="B719" s="2758">
        <f>'Part VI-Pro Forma'!B19</f>
        <v>0</v>
      </c>
      <c r="C719" s="2758">
        <f>'Part VI-Pro Forma'!C19</f>
        <v>0</v>
      </c>
      <c r="D719" s="2758">
        <f>'Part VI-Pro Forma'!D19</f>
        <v>0</v>
      </c>
      <c r="E719" s="2758">
        <f>'Part VI-Pro Forma'!E19</f>
        <v>0</v>
      </c>
      <c r="F719" s="2758">
        <f>'Part VI-Pro Forma'!F19</f>
        <v>0</v>
      </c>
      <c r="G719" s="2758">
        <f>'Part VI-Pro Forma'!G19</f>
        <v>0</v>
      </c>
      <c r="H719" s="2758">
        <f>'Part VI-Pro Forma'!H19</f>
        <v>0</v>
      </c>
      <c r="I719" s="2758">
        <f>'Part VI-Pro Forma'!I19</f>
        <v>0</v>
      </c>
      <c r="J719" s="2758">
        <f>'Part VI-Pro Forma'!J19</f>
        <v>0</v>
      </c>
      <c r="K719" s="2758">
        <f>'Part VI-Pro Forma'!K19</f>
        <v>0</v>
      </c>
    </row>
    <row r="720" spans="1:19">
      <c r="A720" s="356" t="s">
        <v>3717</v>
      </c>
      <c r="B720" s="2758">
        <f>'Part VI-Pro Forma'!B20</f>
        <v>0</v>
      </c>
      <c r="C720" s="2758">
        <f>'Part VI-Pro Forma'!C20</f>
        <v>0</v>
      </c>
      <c r="D720" s="2758">
        <f>'Part VI-Pro Forma'!D20</f>
        <v>0</v>
      </c>
      <c r="E720" s="2758">
        <f>'Part VI-Pro Forma'!E20</f>
        <v>0</v>
      </c>
      <c r="F720" s="2758">
        <f>'Part VI-Pro Forma'!F20</f>
        <v>0</v>
      </c>
      <c r="G720" s="2758">
        <f>'Part VI-Pro Forma'!G20</f>
        <v>0</v>
      </c>
      <c r="H720" s="2758">
        <f>'Part VI-Pro Forma'!H20</f>
        <v>0</v>
      </c>
      <c r="I720" s="2758">
        <f>'Part VI-Pro Forma'!I20</f>
        <v>0</v>
      </c>
      <c r="J720" s="2758">
        <f>'Part VI-Pro Forma'!J20</f>
        <v>0</v>
      </c>
      <c r="K720" s="2758">
        <f>'Part VI-Pro Forma'!K20</f>
        <v>0</v>
      </c>
    </row>
    <row r="721" spans="1:19">
      <c r="A721" s="356" t="s">
        <v>571</v>
      </c>
      <c r="B721" s="2758">
        <f>'Part VI-Pro Forma'!B21</f>
        <v>0</v>
      </c>
      <c r="C721" s="2758">
        <f>'Part VI-Pro Forma'!C21</f>
        <v>0</v>
      </c>
      <c r="D721" s="2758">
        <f>'Part VI-Pro Forma'!D21</f>
        <v>0</v>
      </c>
      <c r="E721" s="2758">
        <f>'Part VI-Pro Forma'!E21</f>
        <v>0</v>
      </c>
      <c r="F721" s="2758">
        <f>'Part VI-Pro Forma'!F21</f>
        <v>0</v>
      </c>
      <c r="G721" s="2758">
        <f>'Part VI-Pro Forma'!G21</f>
        <v>0</v>
      </c>
      <c r="H721" s="2758">
        <f>'Part VI-Pro Forma'!H21</f>
        <v>0</v>
      </c>
      <c r="I721" s="2758">
        <f>'Part VI-Pro Forma'!I21</f>
        <v>0</v>
      </c>
      <c r="J721" s="2758">
        <f>'Part VI-Pro Forma'!J21</f>
        <v>0</v>
      </c>
      <c r="K721" s="2758">
        <f>'Part VI-Pro Forma'!K21</f>
        <v>0</v>
      </c>
      <c r="Q721" s="1658">
        <v>1</v>
      </c>
      <c r="R721" s="1806">
        <f>'Part VI-Pro Forma'!R21</f>
        <v>0</v>
      </c>
      <c r="S721" s="1806">
        <f>'Part VI-Pro Forma'!S21</f>
        <v>0</v>
      </c>
    </row>
    <row r="722" spans="1:19">
      <c r="A722" s="356" t="s">
        <v>1049</v>
      </c>
      <c r="B722" s="2758" t="str">
        <f>'Part VI-Pro Forma'!B22</f>
        <v>Choose mgt fee</v>
      </c>
      <c r="C722" s="2758" t="str">
        <f>'Part VI-Pro Forma'!C22</f>
        <v>Choose mgt fee</v>
      </c>
      <c r="D722" s="2758" t="str">
        <f>'Part VI-Pro Forma'!D22</f>
        <v>Choose mgt fee</v>
      </c>
      <c r="E722" s="2758" t="str">
        <f>'Part VI-Pro Forma'!E22</f>
        <v>Choose mgt fee</v>
      </c>
      <c r="F722" s="2758" t="str">
        <f>'Part VI-Pro Forma'!F22</f>
        <v>Choose mgt fee</v>
      </c>
      <c r="G722" s="2758" t="str">
        <f>'Part VI-Pro Forma'!G22</f>
        <v>Choose mgt fee</v>
      </c>
      <c r="H722" s="2758" t="str">
        <f>'Part VI-Pro Forma'!H22</f>
        <v>Choose mgt fee</v>
      </c>
      <c r="I722" s="2758" t="str">
        <f>'Part VI-Pro Forma'!I22</f>
        <v>Choose mgt fee</v>
      </c>
      <c r="J722" s="2758" t="str">
        <f>'Part VI-Pro Forma'!J22</f>
        <v>Choose mgt fee</v>
      </c>
      <c r="K722" s="2758" t="str">
        <f>'Part VI-Pro Forma'!K22</f>
        <v>Choose mgt fee</v>
      </c>
      <c r="Q722" s="1658">
        <v>2</v>
      </c>
      <c r="R722" s="1806">
        <f>'Part VI-Pro Forma'!R22</f>
        <v>0</v>
      </c>
      <c r="S722" s="1806">
        <f>'Part VI-Pro Forma'!S22</f>
        <v>0</v>
      </c>
    </row>
    <row r="723" spans="1:19">
      <c r="A723" s="356" t="s">
        <v>1127</v>
      </c>
      <c r="B723" s="2758">
        <f>'Part VI-Pro Forma'!B23</f>
        <v>0</v>
      </c>
      <c r="C723" s="2758">
        <f>'Part VI-Pro Forma'!C23</f>
        <v>0</v>
      </c>
      <c r="D723" s="2758">
        <f>'Part VI-Pro Forma'!D23</f>
        <v>0</v>
      </c>
      <c r="E723" s="2758">
        <f>'Part VI-Pro Forma'!E23</f>
        <v>0</v>
      </c>
      <c r="F723" s="2758">
        <f>'Part VI-Pro Forma'!F23</f>
        <v>0</v>
      </c>
      <c r="G723" s="2758">
        <f>'Part VI-Pro Forma'!G23</f>
        <v>0</v>
      </c>
      <c r="H723" s="2758">
        <f>'Part VI-Pro Forma'!H23</f>
        <v>0</v>
      </c>
      <c r="I723" s="2758">
        <f>'Part VI-Pro Forma'!I23</f>
        <v>0</v>
      </c>
      <c r="J723" s="2758">
        <f>'Part VI-Pro Forma'!J23</f>
        <v>0</v>
      </c>
      <c r="K723" s="2758">
        <f>'Part VI-Pro Forma'!K23</f>
        <v>0</v>
      </c>
      <c r="Q723" s="1658">
        <v>3</v>
      </c>
      <c r="R723" s="1806">
        <f>'Part VI-Pro Forma'!R23</f>
        <v>0</v>
      </c>
      <c r="S723" s="1806">
        <f>'Part VI-Pro Forma'!S23</f>
        <v>0</v>
      </c>
    </row>
    <row r="724" spans="1:19">
      <c r="A724" s="356" t="s">
        <v>3716</v>
      </c>
      <c r="B724" s="2758">
        <f>'Part VI-Pro Forma'!B24</f>
        <v>0</v>
      </c>
      <c r="C724" s="2758">
        <f>'Part VI-Pro Forma'!C24</f>
        <v>0</v>
      </c>
      <c r="D724" s="2758">
        <f>'Part VI-Pro Forma'!D24</f>
        <v>0</v>
      </c>
      <c r="E724" s="2758">
        <f>'Part VI-Pro Forma'!E24</f>
        <v>0</v>
      </c>
      <c r="F724" s="2758">
        <f>'Part VI-Pro Forma'!F24</f>
        <v>0</v>
      </c>
      <c r="G724" s="2758">
        <f>'Part VI-Pro Forma'!G24</f>
        <v>0</v>
      </c>
      <c r="H724" s="2758">
        <f>'Part VI-Pro Forma'!H24</f>
        <v>0</v>
      </c>
      <c r="I724" s="2758">
        <f>'Part VI-Pro Forma'!I24</f>
        <v>0</v>
      </c>
      <c r="J724" s="2758">
        <f>'Part VI-Pro Forma'!J24</f>
        <v>0</v>
      </c>
      <c r="K724" s="2758">
        <f>'Part VI-Pro Forma'!K24</f>
        <v>0</v>
      </c>
      <c r="Q724" s="1658">
        <v>4</v>
      </c>
      <c r="R724" s="1806">
        <f>'Part VI-Pro Forma'!R24</f>
        <v>0</v>
      </c>
      <c r="S724" s="1806">
        <f>'Part VI-Pro Forma'!S24</f>
        <v>0</v>
      </c>
    </row>
    <row r="725" spans="1:19">
      <c r="A725" s="356" t="s">
        <v>1128</v>
      </c>
      <c r="B725" s="2758">
        <f>'Part VI-Pro Forma'!B25</f>
        <v>0</v>
      </c>
      <c r="C725" s="2758">
        <f>'Part VI-Pro Forma'!C25</f>
        <v>0</v>
      </c>
      <c r="D725" s="2758">
        <f>'Part VI-Pro Forma'!D25</f>
        <v>0</v>
      </c>
      <c r="E725" s="2758">
        <f>'Part VI-Pro Forma'!E25</f>
        <v>0</v>
      </c>
      <c r="F725" s="2758">
        <f>'Part VI-Pro Forma'!F25</f>
        <v>0</v>
      </c>
      <c r="G725" s="2758">
        <f>'Part VI-Pro Forma'!G25</f>
        <v>0</v>
      </c>
      <c r="H725" s="2758">
        <f>'Part VI-Pro Forma'!H25</f>
        <v>0</v>
      </c>
      <c r="I725" s="2758">
        <f>'Part VI-Pro Forma'!I25</f>
        <v>0</v>
      </c>
      <c r="J725" s="2758">
        <f>'Part VI-Pro Forma'!J25</f>
        <v>0</v>
      </c>
      <c r="K725" s="2758">
        <f>'Part VI-Pro Forma'!K25</f>
        <v>0</v>
      </c>
      <c r="Q725" s="1658">
        <v>5</v>
      </c>
      <c r="R725" s="1806">
        <f>'Part VI-Pro Forma'!R25</f>
        <v>0</v>
      </c>
      <c r="S725" s="1806">
        <f>'Part VI-Pro Forma'!S25</f>
        <v>0</v>
      </c>
    </row>
    <row r="726" spans="1:19">
      <c r="A726" s="356" t="s">
        <v>1484</v>
      </c>
      <c r="B726" s="2758">
        <f>'Part VI-Pro Forma'!B26</f>
        <v>0</v>
      </c>
      <c r="C726" s="2758">
        <f>'Part VI-Pro Forma'!C26</f>
        <v>0</v>
      </c>
      <c r="D726" s="2758">
        <f>'Part VI-Pro Forma'!D26</f>
        <v>0</v>
      </c>
      <c r="E726" s="2758">
        <f>'Part VI-Pro Forma'!E26</f>
        <v>0</v>
      </c>
      <c r="F726" s="2758">
        <f>'Part VI-Pro Forma'!F26</f>
        <v>0</v>
      </c>
      <c r="G726" s="2758">
        <f>'Part VI-Pro Forma'!G26</f>
        <v>0</v>
      </c>
      <c r="H726" s="2758">
        <f>'Part VI-Pro Forma'!H26</f>
        <v>0</v>
      </c>
      <c r="I726" s="2758">
        <f>'Part VI-Pro Forma'!I26</f>
        <v>0</v>
      </c>
      <c r="J726" s="2758">
        <f>'Part VI-Pro Forma'!J26</f>
        <v>0</v>
      </c>
      <c r="K726" s="2758">
        <f>'Part VI-Pro Forma'!K26</f>
        <v>0</v>
      </c>
      <c r="Q726" s="1658">
        <v>6</v>
      </c>
      <c r="R726" s="1806">
        <f>'Part VI-Pro Forma'!R26</f>
        <v>0</v>
      </c>
      <c r="S726" s="1806">
        <f>'Part VI-Pro Forma'!S26</f>
        <v>0</v>
      </c>
    </row>
    <row r="727" spans="1:19">
      <c r="A727" s="356" t="s">
        <v>1485</v>
      </c>
      <c r="B727" s="2758">
        <f>'Part VI-Pro Forma'!B27</f>
        <v>0</v>
      </c>
      <c r="C727" s="2758">
        <f>'Part VI-Pro Forma'!C27</f>
        <v>0</v>
      </c>
      <c r="D727" s="2758">
        <f>'Part VI-Pro Forma'!D27</f>
        <v>0</v>
      </c>
      <c r="E727" s="2758">
        <f>'Part VI-Pro Forma'!E27</f>
        <v>0</v>
      </c>
      <c r="F727" s="2758">
        <f>'Part VI-Pro Forma'!F27</f>
        <v>0</v>
      </c>
      <c r="G727" s="2758">
        <f>'Part VI-Pro Forma'!G27</f>
        <v>0</v>
      </c>
      <c r="H727" s="2758">
        <f>'Part VI-Pro Forma'!H27</f>
        <v>0</v>
      </c>
      <c r="I727" s="2758">
        <f>'Part VI-Pro Forma'!I27</f>
        <v>0</v>
      </c>
      <c r="J727" s="2758">
        <f>'Part VI-Pro Forma'!J27</f>
        <v>0</v>
      </c>
      <c r="K727" s="2758">
        <f>'Part VI-Pro Forma'!K27</f>
        <v>0</v>
      </c>
      <c r="Q727" s="1658">
        <v>7</v>
      </c>
      <c r="R727" s="1806">
        <f>'Part VI-Pro Forma'!R27</f>
        <v>0</v>
      </c>
      <c r="S727" s="1806">
        <f>'Part VI-Pro Forma'!S27</f>
        <v>0</v>
      </c>
    </row>
    <row r="728" spans="1:19">
      <c r="A728" s="356" t="s">
        <v>1486</v>
      </c>
      <c r="B728" s="2758">
        <f>'Part VI-Pro Forma'!B28</f>
        <v>0</v>
      </c>
      <c r="C728" s="2758">
        <f>'Part VI-Pro Forma'!C28</f>
        <v>0</v>
      </c>
      <c r="D728" s="2758">
        <f>'Part VI-Pro Forma'!D28</f>
        <v>0</v>
      </c>
      <c r="E728" s="2758">
        <f>'Part VI-Pro Forma'!E28</f>
        <v>0</v>
      </c>
      <c r="F728" s="2758">
        <f>'Part VI-Pro Forma'!F28</f>
        <v>0</v>
      </c>
      <c r="G728" s="2758">
        <f>'Part VI-Pro Forma'!G28</f>
        <v>0</v>
      </c>
      <c r="H728" s="2758">
        <f>'Part VI-Pro Forma'!H28</f>
        <v>0</v>
      </c>
      <c r="I728" s="2758">
        <f>'Part VI-Pro Forma'!I28</f>
        <v>0</v>
      </c>
      <c r="J728" s="2758">
        <f>'Part VI-Pro Forma'!J28</f>
        <v>0</v>
      </c>
      <c r="K728" s="2758">
        <f>'Part VI-Pro Forma'!K28</f>
        <v>0</v>
      </c>
      <c r="Q728" s="1658">
        <v>8</v>
      </c>
      <c r="R728" s="1806">
        <f>'Part VI-Pro Forma'!R28</f>
        <v>0</v>
      </c>
      <c r="S728" s="1806">
        <f>'Part VI-Pro Forma'!S28</f>
        <v>0</v>
      </c>
    </row>
    <row r="729" spans="1:19">
      <c r="A729" s="356" t="s">
        <v>3203</v>
      </c>
      <c r="B729" s="2758">
        <f>'Part VI-Pro Forma'!B29</f>
        <v>0</v>
      </c>
      <c r="C729" s="2758">
        <f>'Part VI-Pro Forma'!C29</f>
        <v>0</v>
      </c>
      <c r="D729" s="2758">
        <f>'Part VI-Pro Forma'!D29</f>
        <v>0</v>
      </c>
      <c r="E729" s="2758">
        <f>'Part VI-Pro Forma'!E29</f>
        <v>0</v>
      </c>
      <c r="F729" s="2758">
        <f>'Part VI-Pro Forma'!F29</f>
        <v>0</v>
      </c>
      <c r="G729" s="2758">
        <f>'Part VI-Pro Forma'!G29</f>
        <v>0</v>
      </c>
      <c r="H729" s="2758">
        <f>'Part VI-Pro Forma'!H29</f>
        <v>0</v>
      </c>
      <c r="I729" s="2758">
        <f>'Part VI-Pro Forma'!I29</f>
        <v>0</v>
      </c>
      <c r="J729" s="2758">
        <f>'Part VI-Pro Forma'!J29</f>
        <v>0</v>
      </c>
      <c r="K729" s="2758">
        <f>'Part VI-Pro Forma'!K29</f>
        <v>0</v>
      </c>
      <c r="Q729" s="1658">
        <v>9</v>
      </c>
      <c r="R729" s="1806">
        <f>'Part VI-Pro Forma'!R29</f>
        <v>0</v>
      </c>
      <c r="S729" s="1806">
        <f>'Part VI-Pro Forma'!S29</f>
        <v>0</v>
      </c>
    </row>
    <row r="730" spans="1:19">
      <c r="A730" s="356" t="s">
        <v>710</v>
      </c>
      <c r="B730" s="2758">
        <f>'Part VI-Pro Forma'!B30</f>
        <v>0</v>
      </c>
      <c r="C730" s="2758">
        <f>'Part VI-Pro Forma'!C30</f>
        <v>0</v>
      </c>
      <c r="D730" s="2758">
        <f>'Part VI-Pro Forma'!D30</f>
        <v>0</v>
      </c>
      <c r="E730" s="2758">
        <f>'Part VI-Pro Forma'!E30</f>
        <v>0</v>
      </c>
      <c r="F730" s="2758">
        <f>'Part VI-Pro Forma'!F30</f>
        <v>0</v>
      </c>
      <c r="G730" s="2758">
        <f>'Part VI-Pro Forma'!G30</f>
        <v>0</v>
      </c>
      <c r="H730" s="2758">
        <f>'Part VI-Pro Forma'!H30</f>
        <v>0</v>
      </c>
      <c r="I730" s="2758">
        <f>'Part VI-Pro Forma'!I30</f>
        <v>0</v>
      </c>
      <c r="J730" s="2758">
        <f>'Part VI-Pro Forma'!J30</f>
        <v>0</v>
      </c>
      <c r="K730" s="2758">
        <f>'Part VI-Pro Forma'!K30</f>
        <v>0</v>
      </c>
      <c r="Q730" s="1658">
        <v>10</v>
      </c>
      <c r="R730" s="1806">
        <f>'Part VI-Pro Forma'!R30</f>
        <v>0</v>
      </c>
      <c r="S730" s="1806">
        <f>'Part VI-Pro Forma'!S30</f>
        <v>0</v>
      </c>
    </row>
    <row r="731" spans="1:19">
      <c r="A731" s="356" t="s">
        <v>1094</v>
      </c>
      <c r="B731" s="2758">
        <f>'Part VI-Pro Forma'!B31</f>
        <v>0</v>
      </c>
      <c r="C731" s="2758">
        <f>'Part VI-Pro Forma'!C31</f>
        <v>0</v>
      </c>
      <c r="D731" s="2758">
        <f>'Part VI-Pro Forma'!D31</f>
        <v>0</v>
      </c>
      <c r="E731" s="2758">
        <f>'Part VI-Pro Forma'!E31</f>
        <v>0</v>
      </c>
      <c r="F731" s="2758">
        <f>'Part VI-Pro Forma'!F31</f>
        <v>0</v>
      </c>
      <c r="G731" s="2758">
        <f>'Part VI-Pro Forma'!G31</f>
        <v>0</v>
      </c>
      <c r="H731" s="2758">
        <f>'Part VI-Pro Forma'!H31</f>
        <v>0</v>
      </c>
      <c r="I731" s="2758">
        <f>'Part VI-Pro Forma'!I31</f>
        <v>0</v>
      </c>
      <c r="J731" s="2758">
        <f>'Part VI-Pro Forma'!J31</f>
        <v>0</v>
      </c>
      <c r="K731" s="2758">
        <f>'Part VI-Pro Forma'!K31</f>
        <v>0</v>
      </c>
      <c r="Q731" s="1658">
        <v>11</v>
      </c>
      <c r="R731" s="1806">
        <f>'Part VI-Pro Forma'!R31</f>
        <v>0</v>
      </c>
      <c r="S731" s="1806">
        <f>'Part VI-Pro Forma'!S31</f>
        <v>0</v>
      </c>
    </row>
    <row r="732" spans="1:19">
      <c r="A732" s="356" t="s">
        <v>3276</v>
      </c>
      <c r="B732" s="2758">
        <f>'Part VI-Pro Forma'!B32</f>
        <v>0</v>
      </c>
      <c r="C732" s="2758">
        <f>'Part VI-Pro Forma'!C32</f>
        <v>0</v>
      </c>
      <c r="D732" s="2758">
        <f>'Part VI-Pro Forma'!D32</f>
        <v>0</v>
      </c>
      <c r="E732" s="2758">
        <f>'Part VI-Pro Forma'!E32</f>
        <v>0</v>
      </c>
      <c r="F732" s="2758">
        <f>'Part VI-Pro Forma'!F32</f>
        <v>0</v>
      </c>
      <c r="G732" s="2758">
        <f>'Part VI-Pro Forma'!G32</f>
        <v>0</v>
      </c>
      <c r="H732" s="2758">
        <f>'Part VI-Pro Forma'!H32</f>
        <v>0</v>
      </c>
      <c r="I732" s="2758">
        <f>'Part VI-Pro Forma'!I32</f>
        <v>0</v>
      </c>
      <c r="J732" s="2758">
        <f>'Part VI-Pro Forma'!J32</f>
        <v>0</v>
      </c>
      <c r="K732" s="2758">
        <f>'Part VI-Pro Forma'!K32</f>
        <v>0</v>
      </c>
      <c r="Q732" s="1658">
        <v>12</v>
      </c>
      <c r="R732" s="1806">
        <f>'Part VI-Pro Forma'!R32</f>
        <v>0</v>
      </c>
      <c r="S732" s="1806">
        <f>'Part VI-Pro Forma'!S32</f>
        <v>0</v>
      </c>
    </row>
    <row r="733" spans="1:19">
      <c r="A733" s="356" t="s">
        <v>1095</v>
      </c>
      <c r="B733" s="2758">
        <f>'Part VI-Pro Forma'!B33</f>
        <v>0</v>
      </c>
      <c r="C733" s="2758">
        <f>'Part VI-Pro Forma'!C33</f>
        <v>0</v>
      </c>
      <c r="D733" s="2758">
        <f>'Part VI-Pro Forma'!D33</f>
        <v>0</v>
      </c>
      <c r="E733" s="2758">
        <f>'Part VI-Pro Forma'!E33</f>
        <v>0</v>
      </c>
      <c r="F733" s="2758">
        <f>'Part VI-Pro Forma'!F33</f>
        <v>0</v>
      </c>
      <c r="G733" s="2758">
        <f>'Part VI-Pro Forma'!G33</f>
        <v>0</v>
      </c>
      <c r="H733" s="2758">
        <f>'Part VI-Pro Forma'!H33</f>
        <v>0</v>
      </c>
      <c r="I733" s="2758">
        <f>'Part VI-Pro Forma'!I33</f>
        <v>0</v>
      </c>
      <c r="J733" s="2758">
        <f>'Part VI-Pro Forma'!J33</f>
        <v>0</v>
      </c>
      <c r="K733" s="2758">
        <f>'Part VI-Pro Forma'!K33</f>
        <v>0</v>
      </c>
      <c r="Q733" s="1658">
        <v>13</v>
      </c>
      <c r="R733" s="1806">
        <f>'Part VI-Pro Forma'!R33</f>
        <v>0</v>
      </c>
      <c r="S733" s="1806">
        <f>'Part VI-Pro Forma'!S33</f>
        <v>0</v>
      </c>
    </row>
    <row r="734" spans="1:19">
      <c r="A734" s="356" t="str">
        <f>IF('Part II-Sources of Funds'!$E$40 = "Neither", "", "DCR Mortgage A")</f>
        <v>DCR Mortgage A</v>
      </c>
      <c r="B734" s="2759" t="str">
        <f>'Part VI-Pro Forma'!B34</f>
        <v/>
      </c>
      <c r="C734" s="2759" t="str">
        <f>'Part VI-Pro Forma'!C34</f>
        <v/>
      </c>
      <c r="D734" s="2759" t="str">
        <f>'Part VI-Pro Forma'!D34</f>
        <v/>
      </c>
      <c r="E734" s="2759" t="str">
        <f>'Part VI-Pro Forma'!E34</f>
        <v/>
      </c>
      <c r="F734" s="2759" t="str">
        <f>'Part VI-Pro Forma'!F34</f>
        <v/>
      </c>
      <c r="G734" s="2759" t="str">
        <f>'Part VI-Pro Forma'!G34</f>
        <v/>
      </c>
      <c r="H734" s="2759" t="str">
        <f>'Part VI-Pro Forma'!H34</f>
        <v/>
      </c>
      <c r="I734" s="2759" t="str">
        <f>'Part VI-Pro Forma'!I34</f>
        <v/>
      </c>
      <c r="J734" s="2759" t="str">
        <f>'Part VI-Pro Forma'!J34</f>
        <v/>
      </c>
      <c r="K734" s="2759" t="str">
        <f>'Part VI-Pro Forma'!K34</f>
        <v/>
      </c>
      <c r="Q734" s="1658">
        <v>14</v>
      </c>
      <c r="R734" s="1806">
        <f>'Part VI-Pro Forma'!R34</f>
        <v>0</v>
      </c>
      <c r="S734" s="1806">
        <f>'Part VI-Pro Forma'!S34</f>
        <v>0</v>
      </c>
    </row>
    <row r="735" spans="1:19">
      <c r="A735" s="356" t="str">
        <f>IF('Part II-Sources of Funds'!$E$40 = "Neither", "", "DCR Mortgage B")</f>
        <v>DCR Mortgage B</v>
      </c>
      <c r="B735" s="2759" t="str">
        <f>'Part VI-Pro Forma'!B35</f>
        <v/>
      </c>
      <c r="C735" s="2759" t="str">
        <f>'Part VI-Pro Forma'!C35</f>
        <v/>
      </c>
      <c r="D735" s="2759" t="str">
        <f>'Part VI-Pro Forma'!D35</f>
        <v/>
      </c>
      <c r="E735" s="2759" t="str">
        <f>'Part VI-Pro Forma'!E35</f>
        <v/>
      </c>
      <c r="F735" s="2759" t="str">
        <f>'Part VI-Pro Forma'!F35</f>
        <v/>
      </c>
      <c r="G735" s="2759" t="str">
        <f>'Part VI-Pro Forma'!G35</f>
        <v/>
      </c>
      <c r="H735" s="2759" t="str">
        <f>'Part VI-Pro Forma'!H35</f>
        <v/>
      </c>
      <c r="I735" s="2759" t="str">
        <f>'Part VI-Pro Forma'!I35</f>
        <v/>
      </c>
      <c r="J735" s="2759" t="str">
        <f>'Part VI-Pro Forma'!J35</f>
        <v/>
      </c>
      <c r="K735" s="2759" t="str">
        <f>'Part VI-Pro Forma'!K35</f>
        <v/>
      </c>
      <c r="Q735" s="1658">
        <v>15</v>
      </c>
      <c r="R735" s="1806">
        <f>'Part VI-Pro Forma'!R35</f>
        <v>0</v>
      </c>
      <c r="S735" s="1806">
        <f>'Part VI-Pro Forma'!S35</f>
        <v>0</v>
      </c>
    </row>
    <row r="736" spans="1:19">
      <c r="A736" s="356" t="str">
        <f>IF('Part II-Sources of Funds'!$E$40 = "Neither", "DCR First Mortgage", "DCR Mortgage C")</f>
        <v>DCR Mortgage C</v>
      </c>
      <c r="B736" s="2759" t="str">
        <f>'Part VI-Pro Forma'!B36</f>
        <v/>
      </c>
      <c r="C736" s="2759" t="str">
        <f>'Part VI-Pro Forma'!C36</f>
        <v/>
      </c>
      <c r="D736" s="2759" t="str">
        <f>'Part VI-Pro Forma'!D36</f>
        <v/>
      </c>
      <c r="E736" s="2759" t="str">
        <f>'Part VI-Pro Forma'!E36</f>
        <v/>
      </c>
      <c r="F736" s="2759" t="str">
        <f>'Part VI-Pro Forma'!F36</f>
        <v/>
      </c>
      <c r="G736" s="2759" t="str">
        <f>'Part VI-Pro Forma'!G36</f>
        <v/>
      </c>
      <c r="H736" s="2759" t="str">
        <f>'Part VI-Pro Forma'!H36</f>
        <v/>
      </c>
      <c r="I736" s="2759" t="str">
        <f>'Part VI-Pro Forma'!I36</f>
        <v/>
      </c>
      <c r="J736" s="2759" t="str">
        <f>'Part VI-Pro Forma'!J36</f>
        <v/>
      </c>
      <c r="K736" s="2759" t="str">
        <f>'Part VI-Pro Forma'!K36</f>
        <v/>
      </c>
      <c r="Q736" s="1658">
        <v>16</v>
      </c>
      <c r="R736" s="1806">
        <f>'Part VI-Pro Forma'!R36</f>
        <v>0</v>
      </c>
      <c r="S736" s="1806">
        <f>'Part VI-Pro Forma'!S36</f>
        <v>0</v>
      </c>
    </row>
    <row r="737" spans="1:19">
      <c r="A737" s="356" t="s">
        <v>728</v>
      </c>
      <c r="B737" s="2759" t="str">
        <f>'Part VI-Pro Forma'!B37</f>
        <v/>
      </c>
      <c r="C737" s="2759" t="str">
        <f>'Part VI-Pro Forma'!C37</f>
        <v/>
      </c>
      <c r="D737" s="2759" t="str">
        <f>'Part VI-Pro Forma'!D37</f>
        <v/>
      </c>
      <c r="E737" s="2759" t="str">
        <f>'Part VI-Pro Forma'!E37</f>
        <v/>
      </c>
      <c r="F737" s="2759" t="str">
        <f>'Part VI-Pro Forma'!F37</f>
        <v/>
      </c>
      <c r="G737" s="2759" t="str">
        <f>'Part VI-Pro Forma'!G37</f>
        <v/>
      </c>
      <c r="H737" s="2759" t="str">
        <f>'Part VI-Pro Forma'!H37</f>
        <v/>
      </c>
      <c r="I737" s="2759" t="str">
        <f>'Part VI-Pro Forma'!I37</f>
        <v/>
      </c>
      <c r="J737" s="2759" t="str">
        <f>'Part VI-Pro Forma'!J37</f>
        <v/>
      </c>
      <c r="K737" s="2759" t="str">
        <f>'Part VI-Pro Forma'!K37</f>
        <v/>
      </c>
      <c r="Q737" s="1658">
        <v>17</v>
      </c>
      <c r="R737" s="1806">
        <f>'Part VI-Pro Forma'!R37</f>
        <v>0</v>
      </c>
      <c r="S737" s="1806">
        <f>'Part VI-Pro Forma'!S37</f>
        <v>0</v>
      </c>
    </row>
    <row r="738" spans="1:19">
      <c r="A738" s="356" t="s">
        <v>3130</v>
      </c>
      <c r="B738" s="2759" t="str">
        <f>'Part VI-Pro Forma'!B38</f>
        <v/>
      </c>
      <c r="C738" s="2759" t="str">
        <f>'Part VI-Pro Forma'!C38</f>
        <v/>
      </c>
      <c r="D738" s="2759" t="str">
        <f>'Part VI-Pro Forma'!D38</f>
        <v/>
      </c>
      <c r="E738" s="2759" t="str">
        <f>'Part VI-Pro Forma'!E38</f>
        <v/>
      </c>
      <c r="F738" s="2759" t="str">
        <f>'Part VI-Pro Forma'!F38</f>
        <v/>
      </c>
      <c r="G738" s="2759" t="str">
        <f>'Part VI-Pro Forma'!G38</f>
        <v/>
      </c>
      <c r="H738" s="2759" t="str">
        <f>'Part VI-Pro Forma'!H38</f>
        <v/>
      </c>
      <c r="I738" s="2759" t="str">
        <f>'Part VI-Pro Forma'!I38</f>
        <v/>
      </c>
      <c r="J738" s="2759" t="str">
        <f>'Part VI-Pro Forma'!J38</f>
        <v/>
      </c>
      <c r="K738" s="2759" t="str">
        <f>'Part VI-Pro Forma'!K38</f>
        <v/>
      </c>
      <c r="Q738" s="1658">
        <v>18</v>
      </c>
      <c r="R738" s="1806">
        <f>'Part VI-Pro Forma'!R38</f>
        <v>0</v>
      </c>
      <c r="S738" s="1806">
        <f>'Part VI-Pro Forma'!S38</f>
        <v>0</v>
      </c>
    </row>
    <row r="739" spans="1:19">
      <c r="A739" s="356" t="s">
        <v>717</v>
      </c>
      <c r="B739" s="2759" t="str">
        <f>'Part VI-Pro Forma'!B39</f>
        <v/>
      </c>
      <c r="C739" s="2759" t="str">
        <f>'Part VI-Pro Forma'!C39</f>
        <v/>
      </c>
      <c r="D739" s="2759" t="str">
        <f>'Part VI-Pro Forma'!D39</f>
        <v/>
      </c>
      <c r="E739" s="2759" t="str">
        <f>'Part VI-Pro Forma'!E39</f>
        <v/>
      </c>
      <c r="F739" s="2759" t="str">
        <f>'Part VI-Pro Forma'!F39</f>
        <v/>
      </c>
      <c r="G739" s="2759" t="str">
        <f>'Part VI-Pro Forma'!G39</f>
        <v/>
      </c>
      <c r="H739" s="2759" t="str">
        <f>'Part VI-Pro Forma'!H39</f>
        <v/>
      </c>
      <c r="I739" s="2759" t="str">
        <f>'Part VI-Pro Forma'!I39</f>
        <v/>
      </c>
      <c r="J739" s="2759" t="str">
        <f>'Part VI-Pro Forma'!J39</f>
        <v/>
      </c>
      <c r="K739" s="2759" t="str">
        <f>'Part VI-Pro Forma'!K39</f>
        <v/>
      </c>
      <c r="Q739" s="1658">
        <v>19</v>
      </c>
      <c r="R739" s="1806">
        <f>'Part VI-Pro Forma'!R39</f>
        <v>0</v>
      </c>
      <c r="S739" s="1806">
        <f>'Part VI-Pro Forma'!S39</f>
        <v>0</v>
      </c>
    </row>
    <row r="740" spans="1:19">
      <c r="A740" s="356" t="s">
        <v>2399</v>
      </c>
      <c r="B740" s="2758" t="str">
        <f>'Part VI-Pro Forma'!B40</f>
        <v/>
      </c>
      <c r="C740" s="2758" t="str">
        <f>'Part VI-Pro Forma'!C40</f>
        <v/>
      </c>
      <c r="D740" s="2758" t="str">
        <f>'Part VI-Pro Forma'!D40</f>
        <v/>
      </c>
      <c r="E740" s="2758" t="str">
        <f>'Part VI-Pro Forma'!E40</f>
        <v/>
      </c>
      <c r="F740" s="2758" t="str">
        <f>'Part VI-Pro Forma'!F40</f>
        <v/>
      </c>
      <c r="G740" s="2758" t="str">
        <f>'Part VI-Pro Forma'!G40</f>
        <v/>
      </c>
      <c r="H740" s="2758" t="str">
        <f>'Part VI-Pro Forma'!H40</f>
        <v/>
      </c>
      <c r="I740" s="2758" t="str">
        <f>'Part VI-Pro Forma'!I40</f>
        <v/>
      </c>
      <c r="J740" s="2758" t="str">
        <f>'Part VI-Pro Forma'!J40</f>
        <v/>
      </c>
      <c r="K740" s="2758" t="str">
        <f>'Part VI-Pro Forma'!K40</f>
        <v/>
      </c>
      <c r="L740" s="2758"/>
      <c r="Q740" s="1658">
        <v>20</v>
      </c>
      <c r="R740" s="1806">
        <f>'Part VI-Pro Forma'!R40</f>
        <v>0</v>
      </c>
      <c r="S740" s="1806">
        <f>'Part VI-Pro Forma'!S40</f>
        <v>0</v>
      </c>
    </row>
    <row r="741" spans="1:19">
      <c r="A741" s="356" t="s">
        <v>2400</v>
      </c>
      <c r="B741" s="2758" t="str">
        <f>'Part VI-Pro Forma'!B41</f>
        <v/>
      </c>
      <c r="C741" s="2758" t="str">
        <f>'Part VI-Pro Forma'!C41</f>
        <v/>
      </c>
      <c r="D741" s="2758" t="str">
        <f>'Part VI-Pro Forma'!D41</f>
        <v/>
      </c>
      <c r="E741" s="2758" t="str">
        <f>'Part VI-Pro Forma'!E41</f>
        <v/>
      </c>
      <c r="F741" s="2758" t="str">
        <f>'Part VI-Pro Forma'!F41</f>
        <v/>
      </c>
      <c r="G741" s="2758" t="str">
        <f>'Part VI-Pro Forma'!G41</f>
        <v/>
      </c>
      <c r="H741" s="2758" t="str">
        <f>'Part VI-Pro Forma'!H41</f>
        <v/>
      </c>
      <c r="I741" s="2758" t="str">
        <f>'Part VI-Pro Forma'!I41</f>
        <v/>
      </c>
      <c r="J741" s="2758" t="str">
        <f>'Part VI-Pro Forma'!J41</f>
        <v/>
      </c>
      <c r="K741" s="2758" t="str">
        <f>'Part VI-Pro Forma'!K41</f>
        <v/>
      </c>
      <c r="L741" s="2758"/>
    </row>
    <row r="742" spans="1:19">
      <c r="A742" s="356" t="s">
        <v>2401</v>
      </c>
      <c r="B742" s="2758" t="str">
        <f>'Part VI-Pro Forma'!B42</f>
        <v/>
      </c>
      <c r="C742" s="2758" t="str">
        <f>'Part VI-Pro Forma'!C42</f>
        <v/>
      </c>
      <c r="D742" s="2758" t="str">
        <f>'Part VI-Pro Forma'!D42</f>
        <v/>
      </c>
      <c r="E742" s="2758" t="str">
        <f>'Part VI-Pro Forma'!E42</f>
        <v/>
      </c>
      <c r="F742" s="2758" t="str">
        <f>'Part VI-Pro Forma'!F42</f>
        <v/>
      </c>
      <c r="G742" s="2758" t="str">
        <f>'Part VI-Pro Forma'!G42</f>
        <v/>
      </c>
      <c r="H742" s="2758" t="str">
        <f>'Part VI-Pro Forma'!H42</f>
        <v/>
      </c>
      <c r="I742" s="2758" t="str">
        <f>'Part VI-Pro Forma'!I42</f>
        <v/>
      </c>
      <c r="J742" s="2758" t="str">
        <f>'Part VI-Pro Forma'!J42</f>
        <v/>
      </c>
      <c r="K742" s="2758" t="str">
        <f>'Part VI-Pro Forma'!K42</f>
        <v/>
      </c>
      <c r="L742" s="2758"/>
    </row>
    <row r="743" spans="1:19">
      <c r="A743" s="356" t="s">
        <v>729</v>
      </c>
      <c r="B743" s="2758" t="str">
        <f>'Part VI-Pro Forma'!B43</f>
        <v/>
      </c>
      <c r="C743" s="2758" t="str">
        <f>'Part VI-Pro Forma'!C43</f>
        <v/>
      </c>
      <c r="D743" s="2758" t="str">
        <f>'Part VI-Pro Forma'!D43</f>
        <v/>
      </c>
      <c r="E743" s="2758" t="str">
        <f>'Part VI-Pro Forma'!E43</f>
        <v/>
      </c>
      <c r="F743" s="2758" t="str">
        <f>'Part VI-Pro Forma'!F43</f>
        <v/>
      </c>
      <c r="G743" s="2758" t="str">
        <f>'Part VI-Pro Forma'!G43</f>
        <v/>
      </c>
      <c r="H743" s="2758" t="str">
        <f>'Part VI-Pro Forma'!H43</f>
        <v/>
      </c>
      <c r="I743" s="2758" t="str">
        <f>'Part VI-Pro Forma'!I43</f>
        <v/>
      </c>
      <c r="J743" s="2758" t="str">
        <f>'Part VI-Pro Forma'!J43</f>
        <v/>
      </c>
      <c r="K743" s="2758" t="str">
        <f>'Part VI-Pro Forma'!K43</f>
        <v/>
      </c>
      <c r="L743" s="2758"/>
    </row>
    <row r="744" spans="1:19">
      <c r="A744" s="356" t="s">
        <v>3277</v>
      </c>
      <c r="B744" s="2758" t="str">
        <f>'Part VI-Pro Forma'!B44</f>
        <v/>
      </c>
      <c r="C744" s="2758" t="str">
        <f>'Part VI-Pro Forma'!C44</f>
        <v/>
      </c>
      <c r="D744" s="2758" t="str">
        <f>'Part VI-Pro Forma'!D44</f>
        <v/>
      </c>
      <c r="E744" s="2758" t="str">
        <f>'Part VI-Pro Forma'!E44</f>
        <v/>
      </c>
      <c r="F744" s="2758" t="str">
        <f>'Part VI-Pro Forma'!F44</f>
        <v/>
      </c>
      <c r="G744" s="2758" t="str">
        <f>'Part VI-Pro Forma'!G44</f>
        <v/>
      </c>
      <c r="H744" s="2758" t="str">
        <f>'Part VI-Pro Forma'!H44</f>
        <v/>
      </c>
      <c r="I744" s="2758" t="str">
        <f>'Part VI-Pro Forma'!I44</f>
        <v/>
      </c>
      <c r="J744" s="2758" t="str">
        <f>'Part VI-Pro Forma'!J44</f>
        <v/>
      </c>
      <c r="K744" s="2758" t="str">
        <f>'Part VI-Pro Forma'!K44</f>
        <v/>
      </c>
      <c r="L744" s="2758"/>
    </row>
    <row r="745" spans="1:19">
      <c r="B745" s="2758"/>
      <c r="C745" s="2758"/>
      <c r="D745" s="2758"/>
      <c r="E745" s="2758"/>
      <c r="F745" s="2758"/>
      <c r="G745" s="2758"/>
      <c r="H745" s="2758"/>
      <c r="I745" s="2758"/>
      <c r="J745" s="2758"/>
      <c r="K745" s="2758"/>
    </row>
    <row r="746" spans="1:19" ht="13">
      <c r="A746" s="360" t="s">
        <v>2278</v>
      </c>
      <c r="B746" s="2760">
        <f>K714+1</f>
        <v>11</v>
      </c>
      <c r="C746" s="2760">
        <f t="shared" ref="C746:K746" si="376">B746+1</f>
        <v>12</v>
      </c>
      <c r="D746" s="2760">
        <f t="shared" si="376"/>
        <v>13</v>
      </c>
      <c r="E746" s="2760">
        <f t="shared" si="376"/>
        <v>14</v>
      </c>
      <c r="F746" s="2760">
        <f t="shared" si="376"/>
        <v>15</v>
      </c>
      <c r="G746" s="2760">
        <f t="shared" si="376"/>
        <v>16</v>
      </c>
      <c r="H746" s="2760">
        <f t="shared" si="376"/>
        <v>17</v>
      </c>
      <c r="I746" s="2760">
        <f t="shared" si="376"/>
        <v>18</v>
      </c>
      <c r="J746" s="2760">
        <f t="shared" si="376"/>
        <v>19</v>
      </c>
      <c r="K746" s="2760">
        <f t="shared" si="376"/>
        <v>20</v>
      </c>
    </row>
    <row r="747" spans="1:19">
      <c r="A747" s="356" t="s">
        <v>2209</v>
      </c>
      <c r="B747" s="2758">
        <f>'Part VI-Pro Forma'!B47</f>
        <v>0</v>
      </c>
      <c r="C747" s="2758">
        <f>'Part VI-Pro Forma'!C47</f>
        <v>0</v>
      </c>
      <c r="D747" s="2758">
        <f>'Part VI-Pro Forma'!D47</f>
        <v>0</v>
      </c>
      <c r="E747" s="2758">
        <f>'Part VI-Pro Forma'!E47</f>
        <v>0</v>
      </c>
      <c r="F747" s="2758">
        <f>'Part VI-Pro Forma'!F47</f>
        <v>0</v>
      </c>
      <c r="G747" s="2758">
        <f>'Part VI-Pro Forma'!G47</f>
        <v>0</v>
      </c>
      <c r="H747" s="2758">
        <f>'Part VI-Pro Forma'!H47</f>
        <v>0</v>
      </c>
      <c r="I747" s="2758">
        <f>'Part VI-Pro Forma'!I47</f>
        <v>0</v>
      </c>
      <c r="J747" s="2758">
        <f>'Part VI-Pro Forma'!J47</f>
        <v>0</v>
      </c>
      <c r="K747" s="2758">
        <f>'Part VI-Pro Forma'!K47</f>
        <v>0</v>
      </c>
    </row>
    <row r="748" spans="1:19">
      <c r="A748" s="356" t="s">
        <v>951</v>
      </c>
      <c r="B748" s="2758">
        <f>'Part VI-Pro Forma'!B48</f>
        <v>0</v>
      </c>
      <c r="C748" s="2758">
        <f>'Part VI-Pro Forma'!C48</f>
        <v>0</v>
      </c>
      <c r="D748" s="2758">
        <f>'Part VI-Pro Forma'!D48</f>
        <v>0</v>
      </c>
      <c r="E748" s="2758">
        <f>'Part VI-Pro Forma'!E48</f>
        <v>0</v>
      </c>
      <c r="F748" s="2758">
        <f>'Part VI-Pro Forma'!F48</f>
        <v>0</v>
      </c>
      <c r="G748" s="2758">
        <f>'Part VI-Pro Forma'!G48</f>
        <v>0</v>
      </c>
      <c r="H748" s="2758">
        <f>'Part VI-Pro Forma'!H48</f>
        <v>0</v>
      </c>
      <c r="I748" s="2758">
        <f>'Part VI-Pro Forma'!I48</f>
        <v>0</v>
      </c>
      <c r="J748" s="2758">
        <f>'Part VI-Pro Forma'!J48</f>
        <v>0</v>
      </c>
      <c r="K748" s="2758">
        <f>'Part VI-Pro Forma'!K48</f>
        <v>0</v>
      </c>
    </row>
    <row r="749" spans="1:19">
      <c r="A749" s="356" t="s">
        <v>2210</v>
      </c>
      <c r="B749" s="2758">
        <f>'Part VI-Pro Forma'!B49</f>
        <v>0</v>
      </c>
      <c r="C749" s="2758">
        <f>'Part VI-Pro Forma'!C49</f>
        <v>0</v>
      </c>
      <c r="D749" s="2758">
        <f>'Part VI-Pro Forma'!D49</f>
        <v>0</v>
      </c>
      <c r="E749" s="2758">
        <f>'Part VI-Pro Forma'!E49</f>
        <v>0</v>
      </c>
      <c r="F749" s="2758">
        <f>'Part VI-Pro Forma'!F49</f>
        <v>0</v>
      </c>
      <c r="G749" s="2758">
        <f>'Part VI-Pro Forma'!G49</f>
        <v>0</v>
      </c>
      <c r="H749" s="2758">
        <f>'Part VI-Pro Forma'!H49</f>
        <v>0</v>
      </c>
      <c r="I749" s="2758">
        <f>'Part VI-Pro Forma'!I49</f>
        <v>0</v>
      </c>
      <c r="J749" s="2758">
        <f>'Part VI-Pro Forma'!J49</f>
        <v>0</v>
      </c>
      <c r="K749" s="2758">
        <f>'Part VI-Pro Forma'!K49</f>
        <v>0</v>
      </c>
    </row>
    <row r="750" spans="1:19">
      <c r="A750" s="356" t="s">
        <v>47</v>
      </c>
      <c r="B750" s="2758">
        <f>'Part VI-Pro Forma'!B50</f>
        <v>0</v>
      </c>
      <c r="C750" s="2758">
        <f>'Part VI-Pro Forma'!C50</f>
        <v>0</v>
      </c>
      <c r="D750" s="2758">
        <f>'Part VI-Pro Forma'!D50</f>
        <v>0</v>
      </c>
      <c r="E750" s="2758">
        <f>'Part VI-Pro Forma'!E50</f>
        <v>0</v>
      </c>
      <c r="F750" s="2758">
        <f>'Part VI-Pro Forma'!F50</f>
        <v>0</v>
      </c>
      <c r="G750" s="2758">
        <f>'Part VI-Pro Forma'!G50</f>
        <v>0</v>
      </c>
      <c r="H750" s="2758">
        <f>'Part VI-Pro Forma'!H50</f>
        <v>0</v>
      </c>
      <c r="I750" s="2758">
        <f>'Part VI-Pro Forma'!I50</f>
        <v>0</v>
      </c>
      <c r="J750" s="2758">
        <f>'Part VI-Pro Forma'!J50</f>
        <v>0</v>
      </c>
      <c r="K750" s="2758">
        <f>'Part VI-Pro Forma'!K50</f>
        <v>0</v>
      </c>
    </row>
    <row r="751" spans="1:19">
      <c r="A751" s="356" t="s">
        <v>48</v>
      </c>
      <c r="B751" s="2758">
        <f>'Part VI-Pro Forma'!B51</f>
        <v>0</v>
      </c>
      <c r="C751" s="2758">
        <f>'Part VI-Pro Forma'!C51</f>
        <v>0</v>
      </c>
      <c r="D751" s="2758">
        <f>'Part VI-Pro Forma'!D51</f>
        <v>0</v>
      </c>
      <c r="E751" s="2758">
        <f>'Part VI-Pro Forma'!E51</f>
        <v>0</v>
      </c>
      <c r="F751" s="2758">
        <f>'Part VI-Pro Forma'!F51</f>
        <v>0</v>
      </c>
      <c r="G751" s="2758">
        <f>'Part VI-Pro Forma'!G51</f>
        <v>0</v>
      </c>
      <c r="H751" s="2758">
        <f>'Part VI-Pro Forma'!H51</f>
        <v>0</v>
      </c>
      <c r="I751" s="2758">
        <f>'Part VI-Pro Forma'!I51</f>
        <v>0</v>
      </c>
      <c r="J751" s="2758">
        <f>'Part VI-Pro Forma'!J51</f>
        <v>0</v>
      </c>
      <c r="K751" s="2758">
        <f>'Part VI-Pro Forma'!K51</f>
        <v>0</v>
      </c>
    </row>
    <row r="752" spans="1:19">
      <c r="A752" s="356" t="s">
        <v>3717</v>
      </c>
      <c r="B752" s="2758">
        <f>'Part VI-Pro Forma'!B52</f>
        <v>0</v>
      </c>
      <c r="C752" s="2758">
        <f>'Part VI-Pro Forma'!C52</f>
        <v>0</v>
      </c>
      <c r="D752" s="2758">
        <f>'Part VI-Pro Forma'!D52</f>
        <v>0</v>
      </c>
      <c r="E752" s="2758">
        <f>'Part VI-Pro Forma'!E52</f>
        <v>0</v>
      </c>
      <c r="F752" s="2758">
        <f>'Part VI-Pro Forma'!F52</f>
        <v>0</v>
      </c>
      <c r="G752" s="2758">
        <f>'Part VI-Pro Forma'!G52</f>
        <v>0</v>
      </c>
      <c r="H752" s="2758">
        <f>'Part VI-Pro Forma'!H52</f>
        <v>0</v>
      </c>
      <c r="I752" s="2758">
        <f>'Part VI-Pro Forma'!I52</f>
        <v>0</v>
      </c>
      <c r="J752" s="2758">
        <f>'Part VI-Pro Forma'!J52</f>
        <v>0</v>
      </c>
      <c r="K752" s="2758">
        <f>'Part VI-Pro Forma'!K52</f>
        <v>0</v>
      </c>
    </row>
    <row r="753" spans="1:11">
      <c r="A753" s="356" t="s">
        <v>571</v>
      </c>
      <c r="B753" s="2758">
        <f>'Part VI-Pro Forma'!B53</f>
        <v>0</v>
      </c>
      <c r="C753" s="2758">
        <f>'Part VI-Pro Forma'!C53</f>
        <v>0</v>
      </c>
      <c r="D753" s="2758">
        <f>'Part VI-Pro Forma'!D53</f>
        <v>0</v>
      </c>
      <c r="E753" s="2758">
        <f>'Part VI-Pro Forma'!E53</f>
        <v>0</v>
      </c>
      <c r="F753" s="2758">
        <f>'Part VI-Pro Forma'!F53</f>
        <v>0</v>
      </c>
      <c r="G753" s="2758">
        <f>'Part VI-Pro Forma'!G53</f>
        <v>0</v>
      </c>
      <c r="H753" s="2758">
        <f>'Part VI-Pro Forma'!H53</f>
        <v>0</v>
      </c>
      <c r="I753" s="2758">
        <f>'Part VI-Pro Forma'!I53</f>
        <v>0</v>
      </c>
      <c r="J753" s="2758">
        <f>'Part VI-Pro Forma'!J53</f>
        <v>0</v>
      </c>
      <c r="K753" s="2758">
        <f>'Part VI-Pro Forma'!K53</f>
        <v>0</v>
      </c>
    </row>
    <row r="754" spans="1:11">
      <c r="A754" s="356" t="s">
        <v>1049</v>
      </c>
      <c r="B754" s="2758" t="str">
        <f>'Part VI-Pro Forma'!B54</f>
        <v>Choose mgt fee</v>
      </c>
      <c r="C754" s="2758" t="str">
        <f>'Part VI-Pro Forma'!C54</f>
        <v>Choose mgt fee</v>
      </c>
      <c r="D754" s="2758" t="str">
        <f>'Part VI-Pro Forma'!D54</f>
        <v>Choose mgt fee</v>
      </c>
      <c r="E754" s="2758" t="str">
        <f>'Part VI-Pro Forma'!E54</f>
        <v>Choose mgt fee</v>
      </c>
      <c r="F754" s="2758" t="str">
        <f>'Part VI-Pro Forma'!F54</f>
        <v>Choose mgt fee</v>
      </c>
      <c r="G754" s="2758" t="str">
        <f>'Part VI-Pro Forma'!G54</f>
        <v>Choose mgt fee</v>
      </c>
      <c r="H754" s="2758" t="str">
        <f>'Part VI-Pro Forma'!H54</f>
        <v>Choose mgt fee</v>
      </c>
      <c r="I754" s="2758" t="str">
        <f>'Part VI-Pro Forma'!I54</f>
        <v>Choose mgt fee</v>
      </c>
      <c r="J754" s="2758" t="str">
        <f>'Part VI-Pro Forma'!J54</f>
        <v>Choose mgt fee</v>
      </c>
      <c r="K754" s="2758" t="str">
        <f>'Part VI-Pro Forma'!K54</f>
        <v>Choose mgt fee</v>
      </c>
    </row>
    <row r="755" spans="1:11">
      <c r="A755" s="356" t="s">
        <v>1127</v>
      </c>
      <c r="B755" s="2758">
        <f>'Part VI-Pro Forma'!B55</f>
        <v>0</v>
      </c>
      <c r="C755" s="2758">
        <f>'Part VI-Pro Forma'!C55</f>
        <v>0</v>
      </c>
      <c r="D755" s="2758">
        <f>'Part VI-Pro Forma'!D55</f>
        <v>0</v>
      </c>
      <c r="E755" s="2758">
        <f>'Part VI-Pro Forma'!E55</f>
        <v>0</v>
      </c>
      <c r="F755" s="2758">
        <f>'Part VI-Pro Forma'!F55</f>
        <v>0</v>
      </c>
      <c r="G755" s="2758">
        <f>'Part VI-Pro Forma'!G55</f>
        <v>0</v>
      </c>
      <c r="H755" s="2758">
        <f>'Part VI-Pro Forma'!H55</f>
        <v>0</v>
      </c>
      <c r="I755" s="2758">
        <f>'Part VI-Pro Forma'!I55</f>
        <v>0</v>
      </c>
      <c r="J755" s="2758">
        <f>'Part VI-Pro Forma'!J55</f>
        <v>0</v>
      </c>
      <c r="K755" s="2758">
        <f>'Part VI-Pro Forma'!K55</f>
        <v>0</v>
      </c>
    </row>
    <row r="756" spans="1:11">
      <c r="A756" s="356" t="s">
        <v>3716</v>
      </c>
      <c r="B756" s="2758">
        <f>'Part VI-Pro Forma'!B56</f>
        <v>0</v>
      </c>
      <c r="C756" s="2758">
        <f>'Part VI-Pro Forma'!C56</f>
        <v>0</v>
      </c>
      <c r="D756" s="2758">
        <f>'Part VI-Pro Forma'!D56</f>
        <v>0</v>
      </c>
      <c r="E756" s="2758">
        <f>'Part VI-Pro Forma'!E56</f>
        <v>0</v>
      </c>
      <c r="F756" s="2758">
        <f>'Part VI-Pro Forma'!F56</f>
        <v>0</v>
      </c>
      <c r="G756" s="2758">
        <f>'Part VI-Pro Forma'!G56</f>
        <v>0</v>
      </c>
      <c r="H756" s="2758">
        <f>'Part VI-Pro Forma'!H56</f>
        <v>0</v>
      </c>
      <c r="I756" s="2758">
        <f>'Part VI-Pro Forma'!I56</f>
        <v>0</v>
      </c>
      <c r="J756" s="2758">
        <f>'Part VI-Pro Forma'!J56</f>
        <v>0</v>
      </c>
      <c r="K756" s="2758">
        <f>'Part VI-Pro Forma'!K56</f>
        <v>0</v>
      </c>
    </row>
    <row r="757" spans="1:11">
      <c r="A757" s="356" t="s">
        <v>1128</v>
      </c>
      <c r="B757" s="2758">
        <f>'Part VI-Pro Forma'!B57</f>
        <v>0</v>
      </c>
      <c r="C757" s="2758">
        <f>'Part VI-Pro Forma'!C57</f>
        <v>0</v>
      </c>
      <c r="D757" s="2758">
        <f>'Part VI-Pro Forma'!D57</f>
        <v>0</v>
      </c>
      <c r="E757" s="2758">
        <f>'Part VI-Pro Forma'!E57</f>
        <v>0</v>
      </c>
      <c r="F757" s="2758">
        <f>'Part VI-Pro Forma'!F57</f>
        <v>0</v>
      </c>
      <c r="G757" s="2758">
        <f>'Part VI-Pro Forma'!G57</f>
        <v>0</v>
      </c>
      <c r="H757" s="2758">
        <f>'Part VI-Pro Forma'!H57</f>
        <v>0</v>
      </c>
      <c r="I757" s="2758">
        <f>'Part VI-Pro Forma'!I57</f>
        <v>0</v>
      </c>
      <c r="J757" s="2758">
        <f>'Part VI-Pro Forma'!J57</f>
        <v>0</v>
      </c>
      <c r="K757" s="2758">
        <f>'Part VI-Pro Forma'!K57</f>
        <v>0</v>
      </c>
    </row>
    <row r="758" spans="1:11">
      <c r="A758" s="356" t="str">
        <f>$A726</f>
        <v>Mortgage A</v>
      </c>
      <c r="B758" s="2758">
        <f>'Part VI-Pro Forma'!B58</f>
        <v>0</v>
      </c>
      <c r="C758" s="2758">
        <f>'Part VI-Pro Forma'!C58</f>
        <v>0</v>
      </c>
      <c r="D758" s="2758">
        <f>'Part VI-Pro Forma'!D58</f>
        <v>0</v>
      </c>
      <c r="E758" s="2758">
        <f>'Part VI-Pro Forma'!E58</f>
        <v>0</v>
      </c>
      <c r="F758" s="2758">
        <f>'Part VI-Pro Forma'!F58</f>
        <v>0</v>
      </c>
      <c r="G758" s="2758">
        <f>'Part VI-Pro Forma'!G58</f>
        <v>0</v>
      </c>
      <c r="H758" s="2758">
        <f>'Part VI-Pro Forma'!H58</f>
        <v>0</v>
      </c>
      <c r="I758" s="2758">
        <f>'Part VI-Pro Forma'!I58</f>
        <v>0</v>
      </c>
      <c r="J758" s="2758">
        <f>'Part VI-Pro Forma'!J58</f>
        <v>0</v>
      </c>
      <c r="K758" s="2758">
        <f>'Part VI-Pro Forma'!K58</f>
        <v>0</v>
      </c>
    </row>
    <row r="759" spans="1:11">
      <c r="A759" s="356" t="str">
        <f>$A727</f>
        <v>Mortgage B</v>
      </c>
      <c r="B759" s="2758">
        <f>'Part VI-Pro Forma'!B59</f>
        <v>0</v>
      </c>
      <c r="C759" s="2758">
        <f>'Part VI-Pro Forma'!C59</f>
        <v>0</v>
      </c>
      <c r="D759" s="2758">
        <f>'Part VI-Pro Forma'!D59</f>
        <v>0</v>
      </c>
      <c r="E759" s="2758">
        <f>'Part VI-Pro Forma'!E59</f>
        <v>0</v>
      </c>
      <c r="F759" s="2758">
        <f>'Part VI-Pro Forma'!F59</f>
        <v>0</v>
      </c>
      <c r="G759" s="2758">
        <f>'Part VI-Pro Forma'!G59</f>
        <v>0</v>
      </c>
      <c r="H759" s="2758">
        <f>'Part VI-Pro Forma'!H59</f>
        <v>0</v>
      </c>
      <c r="I759" s="2758">
        <f>'Part VI-Pro Forma'!I59</f>
        <v>0</v>
      </c>
      <c r="J759" s="2758">
        <f>'Part VI-Pro Forma'!J59</f>
        <v>0</v>
      </c>
      <c r="K759" s="2758">
        <f>'Part VI-Pro Forma'!K59</f>
        <v>0</v>
      </c>
    </row>
    <row r="760" spans="1:11">
      <c r="A760" s="356" t="str">
        <f>$A728</f>
        <v>Mortgage C</v>
      </c>
      <c r="B760" s="2758">
        <f>'Part VI-Pro Forma'!B60</f>
        <v>0</v>
      </c>
      <c r="C760" s="2758">
        <f>'Part VI-Pro Forma'!C60</f>
        <v>0</v>
      </c>
      <c r="D760" s="2758">
        <f>'Part VI-Pro Forma'!D60</f>
        <v>0</v>
      </c>
      <c r="E760" s="2758">
        <f>'Part VI-Pro Forma'!E60</f>
        <v>0</v>
      </c>
      <c r="F760" s="2758">
        <f>'Part VI-Pro Forma'!F60</f>
        <v>0</v>
      </c>
      <c r="G760" s="2758">
        <f>'Part VI-Pro Forma'!G60</f>
        <v>0</v>
      </c>
      <c r="H760" s="2758">
        <f>'Part VI-Pro Forma'!H60</f>
        <v>0</v>
      </c>
      <c r="I760" s="2758">
        <f>'Part VI-Pro Forma'!I60</f>
        <v>0</v>
      </c>
      <c r="J760" s="2758">
        <f>'Part VI-Pro Forma'!J60</f>
        <v>0</v>
      </c>
      <c r="K760" s="2758">
        <f>'Part VI-Pro Forma'!K60</f>
        <v>0</v>
      </c>
    </row>
    <row r="761" spans="1:11">
      <c r="A761" s="356" t="str">
        <f>$A729</f>
        <v>D/S Other Source,not DDF</v>
      </c>
      <c r="B761" s="2758">
        <f>'Part VI-Pro Forma'!B61</f>
        <v>0</v>
      </c>
      <c r="C761" s="2758">
        <f>'Part VI-Pro Forma'!C61</f>
        <v>0</v>
      </c>
      <c r="D761" s="2758">
        <f>'Part VI-Pro Forma'!D61</f>
        <v>0</v>
      </c>
      <c r="E761" s="2758">
        <f>'Part VI-Pro Forma'!E61</f>
        <v>0</v>
      </c>
      <c r="F761" s="2758">
        <f>'Part VI-Pro Forma'!F61</f>
        <v>0</v>
      </c>
      <c r="G761" s="2758">
        <f>'Part VI-Pro Forma'!G61</f>
        <v>0</v>
      </c>
      <c r="H761" s="2758">
        <f>'Part VI-Pro Forma'!H61</f>
        <v>0</v>
      </c>
      <c r="I761" s="2758">
        <f>'Part VI-Pro Forma'!I61</f>
        <v>0</v>
      </c>
      <c r="J761" s="2758">
        <f>'Part VI-Pro Forma'!J61</f>
        <v>0</v>
      </c>
      <c r="K761" s="2758">
        <f>'Part VI-Pro Forma'!K61</f>
        <v>0</v>
      </c>
    </row>
    <row r="762" spans="1:11">
      <c r="A762" s="356" t="s">
        <v>710</v>
      </c>
      <c r="B762" s="2758">
        <f>'Part VI-Pro Forma'!B62</f>
        <v>0</v>
      </c>
      <c r="C762" s="2758">
        <f>'Part VI-Pro Forma'!C62</f>
        <v>0</v>
      </c>
      <c r="D762" s="2758">
        <f>'Part VI-Pro Forma'!D62</f>
        <v>0</v>
      </c>
      <c r="E762" s="2758">
        <f>'Part VI-Pro Forma'!E62</f>
        <v>0</v>
      </c>
      <c r="F762" s="2758">
        <f>'Part VI-Pro Forma'!F62</f>
        <v>0</v>
      </c>
      <c r="G762" s="2758">
        <f>'Part VI-Pro Forma'!G62</f>
        <v>0</v>
      </c>
      <c r="H762" s="2758">
        <f>'Part VI-Pro Forma'!H62</f>
        <v>0</v>
      </c>
      <c r="I762" s="2758">
        <f>'Part VI-Pro Forma'!I62</f>
        <v>0</v>
      </c>
      <c r="J762" s="2758">
        <f>'Part VI-Pro Forma'!J62</f>
        <v>0</v>
      </c>
      <c r="K762" s="2758">
        <f>'Part VI-Pro Forma'!K62</f>
        <v>0</v>
      </c>
    </row>
    <row r="763" spans="1:11">
      <c r="A763" s="356" t="s">
        <v>1094</v>
      </c>
      <c r="B763" s="2758">
        <f>'Part VI-Pro Forma'!B63</f>
        <v>0</v>
      </c>
      <c r="C763" s="2758">
        <f>'Part VI-Pro Forma'!C63</f>
        <v>0</v>
      </c>
      <c r="D763" s="2758">
        <f>'Part VI-Pro Forma'!D63</f>
        <v>0</v>
      </c>
      <c r="E763" s="2758">
        <f>'Part VI-Pro Forma'!E63</f>
        <v>0</v>
      </c>
      <c r="F763" s="2758">
        <f>'Part VI-Pro Forma'!F63</f>
        <v>0</v>
      </c>
      <c r="G763" s="2758">
        <f>'Part VI-Pro Forma'!G63</f>
        <v>0</v>
      </c>
      <c r="H763" s="2758">
        <f>'Part VI-Pro Forma'!H63</f>
        <v>0</v>
      </c>
      <c r="I763" s="2758">
        <f>'Part VI-Pro Forma'!I63</f>
        <v>0</v>
      </c>
      <c r="J763" s="2758">
        <f>'Part VI-Pro Forma'!J63</f>
        <v>0</v>
      </c>
      <c r="K763" s="2758">
        <f>'Part VI-Pro Forma'!K63</f>
        <v>0</v>
      </c>
    </row>
    <row r="764" spans="1:11">
      <c r="A764" s="356" t="s">
        <v>3276</v>
      </c>
      <c r="B764" s="2758">
        <f>'Part VI-Pro Forma'!B64</f>
        <v>0</v>
      </c>
      <c r="C764" s="2758">
        <f>'Part VI-Pro Forma'!C64</f>
        <v>0</v>
      </c>
      <c r="D764" s="2758">
        <f>'Part VI-Pro Forma'!D64</f>
        <v>0</v>
      </c>
      <c r="E764" s="2758">
        <f>'Part VI-Pro Forma'!E64</f>
        <v>0</v>
      </c>
      <c r="F764" s="2758">
        <f>'Part VI-Pro Forma'!F64</f>
        <v>0</v>
      </c>
      <c r="G764" s="2758">
        <f>'Part VI-Pro Forma'!G64</f>
        <v>0</v>
      </c>
      <c r="H764" s="2758">
        <f>'Part VI-Pro Forma'!H64</f>
        <v>0</v>
      </c>
      <c r="I764" s="2758">
        <f>'Part VI-Pro Forma'!I64</f>
        <v>0</v>
      </c>
      <c r="J764" s="2758">
        <f>'Part VI-Pro Forma'!J64</f>
        <v>0</v>
      </c>
      <c r="K764" s="2758">
        <f>'Part VI-Pro Forma'!K64</f>
        <v>0</v>
      </c>
    </row>
    <row r="765" spans="1:11">
      <c r="A765" s="356" t="s">
        <v>1095</v>
      </c>
      <c r="B765" s="2758">
        <f>'Part VI-Pro Forma'!B65</f>
        <v>0</v>
      </c>
      <c r="C765" s="2758">
        <f>'Part VI-Pro Forma'!C65</f>
        <v>0</v>
      </c>
      <c r="D765" s="2758">
        <f>'Part VI-Pro Forma'!D65</f>
        <v>0</v>
      </c>
      <c r="E765" s="2758">
        <f>'Part VI-Pro Forma'!E65</f>
        <v>0</v>
      </c>
      <c r="F765" s="2758">
        <f>'Part VI-Pro Forma'!F65</f>
        <v>0</v>
      </c>
      <c r="G765" s="2758">
        <f>'Part VI-Pro Forma'!G65</f>
        <v>0</v>
      </c>
      <c r="H765" s="2758">
        <f>'Part VI-Pro Forma'!H65</f>
        <v>0</v>
      </c>
      <c r="I765" s="2758">
        <f>'Part VI-Pro Forma'!I65</f>
        <v>0</v>
      </c>
      <c r="J765" s="2758">
        <f>'Part VI-Pro Forma'!J65</f>
        <v>0</v>
      </c>
      <c r="K765" s="2758">
        <f>'Part VI-Pro Forma'!K65</f>
        <v>0</v>
      </c>
    </row>
    <row r="766" spans="1:11">
      <c r="A766" s="356" t="str">
        <f>$A734</f>
        <v>DCR Mortgage A</v>
      </c>
      <c r="B766" s="2759" t="str">
        <f>'Part VI-Pro Forma'!B66</f>
        <v/>
      </c>
      <c r="C766" s="2759" t="str">
        <f>'Part VI-Pro Forma'!C66</f>
        <v/>
      </c>
      <c r="D766" s="2759" t="str">
        <f>'Part VI-Pro Forma'!D66</f>
        <v/>
      </c>
      <c r="E766" s="2759" t="str">
        <f>'Part VI-Pro Forma'!E66</f>
        <v/>
      </c>
      <c r="F766" s="2759" t="str">
        <f>'Part VI-Pro Forma'!F66</f>
        <v/>
      </c>
      <c r="G766" s="2759" t="str">
        <f>'Part VI-Pro Forma'!G66</f>
        <v/>
      </c>
      <c r="H766" s="2759" t="str">
        <f>'Part VI-Pro Forma'!H66</f>
        <v/>
      </c>
      <c r="I766" s="2759" t="str">
        <f>'Part VI-Pro Forma'!I66</f>
        <v/>
      </c>
      <c r="J766" s="2759" t="str">
        <f>'Part VI-Pro Forma'!J66</f>
        <v/>
      </c>
      <c r="K766" s="2759" t="str">
        <f>'Part VI-Pro Forma'!K66</f>
        <v/>
      </c>
    </row>
    <row r="767" spans="1:11">
      <c r="A767" s="356" t="str">
        <f>$A735</f>
        <v>DCR Mortgage B</v>
      </c>
      <c r="B767" s="2759" t="str">
        <f>'Part VI-Pro Forma'!B67</f>
        <v/>
      </c>
      <c r="C767" s="2759" t="str">
        <f>'Part VI-Pro Forma'!C67</f>
        <v/>
      </c>
      <c r="D767" s="2759" t="str">
        <f>'Part VI-Pro Forma'!D67</f>
        <v/>
      </c>
      <c r="E767" s="2759" t="str">
        <f>'Part VI-Pro Forma'!E67</f>
        <v/>
      </c>
      <c r="F767" s="2759" t="str">
        <f>'Part VI-Pro Forma'!F67</f>
        <v/>
      </c>
      <c r="G767" s="2759" t="str">
        <f>'Part VI-Pro Forma'!G67</f>
        <v/>
      </c>
      <c r="H767" s="2759" t="str">
        <f>'Part VI-Pro Forma'!H67</f>
        <v/>
      </c>
      <c r="I767" s="2759" t="str">
        <f>'Part VI-Pro Forma'!I67</f>
        <v/>
      </c>
      <c r="J767" s="2759" t="str">
        <f>'Part VI-Pro Forma'!J67</f>
        <v/>
      </c>
      <c r="K767" s="2759" t="str">
        <f>'Part VI-Pro Forma'!K67</f>
        <v/>
      </c>
    </row>
    <row r="768" spans="1:11">
      <c r="A768" s="356" t="str">
        <f>$A736</f>
        <v>DCR Mortgage C</v>
      </c>
      <c r="B768" s="2759" t="str">
        <f>'Part VI-Pro Forma'!B68</f>
        <v/>
      </c>
      <c r="C768" s="2759" t="str">
        <f>'Part VI-Pro Forma'!C68</f>
        <v/>
      </c>
      <c r="D768" s="2759" t="str">
        <f>'Part VI-Pro Forma'!D68</f>
        <v/>
      </c>
      <c r="E768" s="2759" t="str">
        <f>'Part VI-Pro Forma'!E68</f>
        <v/>
      </c>
      <c r="F768" s="2759" t="str">
        <f>'Part VI-Pro Forma'!F68</f>
        <v/>
      </c>
      <c r="G768" s="2759" t="str">
        <f>'Part VI-Pro Forma'!G68</f>
        <v/>
      </c>
      <c r="H768" s="2759" t="str">
        <f>'Part VI-Pro Forma'!H68</f>
        <v/>
      </c>
      <c r="I768" s="2759" t="str">
        <f>'Part VI-Pro Forma'!I68</f>
        <v/>
      </c>
      <c r="J768" s="2759" t="str">
        <f>'Part VI-Pro Forma'!J68</f>
        <v/>
      </c>
      <c r="K768" s="2759" t="str">
        <f>'Part VI-Pro Forma'!K68</f>
        <v/>
      </c>
    </row>
    <row r="769" spans="1:11">
      <c r="A769" s="356" t="str">
        <f>$A737</f>
        <v>DCR Other Source</v>
      </c>
      <c r="B769" s="2759" t="str">
        <f>'Part VI-Pro Forma'!B69</f>
        <v/>
      </c>
      <c r="C769" s="2759" t="str">
        <f>'Part VI-Pro Forma'!C69</f>
        <v/>
      </c>
      <c r="D769" s="2759" t="str">
        <f>'Part VI-Pro Forma'!D69</f>
        <v/>
      </c>
      <c r="E769" s="2759" t="str">
        <f>'Part VI-Pro Forma'!E69</f>
        <v/>
      </c>
      <c r="F769" s="2759" t="str">
        <f>'Part VI-Pro Forma'!F69</f>
        <v/>
      </c>
      <c r="G769" s="2759" t="str">
        <f>'Part VI-Pro Forma'!G69</f>
        <v/>
      </c>
      <c r="H769" s="2759" t="str">
        <f>'Part VI-Pro Forma'!H69</f>
        <v/>
      </c>
      <c r="I769" s="2759" t="str">
        <f>'Part VI-Pro Forma'!I69</f>
        <v/>
      </c>
      <c r="J769" s="2759" t="str">
        <f>'Part VI-Pro Forma'!J69</f>
        <v/>
      </c>
      <c r="K769" s="2759" t="str">
        <f>'Part VI-Pro Forma'!K69</f>
        <v/>
      </c>
    </row>
    <row r="770" spans="1:11">
      <c r="A770" s="356" t="s">
        <v>3130</v>
      </c>
      <c r="B770" s="2759" t="str">
        <f>'Part VI-Pro Forma'!B70</f>
        <v/>
      </c>
      <c r="C770" s="2759" t="str">
        <f>'Part VI-Pro Forma'!C70</f>
        <v/>
      </c>
      <c r="D770" s="2759" t="str">
        <f>'Part VI-Pro Forma'!D70</f>
        <v/>
      </c>
      <c r="E770" s="2759" t="str">
        <f>'Part VI-Pro Forma'!E70</f>
        <v/>
      </c>
      <c r="F770" s="2759" t="str">
        <f>'Part VI-Pro Forma'!F70</f>
        <v/>
      </c>
      <c r="G770" s="2759" t="str">
        <f>'Part VI-Pro Forma'!G70</f>
        <v/>
      </c>
      <c r="H770" s="2759" t="str">
        <f>'Part VI-Pro Forma'!H70</f>
        <v/>
      </c>
      <c r="I770" s="2759" t="str">
        <f>'Part VI-Pro Forma'!I70</f>
        <v/>
      </c>
      <c r="J770" s="2759" t="str">
        <f>'Part VI-Pro Forma'!J70</f>
        <v/>
      </c>
      <c r="K770" s="2759" t="str">
        <f>'Part VI-Pro Forma'!K70</f>
        <v/>
      </c>
    </row>
    <row r="771" spans="1:11">
      <c r="A771" s="356" t="s">
        <v>717</v>
      </c>
      <c r="B771" s="2759" t="str">
        <f>'Part VI-Pro Forma'!B71</f>
        <v/>
      </c>
      <c r="C771" s="2759" t="str">
        <f>'Part VI-Pro Forma'!C71</f>
        <v/>
      </c>
      <c r="D771" s="2759" t="str">
        <f>'Part VI-Pro Forma'!D71</f>
        <v/>
      </c>
      <c r="E771" s="2759" t="str">
        <f>'Part VI-Pro Forma'!E71</f>
        <v/>
      </c>
      <c r="F771" s="2759" t="str">
        <f>'Part VI-Pro Forma'!F71</f>
        <v/>
      </c>
      <c r="G771" s="2759" t="str">
        <f>'Part VI-Pro Forma'!G71</f>
        <v/>
      </c>
      <c r="H771" s="2759" t="str">
        <f>'Part VI-Pro Forma'!H71</f>
        <v/>
      </c>
      <c r="I771" s="2759" t="str">
        <f>'Part VI-Pro Forma'!I71</f>
        <v/>
      </c>
      <c r="J771" s="2759" t="str">
        <f>'Part VI-Pro Forma'!J71</f>
        <v/>
      </c>
      <c r="K771" s="2759" t="str">
        <f>'Part VI-Pro Forma'!K71</f>
        <v/>
      </c>
    </row>
    <row r="772" spans="1:11">
      <c r="A772" s="356" t="s">
        <v>2399</v>
      </c>
      <c r="B772" s="2758" t="str">
        <f>'Part VI-Pro Forma'!B72</f>
        <v/>
      </c>
      <c r="C772" s="2758" t="str">
        <f>'Part VI-Pro Forma'!C72</f>
        <v/>
      </c>
      <c r="D772" s="2758" t="str">
        <f>'Part VI-Pro Forma'!D72</f>
        <v/>
      </c>
      <c r="E772" s="2758" t="str">
        <f>'Part VI-Pro Forma'!E72</f>
        <v/>
      </c>
      <c r="F772" s="2758" t="str">
        <f>'Part VI-Pro Forma'!F72</f>
        <v/>
      </c>
      <c r="G772" s="2758" t="str">
        <f>'Part VI-Pro Forma'!G72</f>
        <v/>
      </c>
      <c r="H772" s="2758" t="str">
        <f>'Part VI-Pro Forma'!H72</f>
        <v/>
      </c>
      <c r="I772" s="2758" t="str">
        <f>'Part VI-Pro Forma'!I72</f>
        <v/>
      </c>
      <c r="J772" s="2758" t="str">
        <f>'Part VI-Pro Forma'!J72</f>
        <v/>
      </c>
      <c r="K772" s="2758" t="str">
        <f>'Part VI-Pro Forma'!K72</f>
        <v/>
      </c>
    </row>
    <row r="773" spans="1:11">
      <c r="A773" s="356" t="s">
        <v>2400</v>
      </c>
      <c r="B773" s="2758" t="str">
        <f>'Part VI-Pro Forma'!B73</f>
        <v/>
      </c>
      <c r="C773" s="2758" t="str">
        <f>'Part VI-Pro Forma'!C73</f>
        <v/>
      </c>
      <c r="D773" s="2758" t="str">
        <f>'Part VI-Pro Forma'!D73</f>
        <v/>
      </c>
      <c r="E773" s="2758" t="str">
        <f>'Part VI-Pro Forma'!E73</f>
        <v/>
      </c>
      <c r="F773" s="2758" t="str">
        <f>'Part VI-Pro Forma'!F73</f>
        <v/>
      </c>
      <c r="G773" s="2758" t="str">
        <f>'Part VI-Pro Forma'!G73</f>
        <v/>
      </c>
      <c r="H773" s="2758" t="str">
        <f>'Part VI-Pro Forma'!H73</f>
        <v/>
      </c>
      <c r="I773" s="2758" t="str">
        <f>'Part VI-Pro Forma'!I73</f>
        <v/>
      </c>
      <c r="J773" s="2758" t="str">
        <f>'Part VI-Pro Forma'!J73</f>
        <v/>
      </c>
      <c r="K773" s="2758" t="str">
        <f>'Part VI-Pro Forma'!K73</f>
        <v/>
      </c>
    </row>
    <row r="774" spans="1:11">
      <c r="A774" s="356" t="s">
        <v>2401</v>
      </c>
      <c r="B774" s="2758" t="str">
        <f>'Part VI-Pro Forma'!B74</f>
        <v/>
      </c>
      <c r="C774" s="2758" t="str">
        <f>'Part VI-Pro Forma'!C74</f>
        <v/>
      </c>
      <c r="D774" s="2758" t="str">
        <f>'Part VI-Pro Forma'!D74</f>
        <v/>
      </c>
      <c r="E774" s="2758" t="str">
        <f>'Part VI-Pro Forma'!E74</f>
        <v/>
      </c>
      <c r="F774" s="2758" t="str">
        <f>'Part VI-Pro Forma'!F74</f>
        <v/>
      </c>
      <c r="G774" s="2758" t="str">
        <f>'Part VI-Pro Forma'!G74</f>
        <v/>
      </c>
      <c r="H774" s="2758" t="str">
        <f>'Part VI-Pro Forma'!H74</f>
        <v/>
      </c>
      <c r="I774" s="2758" t="str">
        <f>'Part VI-Pro Forma'!I74</f>
        <v/>
      </c>
      <c r="J774" s="2758" t="str">
        <f>'Part VI-Pro Forma'!J74</f>
        <v/>
      </c>
      <c r="K774" s="2758" t="str">
        <f>'Part VI-Pro Forma'!K74</f>
        <v/>
      </c>
    </row>
    <row r="775" spans="1:11">
      <c r="A775" s="356" t="s">
        <v>729</v>
      </c>
      <c r="B775" s="2758" t="str">
        <f>'Part VI-Pro Forma'!B75</f>
        <v/>
      </c>
      <c r="C775" s="2758" t="str">
        <f>'Part VI-Pro Forma'!C75</f>
        <v/>
      </c>
      <c r="D775" s="2758" t="str">
        <f>'Part VI-Pro Forma'!D75</f>
        <v/>
      </c>
      <c r="E775" s="2758" t="str">
        <f>'Part VI-Pro Forma'!E75</f>
        <v/>
      </c>
      <c r="F775" s="2758" t="str">
        <f>'Part VI-Pro Forma'!F75</f>
        <v/>
      </c>
      <c r="G775" s="2758" t="str">
        <f>'Part VI-Pro Forma'!G75</f>
        <v/>
      </c>
      <c r="H775" s="2758" t="str">
        <f>'Part VI-Pro Forma'!H75</f>
        <v/>
      </c>
      <c r="I775" s="2758" t="str">
        <f>'Part VI-Pro Forma'!I75</f>
        <v/>
      </c>
      <c r="J775" s="2758" t="str">
        <f>'Part VI-Pro Forma'!J75</f>
        <v/>
      </c>
      <c r="K775" s="2758" t="str">
        <f>'Part VI-Pro Forma'!K75</f>
        <v/>
      </c>
    </row>
    <row r="776" spans="1:11">
      <c r="A776" s="356" t="s">
        <v>3277</v>
      </c>
      <c r="B776" s="2758" t="str">
        <f>'Part VI-Pro Forma'!B76</f>
        <v/>
      </c>
      <c r="C776" s="2758" t="str">
        <f>'Part VI-Pro Forma'!C76</f>
        <v/>
      </c>
      <c r="D776" s="2758" t="str">
        <f>'Part VI-Pro Forma'!D76</f>
        <v/>
      </c>
      <c r="E776" s="2758" t="str">
        <f>'Part VI-Pro Forma'!E76</f>
        <v/>
      </c>
      <c r="F776" s="2758" t="str">
        <f>'Part VI-Pro Forma'!F76</f>
        <v/>
      </c>
      <c r="G776" s="2758" t="str">
        <f>'Part VI-Pro Forma'!G76</f>
        <v/>
      </c>
      <c r="H776" s="2758" t="str">
        <f>'Part VI-Pro Forma'!H76</f>
        <v/>
      </c>
      <c r="I776" s="2758" t="str">
        <f>'Part VI-Pro Forma'!I76</f>
        <v/>
      </c>
      <c r="J776" s="2758" t="str">
        <f>'Part VI-Pro Forma'!J76</f>
        <v/>
      </c>
      <c r="K776" s="2758" t="str">
        <f>'Part VI-Pro Forma'!K76</f>
        <v/>
      </c>
    </row>
    <row r="777" spans="1:11">
      <c r="B777" s="2758"/>
      <c r="C777" s="2758"/>
      <c r="D777" s="2758"/>
      <c r="E777" s="2758"/>
      <c r="F777" s="2758"/>
      <c r="G777" s="2758"/>
      <c r="H777" s="2758"/>
      <c r="I777" s="2758"/>
      <c r="J777" s="2758"/>
      <c r="K777" s="2758"/>
    </row>
    <row r="778" spans="1:11" ht="13">
      <c r="A778" s="360" t="s">
        <v>2278</v>
      </c>
      <c r="B778" s="2760">
        <f>K746+1</f>
        <v>21</v>
      </c>
      <c r="C778" s="2760">
        <f t="shared" ref="C778:K778" si="377">B778+1</f>
        <v>22</v>
      </c>
      <c r="D778" s="2760">
        <f t="shared" si="377"/>
        <v>23</v>
      </c>
      <c r="E778" s="2760">
        <f t="shared" si="377"/>
        <v>24</v>
      </c>
      <c r="F778" s="2760">
        <f t="shared" si="377"/>
        <v>25</v>
      </c>
      <c r="G778" s="2760">
        <f t="shared" si="377"/>
        <v>26</v>
      </c>
      <c r="H778" s="2760">
        <f t="shared" si="377"/>
        <v>27</v>
      </c>
      <c r="I778" s="2760">
        <f t="shared" si="377"/>
        <v>28</v>
      </c>
      <c r="J778" s="2760">
        <f t="shared" si="377"/>
        <v>29</v>
      </c>
      <c r="K778" s="2760">
        <f t="shared" si="377"/>
        <v>30</v>
      </c>
    </row>
    <row r="779" spans="1:11">
      <c r="A779" s="356" t="s">
        <v>2209</v>
      </c>
      <c r="B779" s="2758">
        <f>'Part VI-Pro Forma'!B79</f>
        <v>0</v>
      </c>
      <c r="C779" s="2758">
        <f>'Part VI-Pro Forma'!C79</f>
        <v>0</v>
      </c>
      <c r="D779" s="2758">
        <f>'Part VI-Pro Forma'!D79</f>
        <v>0</v>
      </c>
      <c r="E779" s="2758">
        <f>'Part VI-Pro Forma'!E79</f>
        <v>0</v>
      </c>
      <c r="F779" s="2758">
        <f>'Part VI-Pro Forma'!F79</f>
        <v>0</v>
      </c>
      <c r="G779" s="2758">
        <f>'Part VI-Pro Forma'!G79</f>
        <v>0</v>
      </c>
      <c r="H779" s="2758">
        <f>'Part VI-Pro Forma'!H79</f>
        <v>0</v>
      </c>
      <c r="I779" s="2758">
        <f>'Part VI-Pro Forma'!I79</f>
        <v>0</v>
      </c>
      <c r="J779" s="2758">
        <f>'Part VI-Pro Forma'!J79</f>
        <v>0</v>
      </c>
      <c r="K779" s="2758">
        <f>'Part VI-Pro Forma'!K79</f>
        <v>0</v>
      </c>
    </row>
    <row r="780" spans="1:11">
      <c r="A780" s="356" t="s">
        <v>951</v>
      </c>
      <c r="B780" s="2758">
        <f>'Part VI-Pro Forma'!B80</f>
        <v>0</v>
      </c>
      <c r="C780" s="2758">
        <f>'Part VI-Pro Forma'!C80</f>
        <v>0</v>
      </c>
      <c r="D780" s="2758">
        <f>'Part VI-Pro Forma'!D80</f>
        <v>0</v>
      </c>
      <c r="E780" s="2758">
        <f>'Part VI-Pro Forma'!E80</f>
        <v>0</v>
      </c>
      <c r="F780" s="2758">
        <f>'Part VI-Pro Forma'!F80</f>
        <v>0</v>
      </c>
      <c r="G780" s="2758">
        <f>'Part VI-Pro Forma'!G80</f>
        <v>0</v>
      </c>
      <c r="H780" s="2758">
        <f>'Part VI-Pro Forma'!H80</f>
        <v>0</v>
      </c>
      <c r="I780" s="2758">
        <f>'Part VI-Pro Forma'!I80</f>
        <v>0</v>
      </c>
      <c r="J780" s="2758">
        <f>'Part VI-Pro Forma'!J80</f>
        <v>0</v>
      </c>
      <c r="K780" s="2758">
        <f>'Part VI-Pro Forma'!K80</f>
        <v>0</v>
      </c>
    </row>
    <row r="781" spans="1:11">
      <c r="A781" s="356" t="s">
        <v>2210</v>
      </c>
      <c r="B781" s="2758">
        <f>'Part VI-Pro Forma'!B81</f>
        <v>0</v>
      </c>
      <c r="C781" s="2758">
        <f>'Part VI-Pro Forma'!C81</f>
        <v>0</v>
      </c>
      <c r="D781" s="2758">
        <f>'Part VI-Pro Forma'!D81</f>
        <v>0</v>
      </c>
      <c r="E781" s="2758">
        <f>'Part VI-Pro Forma'!E81</f>
        <v>0</v>
      </c>
      <c r="F781" s="2758">
        <f>'Part VI-Pro Forma'!F81</f>
        <v>0</v>
      </c>
      <c r="G781" s="2758">
        <f>'Part VI-Pro Forma'!G81</f>
        <v>0</v>
      </c>
      <c r="H781" s="2758">
        <f>'Part VI-Pro Forma'!H81</f>
        <v>0</v>
      </c>
      <c r="I781" s="2758">
        <f>'Part VI-Pro Forma'!I81</f>
        <v>0</v>
      </c>
      <c r="J781" s="2758">
        <f>'Part VI-Pro Forma'!J81</f>
        <v>0</v>
      </c>
      <c r="K781" s="2758">
        <f>'Part VI-Pro Forma'!K81</f>
        <v>0</v>
      </c>
    </row>
    <row r="782" spans="1:11">
      <c r="A782" s="356" t="s">
        <v>47</v>
      </c>
      <c r="B782" s="2758">
        <f>'Part VI-Pro Forma'!B82</f>
        <v>0</v>
      </c>
      <c r="C782" s="2758">
        <f>'Part VI-Pro Forma'!C82</f>
        <v>0</v>
      </c>
      <c r="D782" s="2758">
        <f>'Part VI-Pro Forma'!D82</f>
        <v>0</v>
      </c>
      <c r="E782" s="2758">
        <f>'Part VI-Pro Forma'!E82</f>
        <v>0</v>
      </c>
      <c r="F782" s="2758">
        <f>'Part VI-Pro Forma'!F82</f>
        <v>0</v>
      </c>
      <c r="G782" s="2758">
        <f>'Part VI-Pro Forma'!G82</f>
        <v>0</v>
      </c>
      <c r="H782" s="2758">
        <f>'Part VI-Pro Forma'!H82</f>
        <v>0</v>
      </c>
      <c r="I782" s="2758">
        <f>'Part VI-Pro Forma'!I82</f>
        <v>0</v>
      </c>
      <c r="J782" s="2758">
        <f>'Part VI-Pro Forma'!J82</f>
        <v>0</v>
      </c>
      <c r="K782" s="2758">
        <f>'Part VI-Pro Forma'!K82</f>
        <v>0</v>
      </c>
    </row>
    <row r="783" spans="1:11">
      <c r="A783" s="356" t="s">
        <v>48</v>
      </c>
      <c r="B783" s="2758">
        <f>'Part VI-Pro Forma'!B83</f>
        <v>0</v>
      </c>
      <c r="C783" s="2758">
        <f>'Part VI-Pro Forma'!C83</f>
        <v>0</v>
      </c>
      <c r="D783" s="2758">
        <f>'Part VI-Pro Forma'!D83</f>
        <v>0</v>
      </c>
      <c r="E783" s="2758">
        <f>'Part VI-Pro Forma'!E83</f>
        <v>0</v>
      </c>
      <c r="F783" s="2758">
        <f>'Part VI-Pro Forma'!F83</f>
        <v>0</v>
      </c>
      <c r="G783" s="2758">
        <f>'Part VI-Pro Forma'!G83</f>
        <v>0</v>
      </c>
      <c r="H783" s="2758">
        <f>'Part VI-Pro Forma'!H83</f>
        <v>0</v>
      </c>
      <c r="I783" s="2758">
        <f>'Part VI-Pro Forma'!I83</f>
        <v>0</v>
      </c>
      <c r="J783" s="2758">
        <f>'Part VI-Pro Forma'!J83</f>
        <v>0</v>
      </c>
      <c r="K783" s="2758">
        <f>'Part VI-Pro Forma'!K83</f>
        <v>0</v>
      </c>
    </row>
    <row r="784" spans="1:11">
      <c r="A784" s="356" t="s">
        <v>3717</v>
      </c>
      <c r="B784" s="2758">
        <f>'Part VI-Pro Forma'!B84</f>
        <v>0</v>
      </c>
      <c r="C784" s="2758">
        <f>'Part VI-Pro Forma'!C84</f>
        <v>0</v>
      </c>
      <c r="D784" s="2758">
        <f>'Part VI-Pro Forma'!D84</f>
        <v>0</v>
      </c>
      <c r="E784" s="2758">
        <f>'Part VI-Pro Forma'!E84</f>
        <v>0</v>
      </c>
      <c r="F784" s="2758">
        <f>'Part VI-Pro Forma'!F84</f>
        <v>0</v>
      </c>
      <c r="G784" s="2758">
        <f>'Part VI-Pro Forma'!G84</f>
        <v>0</v>
      </c>
      <c r="H784" s="2758">
        <f>'Part VI-Pro Forma'!H84</f>
        <v>0</v>
      </c>
      <c r="I784" s="2758">
        <f>'Part VI-Pro Forma'!I84</f>
        <v>0</v>
      </c>
      <c r="J784" s="2758">
        <f>'Part VI-Pro Forma'!J84</f>
        <v>0</v>
      </c>
      <c r="K784" s="2758">
        <f>'Part VI-Pro Forma'!K84</f>
        <v>0</v>
      </c>
    </row>
    <row r="785" spans="1:11">
      <c r="A785" s="356" t="s">
        <v>571</v>
      </c>
      <c r="B785" s="2758">
        <f>'Part VI-Pro Forma'!B85</f>
        <v>0</v>
      </c>
      <c r="C785" s="2758">
        <f>'Part VI-Pro Forma'!C85</f>
        <v>0</v>
      </c>
      <c r="D785" s="2758">
        <f>'Part VI-Pro Forma'!D85</f>
        <v>0</v>
      </c>
      <c r="E785" s="2758">
        <f>'Part VI-Pro Forma'!E85</f>
        <v>0</v>
      </c>
      <c r="F785" s="2758">
        <f>'Part VI-Pro Forma'!F85</f>
        <v>0</v>
      </c>
      <c r="G785" s="2758">
        <f>'Part VI-Pro Forma'!G85</f>
        <v>0</v>
      </c>
      <c r="H785" s="2758">
        <f>'Part VI-Pro Forma'!H85</f>
        <v>0</v>
      </c>
      <c r="I785" s="2758">
        <f>'Part VI-Pro Forma'!I85</f>
        <v>0</v>
      </c>
      <c r="J785" s="2758">
        <f>'Part VI-Pro Forma'!J85</f>
        <v>0</v>
      </c>
      <c r="K785" s="2758">
        <f>'Part VI-Pro Forma'!K85</f>
        <v>0</v>
      </c>
    </row>
    <row r="786" spans="1:11">
      <c r="A786" s="356" t="s">
        <v>1049</v>
      </c>
      <c r="B786" s="2758" t="str">
        <f>'Part VI-Pro Forma'!B86</f>
        <v>Choose mgt fee</v>
      </c>
      <c r="C786" s="2758" t="str">
        <f>'Part VI-Pro Forma'!C86</f>
        <v>Choose mgt fee</v>
      </c>
      <c r="D786" s="2758" t="str">
        <f>'Part VI-Pro Forma'!D86</f>
        <v>Choose mgt fee</v>
      </c>
      <c r="E786" s="2758" t="str">
        <f>'Part VI-Pro Forma'!E86</f>
        <v>Choose mgt fee</v>
      </c>
      <c r="F786" s="2758" t="str">
        <f>'Part VI-Pro Forma'!F86</f>
        <v>Choose mgt fee</v>
      </c>
      <c r="G786" s="2758" t="str">
        <f>'Part VI-Pro Forma'!G86</f>
        <v>Choose mgt fee</v>
      </c>
      <c r="H786" s="2758" t="str">
        <f>'Part VI-Pro Forma'!H86</f>
        <v>Choose mgt fee</v>
      </c>
      <c r="I786" s="2758" t="str">
        <f>'Part VI-Pro Forma'!I86</f>
        <v>Choose mgt fee</v>
      </c>
      <c r="J786" s="2758" t="str">
        <f>'Part VI-Pro Forma'!J86</f>
        <v>Choose mgt fee</v>
      </c>
      <c r="K786" s="2758" t="str">
        <f>'Part VI-Pro Forma'!K86</f>
        <v>Choose mgt fee</v>
      </c>
    </row>
    <row r="787" spans="1:11">
      <c r="A787" s="356" t="s">
        <v>1127</v>
      </c>
      <c r="B787" s="2758">
        <f>'Part VI-Pro Forma'!B87</f>
        <v>0</v>
      </c>
      <c r="C787" s="2758">
        <f>'Part VI-Pro Forma'!C87</f>
        <v>0</v>
      </c>
      <c r="D787" s="2758">
        <f>'Part VI-Pro Forma'!D87</f>
        <v>0</v>
      </c>
      <c r="E787" s="2758">
        <f>'Part VI-Pro Forma'!E87</f>
        <v>0</v>
      </c>
      <c r="F787" s="2758">
        <f>'Part VI-Pro Forma'!F87</f>
        <v>0</v>
      </c>
      <c r="G787" s="2758">
        <f>'Part VI-Pro Forma'!G87</f>
        <v>0</v>
      </c>
      <c r="H787" s="2758">
        <f>'Part VI-Pro Forma'!H87</f>
        <v>0</v>
      </c>
      <c r="I787" s="2758">
        <f>'Part VI-Pro Forma'!I87</f>
        <v>0</v>
      </c>
      <c r="J787" s="2758">
        <f>'Part VI-Pro Forma'!J87</f>
        <v>0</v>
      </c>
      <c r="K787" s="2758">
        <f>'Part VI-Pro Forma'!K87</f>
        <v>0</v>
      </c>
    </row>
    <row r="788" spans="1:11">
      <c r="A788" s="356" t="s">
        <v>3716</v>
      </c>
      <c r="B788" s="2758">
        <f>'Part VI-Pro Forma'!B88</f>
        <v>0</v>
      </c>
      <c r="C788" s="2758">
        <f>'Part VI-Pro Forma'!C88</f>
        <v>0</v>
      </c>
      <c r="D788" s="2758">
        <f>'Part VI-Pro Forma'!D88</f>
        <v>0</v>
      </c>
      <c r="E788" s="2758">
        <f>'Part VI-Pro Forma'!E88</f>
        <v>0</v>
      </c>
      <c r="F788" s="2758">
        <f>'Part VI-Pro Forma'!F88</f>
        <v>0</v>
      </c>
      <c r="G788" s="2758">
        <f>'Part VI-Pro Forma'!G88</f>
        <v>0</v>
      </c>
      <c r="H788" s="2758">
        <f>'Part VI-Pro Forma'!H88</f>
        <v>0</v>
      </c>
      <c r="I788" s="2758">
        <f>'Part VI-Pro Forma'!I88</f>
        <v>0</v>
      </c>
      <c r="J788" s="2758">
        <f>'Part VI-Pro Forma'!J88</f>
        <v>0</v>
      </c>
      <c r="K788" s="2758">
        <f>'Part VI-Pro Forma'!K88</f>
        <v>0</v>
      </c>
    </row>
    <row r="789" spans="1:11">
      <c r="A789" s="356" t="s">
        <v>1128</v>
      </c>
      <c r="B789" s="2758">
        <f>'Part VI-Pro Forma'!B89</f>
        <v>0</v>
      </c>
      <c r="C789" s="2758">
        <f>'Part VI-Pro Forma'!C89</f>
        <v>0</v>
      </c>
      <c r="D789" s="2758">
        <f>'Part VI-Pro Forma'!D89</f>
        <v>0</v>
      </c>
      <c r="E789" s="2758">
        <f>'Part VI-Pro Forma'!E89</f>
        <v>0</v>
      </c>
      <c r="F789" s="2758">
        <f>'Part VI-Pro Forma'!F89</f>
        <v>0</v>
      </c>
      <c r="G789" s="2758">
        <f>'Part VI-Pro Forma'!G89</f>
        <v>0</v>
      </c>
      <c r="H789" s="2758">
        <f>'Part VI-Pro Forma'!H89</f>
        <v>0</v>
      </c>
      <c r="I789" s="2758">
        <f>'Part VI-Pro Forma'!I89</f>
        <v>0</v>
      </c>
      <c r="J789" s="2758">
        <f>'Part VI-Pro Forma'!J89</f>
        <v>0</v>
      </c>
      <c r="K789" s="2758">
        <f>'Part VI-Pro Forma'!K89</f>
        <v>0</v>
      </c>
    </row>
    <row r="790" spans="1:11">
      <c r="A790" s="356" t="str">
        <f>$A758</f>
        <v>Mortgage A</v>
      </c>
      <c r="B790" s="2758">
        <f>'Part VI-Pro Forma'!B90</f>
        <v>0</v>
      </c>
      <c r="C790" s="2758">
        <f>'Part VI-Pro Forma'!C90</f>
        <v>0</v>
      </c>
      <c r="D790" s="2758">
        <f>'Part VI-Pro Forma'!D90</f>
        <v>0</v>
      </c>
      <c r="E790" s="2758">
        <f>'Part VI-Pro Forma'!E90</f>
        <v>0</v>
      </c>
      <c r="F790" s="2758">
        <f>'Part VI-Pro Forma'!F90</f>
        <v>0</v>
      </c>
      <c r="G790" s="2758">
        <f>'Part VI-Pro Forma'!G90</f>
        <v>0</v>
      </c>
      <c r="H790" s="2758">
        <f>'Part VI-Pro Forma'!H90</f>
        <v>0</v>
      </c>
      <c r="I790" s="2758">
        <f>'Part VI-Pro Forma'!I90</f>
        <v>0</v>
      </c>
      <c r="J790" s="2758">
        <f>'Part VI-Pro Forma'!J90</f>
        <v>0</v>
      </c>
      <c r="K790" s="2758">
        <f>'Part VI-Pro Forma'!K90</f>
        <v>0</v>
      </c>
    </row>
    <row r="791" spans="1:11">
      <c r="A791" s="356" t="str">
        <f>$A759</f>
        <v>Mortgage B</v>
      </c>
      <c r="B791" s="2758">
        <f>'Part VI-Pro Forma'!B91</f>
        <v>0</v>
      </c>
      <c r="C791" s="2758">
        <f>'Part VI-Pro Forma'!C91</f>
        <v>0</v>
      </c>
      <c r="D791" s="2758">
        <f>'Part VI-Pro Forma'!D91</f>
        <v>0</v>
      </c>
      <c r="E791" s="2758">
        <f>'Part VI-Pro Forma'!E91</f>
        <v>0</v>
      </c>
      <c r="F791" s="2758">
        <f>'Part VI-Pro Forma'!F91</f>
        <v>0</v>
      </c>
      <c r="G791" s="2758">
        <f>'Part VI-Pro Forma'!G91</f>
        <v>0</v>
      </c>
      <c r="H791" s="2758">
        <f>'Part VI-Pro Forma'!H91</f>
        <v>0</v>
      </c>
      <c r="I791" s="2758">
        <f>'Part VI-Pro Forma'!I91</f>
        <v>0</v>
      </c>
      <c r="J791" s="2758">
        <f>'Part VI-Pro Forma'!J91</f>
        <v>0</v>
      </c>
      <c r="K791" s="2758">
        <f>'Part VI-Pro Forma'!K91</f>
        <v>0</v>
      </c>
    </row>
    <row r="792" spans="1:11">
      <c r="A792" s="356" t="str">
        <f>$A760</f>
        <v>Mortgage C</v>
      </c>
      <c r="B792" s="2758">
        <f>'Part VI-Pro Forma'!B92</f>
        <v>0</v>
      </c>
      <c r="C792" s="2758">
        <f>'Part VI-Pro Forma'!C92</f>
        <v>0</v>
      </c>
      <c r="D792" s="2758">
        <f>'Part VI-Pro Forma'!D92</f>
        <v>0</v>
      </c>
      <c r="E792" s="2758">
        <f>'Part VI-Pro Forma'!E92</f>
        <v>0</v>
      </c>
      <c r="F792" s="2758">
        <f>'Part VI-Pro Forma'!F92</f>
        <v>0</v>
      </c>
      <c r="G792" s="2758">
        <f>'Part VI-Pro Forma'!G92</f>
        <v>0</v>
      </c>
      <c r="H792" s="2758">
        <f>'Part VI-Pro Forma'!H92</f>
        <v>0</v>
      </c>
      <c r="I792" s="2758">
        <f>'Part VI-Pro Forma'!I92</f>
        <v>0</v>
      </c>
      <c r="J792" s="2758">
        <f>'Part VI-Pro Forma'!J92</f>
        <v>0</v>
      </c>
      <c r="K792" s="2758">
        <f>'Part VI-Pro Forma'!K92</f>
        <v>0</v>
      </c>
    </row>
    <row r="793" spans="1:11">
      <c r="A793" s="356" t="str">
        <f>$A761</f>
        <v>D/S Other Source,not DDF</v>
      </c>
      <c r="B793" s="2758">
        <f>'Part VI-Pro Forma'!B93</f>
        <v>0</v>
      </c>
      <c r="C793" s="2758">
        <f>'Part VI-Pro Forma'!C93</f>
        <v>0</v>
      </c>
      <c r="D793" s="2758">
        <f>'Part VI-Pro Forma'!D93</f>
        <v>0</v>
      </c>
      <c r="E793" s="2758">
        <f>'Part VI-Pro Forma'!E93</f>
        <v>0</v>
      </c>
      <c r="F793" s="2758">
        <f>'Part VI-Pro Forma'!F93</f>
        <v>0</v>
      </c>
      <c r="G793" s="2758">
        <f>'Part VI-Pro Forma'!G93</f>
        <v>0</v>
      </c>
      <c r="H793" s="2758">
        <f>'Part VI-Pro Forma'!H93</f>
        <v>0</v>
      </c>
      <c r="I793" s="2758">
        <f>'Part VI-Pro Forma'!I93</f>
        <v>0</v>
      </c>
      <c r="J793" s="2758">
        <f>'Part VI-Pro Forma'!J93</f>
        <v>0</v>
      </c>
      <c r="K793" s="2758">
        <f>'Part VI-Pro Forma'!K93</f>
        <v>0</v>
      </c>
    </row>
    <row r="794" spans="1:11">
      <c r="A794" s="356" t="s">
        <v>710</v>
      </c>
      <c r="B794" s="2758">
        <f>'Part VI-Pro Forma'!B94</f>
        <v>0</v>
      </c>
      <c r="C794" s="2758">
        <f>'Part VI-Pro Forma'!C94</f>
        <v>0</v>
      </c>
      <c r="D794" s="2758">
        <f>'Part VI-Pro Forma'!D94</f>
        <v>0</v>
      </c>
      <c r="E794" s="2758">
        <f>'Part VI-Pro Forma'!E94</f>
        <v>0</v>
      </c>
      <c r="F794" s="2758">
        <f>'Part VI-Pro Forma'!F94</f>
        <v>0</v>
      </c>
      <c r="G794" s="2758">
        <f>'Part VI-Pro Forma'!G94</f>
        <v>0</v>
      </c>
      <c r="H794" s="2758">
        <f>'Part VI-Pro Forma'!H94</f>
        <v>0</v>
      </c>
      <c r="I794" s="2758">
        <f>'Part VI-Pro Forma'!I94</f>
        <v>0</v>
      </c>
      <c r="J794" s="2758">
        <f>'Part VI-Pro Forma'!J94</f>
        <v>0</v>
      </c>
      <c r="K794" s="2758">
        <f>'Part VI-Pro Forma'!K94</f>
        <v>0</v>
      </c>
    </row>
    <row r="795" spans="1:11">
      <c r="A795" s="356" t="s">
        <v>1094</v>
      </c>
      <c r="B795" s="2758">
        <f>'Part VI-Pro Forma'!B95</f>
        <v>0</v>
      </c>
      <c r="C795" s="2758">
        <f>'Part VI-Pro Forma'!C95</f>
        <v>0</v>
      </c>
      <c r="D795" s="2758">
        <f>'Part VI-Pro Forma'!D95</f>
        <v>0</v>
      </c>
      <c r="E795" s="2758">
        <f>'Part VI-Pro Forma'!E95</f>
        <v>0</v>
      </c>
      <c r="F795" s="2758">
        <f>'Part VI-Pro Forma'!F95</f>
        <v>0</v>
      </c>
      <c r="G795" s="2758">
        <f>'Part VI-Pro Forma'!G95</f>
        <v>0</v>
      </c>
      <c r="H795" s="2758">
        <f>'Part VI-Pro Forma'!H95</f>
        <v>0</v>
      </c>
      <c r="I795" s="2758">
        <f>'Part VI-Pro Forma'!I95</f>
        <v>0</v>
      </c>
      <c r="J795" s="2758">
        <f>'Part VI-Pro Forma'!J95</f>
        <v>0</v>
      </c>
      <c r="K795" s="2758">
        <f>'Part VI-Pro Forma'!K95</f>
        <v>0</v>
      </c>
    </row>
    <row r="796" spans="1:11">
      <c r="A796" s="356" t="s">
        <v>1095</v>
      </c>
      <c r="B796" s="2758">
        <f>'Part VI-Pro Forma'!B96</f>
        <v>0</v>
      </c>
      <c r="C796" s="2758">
        <f>'Part VI-Pro Forma'!C96</f>
        <v>0</v>
      </c>
      <c r="D796" s="2758">
        <f>'Part VI-Pro Forma'!D96</f>
        <v>0</v>
      </c>
      <c r="E796" s="2758">
        <f>'Part VI-Pro Forma'!E96</f>
        <v>0</v>
      </c>
      <c r="F796" s="2758">
        <f>'Part VI-Pro Forma'!F96</f>
        <v>0</v>
      </c>
      <c r="G796" s="2758">
        <f>'Part VI-Pro Forma'!G96</f>
        <v>0</v>
      </c>
      <c r="H796" s="2758">
        <f>'Part VI-Pro Forma'!H96</f>
        <v>0</v>
      </c>
      <c r="I796" s="2758">
        <f>'Part VI-Pro Forma'!I96</f>
        <v>0</v>
      </c>
      <c r="J796" s="2758">
        <f>'Part VI-Pro Forma'!J96</f>
        <v>0</v>
      </c>
      <c r="K796" s="2758">
        <f>'Part VI-Pro Forma'!K96</f>
        <v>0</v>
      </c>
    </row>
    <row r="797" spans="1:11">
      <c r="A797" s="356" t="str">
        <f>$A766</f>
        <v>DCR Mortgage A</v>
      </c>
      <c r="B797" s="2759" t="str">
        <f>'Part VI-Pro Forma'!B97</f>
        <v/>
      </c>
      <c r="C797" s="2759" t="str">
        <f>'Part VI-Pro Forma'!C97</f>
        <v/>
      </c>
      <c r="D797" s="2759" t="str">
        <f>'Part VI-Pro Forma'!D97</f>
        <v/>
      </c>
      <c r="E797" s="2759" t="str">
        <f>'Part VI-Pro Forma'!E97</f>
        <v/>
      </c>
      <c r="F797" s="2759" t="str">
        <f>'Part VI-Pro Forma'!F97</f>
        <v/>
      </c>
      <c r="G797" s="2759" t="str">
        <f>'Part VI-Pro Forma'!G97</f>
        <v/>
      </c>
      <c r="H797" s="2759" t="str">
        <f>'Part VI-Pro Forma'!H97</f>
        <v/>
      </c>
      <c r="I797" s="2759" t="str">
        <f>'Part VI-Pro Forma'!I97</f>
        <v/>
      </c>
      <c r="J797" s="2759" t="str">
        <f>'Part VI-Pro Forma'!J97</f>
        <v/>
      </c>
      <c r="K797" s="2759" t="str">
        <f>'Part VI-Pro Forma'!K97</f>
        <v/>
      </c>
    </row>
    <row r="798" spans="1:11">
      <c r="A798" s="356" t="str">
        <f>$A767</f>
        <v>DCR Mortgage B</v>
      </c>
      <c r="B798" s="2759" t="str">
        <f>'Part VI-Pro Forma'!B98</f>
        <v/>
      </c>
      <c r="C798" s="2759" t="str">
        <f>'Part VI-Pro Forma'!C98</f>
        <v/>
      </c>
      <c r="D798" s="2759" t="str">
        <f>'Part VI-Pro Forma'!D98</f>
        <v/>
      </c>
      <c r="E798" s="2759" t="str">
        <f>'Part VI-Pro Forma'!E98</f>
        <v/>
      </c>
      <c r="F798" s="2759" t="str">
        <f>'Part VI-Pro Forma'!F98</f>
        <v/>
      </c>
      <c r="G798" s="2759" t="str">
        <f>'Part VI-Pro Forma'!G98</f>
        <v/>
      </c>
      <c r="H798" s="2759" t="str">
        <f>'Part VI-Pro Forma'!H98</f>
        <v/>
      </c>
      <c r="I798" s="2759" t="str">
        <f>'Part VI-Pro Forma'!I98</f>
        <v/>
      </c>
      <c r="J798" s="2759" t="str">
        <f>'Part VI-Pro Forma'!J98</f>
        <v/>
      </c>
      <c r="K798" s="2759" t="str">
        <f>'Part VI-Pro Forma'!K98</f>
        <v/>
      </c>
    </row>
    <row r="799" spans="1:11">
      <c r="A799" s="356" t="str">
        <f>$A768</f>
        <v>DCR Mortgage C</v>
      </c>
      <c r="B799" s="2759" t="str">
        <f>'Part VI-Pro Forma'!B99</f>
        <v/>
      </c>
      <c r="C799" s="2759" t="str">
        <f>'Part VI-Pro Forma'!C99</f>
        <v/>
      </c>
      <c r="D799" s="2759" t="str">
        <f>'Part VI-Pro Forma'!D99</f>
        <v/>
      </c>
      <c r="E799" s="2759" t="str">
        <f>'Part VI-Pro Forma'!E99</f>
        <v/>
      </c>
      <c r="F799" s="2759" t="str">
        <f>'Part VI-Pro Forma'!F99</f>
        <v/>
      </c>
      <c r="G799" s="2759" t="str">
        <f>'Part VI-Pro Forma'!G99</f>
        <v/>
      </c>
      <c r="H799" s="2759" t="str">
        <f>'Part VI-Pro Forma'!H99</f>
        <v/>
      </c>
      <c r="I799" s="2759" t="str">
        <f>'Part VI-Pro Forma'!I99</f>
        <v/>
      </c>
      <c r="J799" s="2759" t="str">
        <f>'Part VI-Pro Forma'!J99</f>
        <v/>
      </c>
      <c r="K799" s="2759" t="str">
        <f>'Part VI-Pro Forma'!K99</f>
        <v/>
      </c>
    </row>
    <row r="800" spans="1:11">
      <c r="A800" s="356" t="str">
        <f>$A769</f>
        <v>DCR Other Source</v>
      </c>
      <c r="B800" s="2759" t="str">
        <f>'Part VI-Pro Forma'!B100</f>
        <v/>
      </c>
      <c r="C800" s="2759" t="str">
        <f>'Part VI-Pro Forma'!C100</f>
        <v/>
      </c>
      <c r="D800" s="2759" t="str">
        <f>'Part VI-Pro Forma'!D100</f>
        <v/>
      </c>
      <c r="E800" s="2759" t="str">
        <f>'Part VI-Pro Forma'!E100</f>
        <v/>
      </c>
      <c r="F800" s="2759" t="str">
        <f>'Part VI-Pro Forma'!F100</f>
        <v/>
      </c>
      <c r="G800" s="2759" t="str">
        <f>'Part VI-Pro Forma'!G100</f>
        <v/>
      </c>
      <c r="H800" s="2759" t="str">
        <f>'Part VI-Pro Forma'!H100</f>
        <v/>
      </c>
      <c r="I800" s="2759" t="str">
        <f>'Part VI-Pro Forma'!I100</f>
        <v/>
      </c>
      <c r="J800" s="2759" t="str">
        <f>'Part VI-Pro Forma'!J100</f>
        <v/>
      </c>
      <c r="K800" s="2759" t="str">
        <f>'Part VI-Pro Forma'!K100</f>
        <v/>
      </c>
    </row>
    <row r="801" spans="1:11">
      <c r="A801" s="356" t="s">
        <v>3130</v>
      </c>
      <c r="B801" s="2759" t="str">
        <f>'Part VI-Pro Forma'!B101</f>
        <v/>
      </c>
      <c r="C801" s="2759" t="str">
        <f>'Part VI-Pro Forma'!C101</f>
        <v/>
      </c>
      <c r="D801" s="2759" t="str">
        <f>'Part VI-Pro Forma'!D101</f>
        <v/>
      </c>
      <c r="E801" s="2759" t="str">
        <f>'Part VI-Pro Forma'!E101</f>
        <v/>
      </c>
      <c r="F801" s="2759" t="str">
        <f>'Part VI-Pro Forma'!F101</f>
        <v/>
      </c>
      <c r="G801" s="2759" t="str">
        <f>'Part VI-Pro Forma'!G101</f>
        <v/>
      </c>
      <c r="H801" s="2759" t="str">
        <f>'Part VI-Pro Forma'!H101</f>
        <v/>
      </c>
      <c r="I801" s="2759" t="str">
        <f>'Part VI-Pro Forma'!I101</f>
        <v/>
      </c>
      <c r="J801" s="2759" t="str">
        <f>'Part VI-Pro Forma'!J101</f>
        <v/>
      </c>
      <c r="K801" s="2759" t="str">
        <f>'Part VI-Pro Forma'!K101</f>
        <v/>
      </c>
    </row>
    <row r="802" spans="1:11">
      <c r="A802" s="356" t="s">
        <v>717</v>
      </c>
      <c r="B802" s="2759" t="str">
        <f>'Part VI-Pro Forma'!B102</f>
        <v/>
      </c>
      <c r="C802" s="2759" t="str">
        <f>'Part VI-Pro Forma'!C102</f>
        <v/>
      </c>
      <c r="D802" s="2759" t="str">
        <f>'Part VI-Pro Forma'!D102</f>
        <v/>
      </c>
      <c r="E802" s="2759" t="str">
        <f>'Part VI-Pro Forma'!E102</f>
        <v/>
      </c>
      <c r="F802" s="2759" t="str">
        <f>'Part VI-Pro Forma'!F102</f>
        <v/>
      </c>
      <c r="G802" s="2759" t="str">
        <f>'Part VI-Pro Forma'!G102</f>
        <v/>
      </c>
      <c r="H802" s="2759" t="str">
        <f>'Part VI-Pro Forma'!H102</f>
        <v/>
      </c>
      <c r="I802" s="2759" t="str">
        <f>'Part VI-Pro Forma'!I102</f>
        <v/>
      </c>
      <c r="J802" s="2759" t="str">
        <f>'Part VI-Pro Forma'!J102</f>
        <v/>
      </c>
      <c r="K802" s="2759" t="str">
        <f>'Part VI-Pro Forma'!K102</f>
        <v/>
      </c>
    </row>
    <row r="803" spans="1:11">
      <c r="A803" s="356" t="s">
        <v>2399</v>
      </c>
      <c r="B803" s="2758" t="str">
        <f>'Part VI-Pro Forma'!B103</f>
        <v/>
      </c>
      <c r="C803" s="2758" t="str">
        <f>'Part VI-Pro Forma'!C103</f>
        <v/>
      </c>
      <c r="D803" s="2758" t="str">
        <f>'Part VI-Pro Forma'!D103</f>
        <v/>
      </c>
      <c r="E803" s="2758" t="str">
        <f>'Part VI-Pro Forma'!E103</f>
        <v/>
      </c>
      <c r="F803" s="2758" t="str">
        <f>'Part VI-Pro Forma'!F103</f>
        <v/>
      </c>
      <c r="G803" s="2758" t="str">
        <f>'Part VI-Pro Forma'!G103</f>
        <v/>
      </c>
      <c r="H803" s="2758" t="str">
        <f>'Part VI-Pro Forma'!H103</f>
        <v/>
      </c>
      <c r="I803" s="2758" t="str">
        <f>'Part VI-Pro Forma'!I103</f>
        <v/>
      </c>
      <c r="J803" s="2758" t="str">
        <f>'Part VI-Pro Forma'!J103</f>
        <v/>
      </c>
      <c r="K803" s="2758" t="str">
        <f>'Part VI-Pro Forma'!K103</f>
        <v/>
      </c>
    </row>
    <row r="804" spans="1:11">
      <c r="A804" s="356" t="s">
        <v>2400</v>
      </c>
      <c r="B804" s="2758" t="str">
        <f>'Part VI-Pro Forma'!B104</f>
        <v/>
      </c>
      <c r="C804" s="2758" t="str">
        <f>'Part VI-Pro Forma'!C104</f>
        <v/>
      </c>
      <c r="D804" s="2758" t="str">
        <f>'Part VI-Pro Forma'!D104</f>
        <v/>
      </c>
      <c r="E804" s="2758" t="str">
        <f>'Part VI-Pro Forma'!E104</f>
        <v/>
      </c>
      <c r="F804" s="2758" t="str">
        <f>'Part VI-Pro Forma'!F104</f>
        <v/>
      </c>
      <c r="G804" s="2758" t="str">
        <f>'Part VI-Pro Forma'!G104</f>
        <v/>
      </c>
      <c r="H804" s="2758" t="str">
        <f>'Part VI-Pro Forma'!H104</f>
        <v/>
      </c>
      <c r="I804" s="2758" t="str">
        <f>'Part VI-Pro Forma'!I104</f>
        <v/>
      </c>
      <c r="J804" s="2758" t="str">
        <f>'Part VI-Pro Forma'!J104</f>
        <v/>
      </c>
      <c r="K804" s="2758" t="str">
        <f>'Part VI-Pro Forma'!K104</f>
        <v/>
      </c>
    </row>
    <row r="805" spans="1:11">
      <c r="A805" s="356" t="s">
        <v>2401</v>
      </c>
      <c r="B805" s="2758" t="str">
        <f>'Part VI-Pro Forma'!B105</f>
        <v/>
      </c>
      <c r="C805" s="2758" t="str">
        <f>'Part VI-Pro Forma'!C105</f>
        <v/>
      </c>
      <c r="D805" s="2758" t="str">
        <f>'Part VI-Pro Forma'!D105</f>
        <v/>
      </c>
      <c r="E805" s="2758" t="str">
        <f>'Part VI-Pro Forma'!E105</f>
        <v/>
      </c>
      <c r="F805" s="2758" t="str">
        <f>'Part VI-Pro Forma'!F105</f>
        <v/>
      </c>
      <c r="G805" s="2758" t="str">
        <f>'Part VI-Pro Forma'!G105</f>
        <v/>
      </c>
      <c r="H805" s="2758" t="str">
        <f>'Part VI-Pro Forma'!H105</f>
        <v/>
      </c>
      <c r="I805" s="2758" t="str">
        <f>'Part VI-Pro Forma'!I105</f>
        <v/>
      </c>
      <c r="J805" s="2758" t="str">
        <f>'Part VI-Pro Forma'!J105</f>
        <v/>
      </c>
      <c r="K805" s="2758" t="str">
        <f>'Part VI-Pro Forma'!K105</f>
        <v/>
      </c>
    </row>
    <row r="806" spans="1:11">
      <c r="A806" s="356" t="s">
        <v>729</v>
      </c>
      <c r="B806" s="2758" t="str">
        <f>'Part VI-Pro Forma'!B106</f>
        <v/>
      </c>
      <c r="C806" s="2758" t="str">
        <f>'Part VI-Pro Forma'!C106</f>
        <v/>
      </c>
      <c r="D806" s="2758" t="str">
        <f>'Part VI-Pro Forma'!D106</f>
        <v/>
      </c>
      <c r="E806" s="2758" t="str">
        <f>'Part VI-Pro Forma'!E106</f>
        <v/>
      </c>
      <c r="F806" s="2758" t="str">
        <f>'Part VI-Pro Forma'!F106</f>
        <v/>
      </c>
      <c r="G806" s="2758" t="str">
        <f>'Part VI-Pro Forma'!G106</f>
        <v/>
      </c>
      <c r="H806" s="2758" t="str">
        <f>'Part VI-Pro Forma'!H106</f>
        <v/>
      </c>
      <c r="I806" s="2758" t="str">
        <f>'Part VI-Pro Forma'!I106</f>
        <v/>
      </c>
      <c r="J806" s="2758" t="str">
        <f>'Part VI-Pro Forma'!J106</f>
        <v/>
      </c>
      <c r="K806" s="2758" t="str">
        <f>'Part VI-Pro Forma'!K106</f>
        <v/>
      </c>
    </row>
    <row r="807" spans="1:11">
      <c r="B807" s="2758"/>
      <c r="C807" s="2758"/>
      <c r="D807" s="2758"/>
      <c r="E807" s="2758"/>
      <c r="F807" s="2758"/>
      <c r="G807" s="2758"/>
      <c r="H807" s="2758"/>
      <c r="I807" s="2758"/>
      <c r="J807" s="2758"/>
      <c r="K807" s="2758"/>
    </row>
    <row r="808" spans="1:11" ht="13">
      <c r="A808" s="360" t="s">
        <v>2278</v>
      </c>
      <c r="B808" s="2760">
        <f>K778+1</f>
        <v>31</v>
      </c>
      <c r="C808" s="2760">
        <f>B808+1</f>
        <v>32</v>
      </c>
      <c r="D808" s="2760">
        <f>C808+1</f>
        <v>33</v>
      </c>
      <c r="E808" s="2760">
        <f>D808+1</f>
        <v>34</v>
      </c>
      <c r="F808" s="2760">
        <f>E808+1</f>
        <v>35</v>
      </c>
      <c r="G808" s="2758"/>
      <c r="H808" s="2758"/>
      <c r="I808" s="2758"/>
      <c r="J808" s="2758"/>
      <c r="K808" s="2758"/>
    </row>
    <row r="809" spans="1:11">
      <c r="A809" s="356" t="s">
        <v>2209</v>
      </c>
      <c r="B809" s="2758">
        <f>'Part VI-Pro Forma'!B109</f>
        <v>0</v>
      </c>
      <c r="C809" s="2758">
        <f>'Part VI-Pro Forma'!C109</f>
        <v>0</v>
      </c>
      <c r="D809" s="2758">
        <f>'Part VI-Pro Forma'!D109</f>
        <v>0</v>
      </c>
      <c r="E809" s="2758">
        <f>'Part VI-Pro Forma'!E109</f>
        <v>0</v>
      </c>
      <c r="F809" s="2758">
        <f>'Part VI-Pro Forma'!F109</f>
        <v>0</v>
      </c>
      <c r="G809" s="2758"/>
      <c r="H809" s="2758"/>
      <c r="I809" s="2758"/>
      <c r="J809" s="2758"/>
      <c r="K809" s="2758"/>
    </row>
    <row r="810" spans="1:11">
      <c r="A810" s="356" t="s">
        <v>951</v>
      </c>
      <c r="B810" s="2758">
        <f>'Part VI-Pro Forma'!B110</f>
        <v>0</v>
      </c>
      <c r="C810" s="2758">
        <f>'Part VI-Pro Forma'!C110</f>
        <v>0</v>
      </c>
      <c r="D810" s="2758">
        <f>'Part VI-Pro Forma'!D110</f>
        <v>0</v>
      </c>
      <c r="E810" s="2758">
        <f>'Part VI-Pro Forma'!E110</f>
        <v>0</v>
      </c>
      <c r="F810" s="2758">
        <f>'Part VI-Pro Forma'!F110</f>
        <v>0</v>
      </c>
      <c r="G810" s="2758"/>
      <c r="H810" s="2758"/>
      <c r="I810" s="2758"/>
      <c r="J810" s="2758"/>
      <c r="K810" s="2758"/>
    </row>
    <row r="811" spans="1:11">
      <c r="A811" s="356" t="s">
        <v>2210</v>
      </c>
      <c r="B811" s="2758">
        <f>'Part VI-Pro Forma'!B111</f>
        <v>0</v>
      </c>
      <c r="C811" s="2758">
        <f>'Part VI-Pro Forma'!C111</f>
        <v>0</v>
      </c>
      <c r="D811" s="2758">
        <f>'Part VI-Pro Forma'!D111</f>
        <v>0</v>
      </c>
      <c r="E811" s="2758">
        <f>'Part VI-Pro Forma'!E111</f>
        <v>0</v>
      </c>
      <c r="F811" s="2758">
        <f>'Part VI-Pro Forma'!F111</f>
        <v>0</v>
      </c>
      <c r="G811" s="2758"/>
      <c r="H811" s="2758"/>
      <c r="I811" s="2758"/>
      <c r="J811" s="2758"/>
      <c r="K811" s="2758"/>
    </row>
    <row r="812" spans="1:11">
      <c r="A812" s="356" t="s">
        <v>47</v>
      </c>
      <c r="B812" s="2758">
        <f>'Part VI-Pro Forma'!B112</f>
        <v>0</v>
      </c>
      <c r="C812" s="2758">
        <f>'Part VI-Pro Forma'!C112</f>
        <v>0</v>
      </c>
      <c r="D812" s="2758">
        <f>'Part VI-Pro Forma'!D112</f>
        <v>0</v>
      </c>
      <c r="E812" s="2758">
        <f>'Part VI-Pro Forma'!E112</f>
        <v>0</v>
      </c>
      <c r="F812" s="2758">
        <f>'Part VI-Pro Forma'!F112</f>
        <v>0</v>
      </c>
      <c r="G812" s="2758"/>
      <c r="H812" s="2758"/>
      <c r="I812" s="2758"/>
      <c r="J812" s="2758"/>
      <c r="K812" s="2758"/>
    </row>
    <row r="813" spans="1:11">
      <c r="A813" s="356" t="s">
        <v>48</v>
      </c>
      <c r="B813" s="2758">
        <f>'Part VI-Pro Forma'!B113</f>
        <v>0</v>
      </c>
      <c r="C813" s="2758">
        <f>'Part VI-Pro Forma'!C113</f>
        <v>0</v>
      </c>
      <c r="D813" s="2758">
        <f>'Part VI-Pro Forma'!D113</f>
        <v>0</v>
      </c>
      <c r="E813" s="2758">
        <f>'Part VI-Pro Forma'!E113</f>
        <v>0</v>
      </c>
      <c r="F813" s="2758">
        <f>'Part VI-Pro Forma'!F113</f>
        <v>0</v>
      </c>
      <c r="G813" s="2758"/>
      <c r="H813" s="2758"/>
      <c r="I813" s="2758"/>
      <c r="J813" s="2758"/>
      <c r="K813" s="2758"/>
    </row>
    <row r="814" spans="1:11">
      <c r="A814" s="356" t="s">
        <v>3717</v>
      </c>
      <c r="B814" s="2758">
        <f>'Part VI-Pro Forma'!B114</f>
        <v>0</v>
      </c>
      <c r="C814" s="2758">
        <f>'Part VI-Pro Forma'!C114</f>
        <v>0</v>
      </c>
      <c r="D814" s="2758">
        <f>'Part VI-Pro Forma'!D114</f>
        <v>0</v>
      </c>
      <c r="E814" s="2758">
        <f>'Part VI-Pro Forma'!E114</f>
        <v>0</v>
      </c>
      <c r="F814" s="2758">
        <f>'Part VI-Pro Forma'!F114</f>
        <v>0</v>
      </c>
      <c r="G814" s="2758"/>
      <c r="H814" s="2758"/>
      <c r="I814" s="2758"/>
      <c r="J814" s="2758"/>
      <c r="K814" s="2758"/>
    </row>
    <row r="815" spans="1:11">
      <c r="A815" s="356" t="s">
        <v>571</v>
      </c>
      <c r="B815" s="2758">
        <f>'Part VI-Pro Forma'!B115</f>
        <v>0</v>
      </c>
      <c r="C815" s="2758">
        <f>'Part VI-Pro Forma'!C115</f>
        <v>0</v>
      </c>
      <c r="D815" s="2758">
        <f>'Part VI-Pro Forma'!D115</f>
        <v>0</v>
      </c>
      <c r="E815" s="2758">
        <f>'Part VI-Pro Forma'!E115</f>
        <v>0</v>
      </c>
      <c r="F815" s="2758">
        <f>'Part VI-Pro Forma'!F115</f>
        <v>0</v>
      </c>
      <c r="G815" s="2758"/>
      <c r="H815" s="2758"/>
      <c r="I815" s="2758"/>
      <c r="J815" s="2758"/>
      <c r="K815" s="2758"/>
    </row>
    <row r="816" spans="1:11">
      <c r="A816" s="356" t="s">
        <v>1049</v>
      </c>
      <c r="B816" s="2758" t="str">
        <f>'Part VI-Pro Forma'!B116</f>
        <v>Choose mgt fee</v>
      </c>
      <c r="C816" s="2758" t="str">
        <f>'Part VI-Pro Forma'!C116</f>
        <v>Choose mgt fee</v>
      </c>
      <c r="D816" s="2758" t="str">
        <f>'Part VI-Pro Forma'!D116</f>
        <v>Choose mgt fee</v>
      </c>
      <c r="E816" s="2758" t="str">
        <f>'Part VI-Pro Forma'!E116</f>
        <v>Choose mgt fee</v>
      </c>
      <c r="F816" s="2758" t="str">
        <f>'Part VI-Pro Forma'!F116</f>
        <v>Choose mgt fee</v>
      </c>
      <c r="G816" s="2758"/>
      <c r="H816" s="2758"/>
      <c r="I816" s="2758"/>
      <c r="J816" s="2758"/>
      <c r="K816" s="2758"/>
    </row>
    <row r="817" spans="1:11">
      <c r="A817" s="356" t="s">
        <v>1127</v>
      </c>
      <c r="B817" s="2758">
        <f>'Part VI-Pro Forma'!B117</f>
        <v>0</v>
      </c>
      <c r="C817" s="2758">
        <f>'Part VI-Pro Forma'!C117</f>
        <v>0</v>
      </c>
      <c r="D817" s="2758">
        <f>'Part VI-Pro Forma'!D117</f>
        <v>0</v>
      </c>
      <c r="E817" s="2758">
        <f>'Part VI-Pro Forma'!E117</f>
        <v>0</v>
      </c>
      <c r="F817" s="2758">
        <f>'Part VI-Pro Forma'!F117</f>
        <v>0</v>
      </c>
      <c r="G817" s="2758"/>
      <c r="H817" s="2758"/>
      <c r="I817" s="2758"/>
      <c r="J817" s="2758"/>
      <c r="K817" s="2758"/>
    </row>
    <row r="818" spans="1:11">
      <c r="A818" s="356" t="s">
        <v>3716</v>
      </c>
      <c r="B818" s="2758">
        <f>'Part VI-Pro Forma'!B118</f>
        <v>0</v>
      </c>
      <c r="C818" s="2758">
        <f>'Part VI-Pro Forma'!C118</f>
        <v>0</v>
      </c>
      <c r="D818" s="2758">
        <f>'Part VI-Pro Forma'!D118</f>
        <v>0</v>
      </c>
      <c r="E818" s="2758">
        <f>'Part VI-Pro Forma'!E118</f>
        <v>0</v>
      </c>
      <c r="F818" s="2758">
        <f>'Part VI-Pro Forma'!F118</f>
        <v>0</v>
      </c>
      <c r="G818" s="2758"/>
      <c r="H818" s="2758"/>
      <c r="I818" s="2758"/>
      <c r="J818" s="2758"/>
      <c r="K818" s="2758"/>
    </row>
    <row r="819" spans="1:11">
      <c r="A819" s="356" t="s">
        <v>1128</v>
      </c>
      <c r="B819" s="2758">
        <f>'Part VI-Pro Forma'!B119</f>
        <v>0</v>
      </c>
      <c r="C819" s="2758">
        <f>'Part VI-Pro Forma'!C119</f>
        <v>0</v>
      </c>
      <c r="D819" s="2758">
        <f>'Part VI-Pro Forma'!D119</f>
        <v>0</v>
      </c>
      <c r="E819" s="2758">
        <f>'Part VI-Pro Forma'!E119</f>
        <v>0</v>
      </c>
      <c r="F819" s="2758">
        <f>'Part VI-Pro Forma'!F119</f>
        <v>0</v>
      </c>
      <c r="G819" s="2758"/>
      <c r="H819" s="2758"/>
      <c r="I819" s="2758"/>
      <c r="J819" s="2758"/>
      <c r="K819" s="2758"/>
    </row>
    <row r="820" spans="1:11">
      <c r="A820" s="356" t="str">
        <f>$A790</f>
        <v>Mortgage A</v>
      </c>
      <c r="B820" s="2758">
        <f>'Part VI-Pro Forma'!B120</f>
        <v>0</v>
      </c>
      <c r="C820" s="2758">
        <f>'Part VI-Pro Forma'!C120</f>
        <v>0</v>
      </c>
      <c r="D820" s="2758">
        <f>'Part VI-Pro Forma'!D120</f>
        <v>0</v>
      </c>
      <c r="E820" s="2758">
        <f>'Part VI-Pro Forma'!E120</f>
        <v>0</v>
      </c>
      <c r="F820" s="2758">
        <f>'Part VI-Pro Forma'!F120</f>
        <v>0</v>
      </c>
      <c r="G820" s="2758"/>
      <c r="H820" s="2758"/>
      <c r="I820" s="2758"/>
      <c r="J820" s="2758"/>
      <c r="K820" s="2758"/>
    </row>
    <row r="821" spans="1:11">
      <c r="A821" s="356" t="str">
        <f>$A791</f>
        <v>Mortgage B</v>
      </c>
      <c r="B821" s="2758">
        <f>'Part VI-Pro Forma'!B121</f>
        <v>0</v>
      </c>
      <c r="C821" s="2758">
        <f>'Part VI-Pro Forma'!C121</f>
        <v>0</v>
      </c>
      <c r="D821" s="2758">
        <f>'Part VI-Pro Forma'!D121</f>
        <v>0</v>
      </c>
      <c r="E821" s="2758">
        <f>'Part VI-Pro Forma'!E121</f>
        <v>0</v>
      </c>
      <c r="F821" s="2758">
        <f>'Part VI-Pro Forma'!F121</f>
        <v>0</v>
      </c>
      <c r="G821" s="2758"/>
      <c r="H821" s="2758"/>
      <c r="I821" s="2758"/>
      <c r="J821" s="2758"/>
      <c r="K821" s="2758"/>
    </row>
    <row r="822" spans="1:11">
      <c r="A822" s="356" t="str">
        <f>$A792</f>
        <v>Mortgage C</v>
      </c>
      <c r="B822" s="2758">
        <f>'Part VI-Pro Forma'!B122</f>
        <v>0</v>
      </c>
      <c r="C822" s="2758">
        <f>'Part VI-Pro Forma'!C122</f>
        <v>0</v>
      </c>
      <c r="D822" s="2758">
        <f>'Part VI-Pro Forma'!D122</f>
        <v>0</v>
      </c>
      <c r="E822" s="2758">
        <f>'Part VI-Pro Forma'!E122</f>
        <v>0</v>
      </c>
      <c r="F822" s="2758">
        <f>'Part VI-Pro Forma'!F122</f>
        <v>0</v>
      </c>
      <c r="G822" s="2758"/>
      <c r="H822" s="2758"/>
      <c r="I822" s="2758"/>
      <c r="J822" s="2758"/>
      <c r="K822" s="2758"/>
    </row>
    <row r="823" spans="1:11">
      <c r="A823" s="356" t="str">
        <f>$A793</f>
        <v>D/S Other Source,not DDF</v>
      </c>
      <c r="B823" s="2758">
        <f>'Part VI-Pro Forma'!B123</f>
        <v>0</v>
      </c>
      <c r="C823" s="2758">
        <f>'Part VI-Pro Forma'!C123</f>
        <v>0</v>
      </c>
      <c r="D823" s="2758">
        <f>'Part VI-Pro Forma'!D123</f>
        <v>0</v>
      </c>
      <c r="E823" s="2758">
        <f>'Part VI-Pro Forma'!E123</f>
        <v>0</v>
      </c>
      <c r="F823" s="2758">
        <f>'Part VI-Pro Forma'!F123</f>
        <v>0</v>
      </c>
      <c r="G823" s="2758"/>
      <c r="H823" s="2758"/>
      <c r="I823" s="2758"/>
      <c r="J823" s="2758"/>
      <c r="K823" s="2758"/>
    </row>
    <row r="824" spans="1:11">
      <c r="A824" s="356" t="s">
        <v>710</v>
      </c>
      <c r="B824" s="2758">
        <f>'Part VI-Pro Forma'!B124</f>
        <v>0</v>
      </c>
      <c r="C824" s="2758">
        <f>'Part VI-Pro Forma'!C124</f>
        <v>0</v>
      </c>
      <c r="D824" s="2758">
        <f>'Part VI-Pro Forma'!D124</f>
        <v>0</v>
      </c>
      <c r="E824" s="2758">
        <f>'Part VI-Pro Forma'!E124</f>
        <v>0</v>
      </c>
      <c r="F824" s="2758">
        <f>'Part VI-Pro Forma'!F124</f>
        <v>0</v>
      </c>
      <c r="G824" s="2758"/>
      <c r="H824" s="2758"/>
      <c r="I824" s="2758"/>
      <c r="J824" s="2758"/>
      <c r="K824" s="2758"/>
    </row>
    <row r="825" spans="1:11">
      <c r="A825" s="356" t="s">
        <v>1094</v>
      </c>
      <c r="B825" s="2758">
        <f>'Part VI-Pro Forma'!B125</f>
        <v>0</v>
      </c>
      <c r="C825" s="2758">
        <f>'Part VI-Pro Forma'!C125</f>
        <v>0</v>
      </c>
      <c r="D825" s="2758">
        <f>'Part VI-Pro Forma'!D125</f>
        <v>0</v>
      </c>
      <c r="E825" s="2758">
        <f>'Part VI-Pro Forma'!E125</f>
        <v>0</v>
      </c>
      <c r="F825" s="2758">
        <f>'Part VI-Pro Forma'!F125</f>
        <v>0</v>
      </c>
      <c r="G825" s="2758"/>
      <c r="H825" s="2758"/>
      <c r="I825" s="2758"/>
      <c r="J825" s="2758"/>
      <c r="K825" s="2758"/>
    </row>
    <row r="826" spans="1:11">
      <c r="A826" s="356" t="s">
        <v>1095</v>
      </c>
      <c r="B826" s="2758">
        <f>'Part VI-Pro Forma'!B126</f>
        <v>0</v>
      </c>
      <c r="C826" s="2758">
        <f>'Part VI-Pro Forma'!C126</f>
        <v>0</v>
      </c>
      <c r="D826" s="2758">
        <f>'Part VI-Pro Forma'!D126</f>
        <v>0</v>
      </c>
      <c r="E826" s="2758">
        <f>'Part VI-Pro Forma'!E126</f>
        <v>0</v>
      </c>
      <c r="F826" s="2758">
        <f>'Part VI-Pro Forma'!F126</f>
        <v>0</v>
      </c>
      <c r="G826" s="2758"/>
      <c r="H826" s="2758"/>
      <c r="I826" s="2758"/>
      <c r="J826" s="2758"/>
      <c r="K826" s="2758"/>
    </row>
    <row r="827" spans="1:11">
      <c r="A827" s="356" t="str">
        <f>$A797</f>
        <v>DCR Mortgage A</v>
      </c>
      <c r="B827" s="2759" t="str">
        <f>'Part VI-Pro Forma'!B127</f>
        <v/>
      </c>
      <c r="C827" s="2759" t="str">
        <f>'Part VI-Pro Forma'!C127</f>
        <v/>
      </c>
      <c r="D827" s="2759" t="str">
        <f>'Part VI-Pro Forma'!D127</f>
        <v/>
      </c>
      <c r="E827" s="2759" t="str">
        <f>'Part VI-Pro Forma'!E127</f>
        <v/>
      </c>
      <c r="F827" s="2759" t="str">
        <f>'Part VI-Pro Forma'!F127</f>
        <v/>
      </c>
      <c r="G827" s="2758"/>
      <c r="H827" s="2758"/>
      <c r="I827" s="2758"/>
      <c r="J827" s="2758"/>
      <c r="K827" s="2758"/>
    </row>
    <row r="828" spans="1:11">
      <c r="A828" s="356" t="str">
        <f>$A798</f>
        <v>DCR Mortgage B</v>
      </c>
      <c r="B828" s="2759" t="str">
        <f>'Part VI-Pro Forma'!B128</f>
        <v/>
      </c>
      <c r="C828" s="2759" t="str">
        <f>'Part VI-Pro Forma'!C128</f>
        <v/>
      </c>
      <c r="D828" s="2759" t="str">
        <f>'Part VI-Pro Forma'!D128</f>
        <v/>
      </c>
      <c r="E828" s="2759" t="str">
        <f>'Part VI-Pro Forma'!E128</f>
        <v/>
      </c>
      <c r="F828" s="2759" t="str">
        <f>'Part VI-Pro Forma'!F128</f>
        <v/>
      </c>
      <c r="G828" s="2758"/>
      <c r="H828" s="2758"/>
      <c r="I828" s="2758"/>
      <c r="J828" s="2758"/>
      <c r="K828" s="2758"/>
    </row>
    <row r="829" spans="1:11">
      <c r="A829" s="356" t="str">
        <f>$A799</f>
        <v>DCR Mortgage C</v>
      </c>
      <c r="B829" s="2759" t="str">
        <f>'Part VI-Pro Forma'!B129</f>
        <v/>
      </c>
      <c r="C829" s="2759" t="str">
        <f>'Part VI-Pro Forma'!C129</f>
        <v/>
      </c>
      <c r="D829" s="2759" t="str">
        <f>'Part VI-Pro Forma'!D129</f>
        <v/>
      </c>
      <c r="E829" s="2759" t="str">
        <f>'Part VI-Pro Forma'!E129</f>
        <v/>
      </c>
      <c r="F829" s="2759" t="str">
        <f>'Part VI-Pro Forma'!F129</f>
        <v/>
      </c>
      <c r="G829" s="2758"/>
      <c r="H829" s="2758"/>
      <c r="I829" s="2758"/>
      <c r="J829" s="2758"/>
      <c r="K829" s="2758"/>
    </row>
    <row r="830" spans="1:11">
      <c r="A830" s="356" t="str">
        <f>$A800</f>
        <v>DCR Other Source</v>
      </c>
      <c r="B830" s="2759" t="str">
        <f>'Part VI-Pro Forma'!B130</f>
        <v/>
      </c>
      <c r="C830" s="2759" t="str">
        <f>'Part VI-Pro Forma'!C130</f>
        <v/>
      </c>
      <c r="D830" s="2759" t="str">
        <f>'Part VI-Pro Forma'!D130</f>
        <v/>
      </c>
      <c r="E830" s="2759" t="str">
        <f>'Part VI-Pro Forma'!E130</f>
        <v/>
      </c>
      <c r="F830" s="2759" t="str">
        <f>'Part VI-Pro Forma'!F130</f>
        <v/>
      </c>
      <c r="G830" s="2758"/>
      <c r="H830" s="2758"/>
      <c r="I830" s="2758"/>
      <c r="J830" s="2758"/>
      <c r="K830" s="2758"/>
    </row>
    <row r="831" spans="1:11">
      <c r="A831" s="356" t="s">
        <v>3130</v>
      </c>
      <c r="B831" s="2759" t="str">
        <f>'Part VI-Pro Forma'!B131</f>
        <v/>
      </c>
      <c r="C831" s="2759" t="str">
        <f>'Part VI-Pro Forma'!C131</f>
        <v/>
      </c>
      <c r="D831" s="2759" t="str">
        <f>'Part VI-Pro Forma'!D131</f>
        <v/>
      </c>
      <c r="E831" s="2759" t="str">
        <f>'Part VI-Pro Forma'!E131</f>
        <v/>
      </c>
      <c r="F831" s="2759" t="str">
        <f>'Part VI-Pro Forma'!F131</f>
        <v/>
      </c>
      <c r="G831" s="2758"/>
      <c r="H831" s="2758"/>
      <c r="I831" s="2758"/>
      <c r="J831" s="2758"/>
      <c r="K831" s="2758"/>
    </row>
    <row r="832" spans="1:11">
      <c r="A832" s="356" t="s">
        <v>717</v>
      </c>
      <c r="B832" s="2759" t="str">
        <f>'Part VI-Pro Forma'!B132</f>
        <v/>
      </c>
      <c r="C832" s="2759" t="str">
        <f>'Part VI-Pro Forma'!C132</f>
        <v/>
      </c>
      <c r="D832" s="2759" t="str">
        <f>'Part VI-Pro Forma'!D132</f>
        <v/>
      </c>
      <c r="E832" s="2759" t="str">
        <f>'Part VI-Pro Forma'!E132</f>
        <v/>
      </c>
      <c r="F832" s="2759" t="str">
        <f>'Part VI-Pro Forma'!F132</f>
        <v/>
      </c>
      <c r="G832" s="2758"/>
      <c r="H832" s="2758"/>
      <c r="I832" s="2758"/>
      <c r="J832" s="2758"/>
      <c r="K832" s="2758"/>
    </row>
    <row r="833" spans="1:17">
      <c r="A833" s="356" t="s">
        <v>2399</v>
      </c>
      <c r="B833" s="2758" t="str">
        <f>'Part VI-Pro Forma'!B133</f>
        <v/>
      </c>
      <c r="C833" s="2758" t="str">
        <f>'Part VI-Pro Forma'!C133</f>
        <v/>
      </c>
      <c r="D833" s="2758" t="str">
        <f>'Part VI-Pro Forma'!D133</f>
        <v/>
      </c>
      <c r="E833" s="2758" t="str">
        <f>'Part VI-Pro Forma'!E133</f>
        <v/>
      </c>
      <c r="F833" s="2758" t="str">
        <f>'Part VI-Pro Forma'!F133</f>
        <v/>
      </c>
      <c r="G833" s="2758"/>
      <c r="H833" s="2758"/>
      <c r="I833" s="2758"/>
      <c r="J833" s="2758"/>
      <c r="K833" s="2758"/>
    </row>
    <row r="834" spans="1:17">
      <c r="A834" s="356" t="s">
        <v>2400</v>
      </c>
      <c r="B834" s="2758" t="str">
        <f>'Part VI-Pro Forma'!B134</f>
        <v/>
      </c>
      <c r="C834" s="2758" t="str">
        <f>'Part VI-Pro Forma'!C134</f>
        <v/>
      </c>
      <c r="D834" s="2758" t="str">
        <f>'Part VI-Pro Forma'!D134</f>
        <v/>
      </c>
      <c r="E834" s="2758" t="str">
        <f>'Part VI-Pro Forma'!E134</f>
        <v/>
      </c>
      <c r="F834" s="2758" t="str">
        <f>'Part VI-Pro Forma'!F134</f>
        <v/>
      </c>
      <c r="G834" s="2758"/>
      <c r="H834" s="2758"/>
      <c r="I834" s="2758"/>
      <c r="J834" s="2758"/>
      <c r="K834" s="2758"/>
    </row>
    <row r="835" spans="1:17">
      <c r="A835" s="356" t="s">
        <v>2401</v>
      </c>
      <c r="B835" s="2758" t="str">
        <f>'Part VI-Pro Forma'!B135</f>
        <v/>
      </c>
      <c r="C835" s="2758" t="str">
        <f>'Part VI-Pro Forma'!C135</f>
        <v/>
      </c>
      <c r="D835" s="2758" t="str">
        <f>'Part VI-Pro Forma'!D135</f>
        <v/>
      </c>
      <c r="E835" s="2758" t="str">
        <f>'Part VI-Pro Forma'!E135</f>
        <v/>
      </c>
      <c r="F835" s="2758" t="str">
        <f>'Part VI-Pro Forma'!F135</f>
        <v/>
      </c>
      <c r="G835" s="2758"/>
      <c r="H835" s="2758"/>
      <c r="I835" s="2758"/>
      <c r="J835" s="2758"/>
      <c r="K835" s="2758"/>
    </row>
    <row r="836" spans="1:17">
      <c r="A836" s="356" t="s">
        <v>729</v>
      </c>
      <c r="B836" s="2758" t="str">
        <f>'Part VI-Pro Forma'!B136</f>
        <v/>
      </c>
      <c r="C836" s="2758" t="str">
        <f>'Part VI-Pro Forma'!C136</f>
        <v/>
      </c>
      <c r="D836" s="2758" t="str">
        <f>'Part VI-Pro Forma'!D136</f>
        <v/>
      </c>
      <c r="E836" s="2758" t="str">
        <f>'Part VI-Pro Forma'!E136</f>
        <v/>
      </c>
      <c r="F836" s="2758" t="str">
        <f>'Part VI-Pro Forma'!F136</f>
        <v/>
      </c>
      <c r="G836" s="2758"/>
      <c r="H836" s="2758"/>
      <c r="I836" s="2758"/>
      <c r="J836" s="2758"/>
      <c r="K836" s="2758"/>
    </row>
    <row r="838" spans="1:17" ht="13">
      <c r="A838" s="360" t="s">
        <v>528</v>
      </c>
      <c r="B838" s="360"/>
      <c r="G838" s="360" t="s">
        <v>966</v>
      </c>
    </row>
    <row r="839" spans="1:17" ht="13">
      <c r="B839" s="360"/>
    </row>
    <row r="840" spans="1:17" ht="12.65" customHeight="1">
      <c r="A840" s="2529" t="str">
        <f>'Part VI-Pro Forma'!A140</f>
        <v>APPLICANTS: Explain any any debt service payment amounts that deviate from the amount shown in Permanent Sources (Part III)</v>
      </c>
      <c r="B840" s="2529"/>
      <c r="C840" s="2529"/>
      <c r="D840" s="2529"/>
      <c r="E840" s="2529"/>
      <c r="F840" s="2529"/>
      <c r="G840" s="2529"/>
      <c r="H840" s="2529"/>
      <c r="I840" s="2529"/>
      <c r="J840" s="2529"/>
      <c r="K840" s="2529"/>
    </row>
    <row r="844" spans="1:17" ht="13">
      <c r="A844" s="2761" t="str">
        <f>CONCATENATE("PART SEVEN - THRESHOLD CRITERIA","  -  ",'Part I-Project Identification'!$O$7," ",'Part I-Project Identification'!$F$26,", ",'Part I-Project Identification'!F787,", ",'Part I-Project Identification'!J787," County")</f>
        <v>PART SEVEN - THRESHOLD CRITERIA  -  2024-5 ,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3"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4657</v>
      </c>
      <c r="Q846" s="2761" t="s">
        <v>4430</v>
      </c>
    </row>
    <row r="847" spans="1:17" ht="13">
      <c r="A847" s="2764"/>
      <c r="B847" s="2763"/>
      <c r="C847" s="2763"/>
      <c r="D847" s="2763"/>
      <c r="E847" s="2764"/>
      <c r="F847" s="2764"/>
      <c r="G847" s="2764"/>
      <c r="H847" s="2764"/>
      <c r="I847" s="2762"/>
      <c r="J847" s="2761"/>
      <c r="K847" s="2764"/>
      <c r="L847" s="2764"/>
      <c r="M847" s="2764"/>
      <c r="N847" s="2764"/>
      <c r="O847" s="2762"/>
      <c r="P847" s="2761"/>
      <c r="Q847" s="2761"/>
    </row>
    <row r="848" spans="1:17" ht="13">
      <c r="A848" s="2762"/>
      <c r="B848" s="2762"/>
      <c r="C848" s="2762"/>
      <c r="D848" s="2762"/>
      <c r="E848" s="2765" t="str">
        <f>'Part I-Project Identification'!$A$6</f>
        <v>4% Credit Core
Sept 26, 2024</v>
      </c>
      <c r="F848" s="2765"/>
      <c r="G848" s="2765"/>
      <c r="H848" s="2765"/>
      <c r="I848" s="2765"/>
      <c r="J848" s="2761"/>
      <c r="K848" s="2764"/>
      <c r="L848" s="2764"/>
      <c r="M848" s="2764"/>
      <c r="N848" s="2764"/>
      <c r="O848" s="2762"/>
      <c r="P848" s="2761"/>
      <c r="Q848" s="2761"/>
    </row>
    <row r="849" spans="1:17" ht="13">
      <c r="A849" s="2762"/>
      <c r="B849" s="2762"/>
      <c r="C849" s="2762"/>
      <c r="D849" s="2762"/>
      <c r="E849" s="2766"/>
      <c r="F849" s="2766"/>
      <c r="G849" s="2766"/>
      <c r="H849" s="2766"/>
      <c r="I849" s="2766"/>
      <c r="J849" s="2761"/>
      <c r="K849" s="2762"/>
      <c r="L849" s="2767"/>
      <c r="M849" s="2761"/>
      <c r="N849" s="2764"/>
      <c r="O849" s="2762"/>
      <c r="P849" s="2764"/>
      <c r="Q849" s="2764"/>
    </row>
    <row r="850" spans="1:17" ht="15.65" customHeight="1">
      <c r="A850" s="2768" t="s">
        <v>4658</v>
      </c>
      <c r="B850" s="2768"/>
      <c r="C850" s="2768"/>
      <c r="D850" s="2768"/>
      <c r="E850" s="2768"/>
      <c r="F850" s="2768"/>
      <c r="G850" s="2768"/>
      <c r="H850" s="2768"/>
      <c r="I850" s="2768"/>
      <c r="J850" s="2768"/>
      <c r="K850" s="2768"/>
      <c r="L850" s="2768"/>
      <c r="M850" s="2768"/>
      <c r="N850" s="2768"/>
      <c r="O850" s="2768"/>
      <c r="P850" s="2768"/>
      <c r="Q850" s="2768"/>
    </row>
    <row r="851" spans="1:17" ht="13">
      <c r="A851" s="2762"/>
      <c r="B851" s="2762"/>
      <c r="C851" s="2762"/>
      <c r="D851" s="2762"/>
      <c r="E851" s="2766"/>
      <c r="F851" s="2766"/>
      <c r="G851" s="2766"/>
      <c r="H851" s="2766"/>
      <c r="I851" s="2766"/>
      <c r="J851" s="2761"/>
      <c r="K851" s="2762"/>
      <c r="L851" s="2767"/>
      <c r="M851" s="2761"/>
      <c r="N851" s="2764"/>
      <c r="O851" s="2762"/>
      <c r="P851" s="2764"/>
      <c r="Q851" s="2764"/>
    </row>
    <row r="852" spans="1:17" ht="14">
      <c r="A852" s="2769" t="s">
        <v>5110</v>
      </c>
      <c r="B852" s="2770"/>
      <c r="C852" s="2770"/>
      <c r="D852" s="2770"/>
      <c r="E852" s="2770"/>
      <c r="F852" s="2770"/>
      <c r="G852" s="2770"/>
      <c r="H852" s="2770"/>
      <c r="I852" s="2488"/>
      <c r="J852" s="2488"/>
      <c r="K852" s="2483"/>
      <c r="L852" s="2483"/>
      <c r="M852" s="2483"/>
      <c r="N852" s="2483"/>
      <c r="O852" s="2483"/>
      <c r="P852" s="2488"/>
      <c r="Q852" s="2488"/>
    </row>
    <row r="853" spans="1:17" ht="14.5">
      <c r="A853" s="2771" t="s">
        <v>2983</v>
      </c>
      <c r="B853" s="2770"/>
      <c r="C853" s="2770"/>
      <c r="D853" s="2770"/>
      <c r="E853" s="2770"/>
      <c r="F853" s="2770"/>
      <c r="G853" s="2770"/>
      <c r="H853" s="2483"/>
      <c r="I853" s="2488"/>
      <c r="J853" s="2488"/>
      <c r="K853" s="2483"/>
      <c r="L853" s="2483"/>
      <c r="M853" s="2486"/>
      <c r="N853" s="2486"/>
      <c r="O853" s="2770"/>
      <c r="P853" s="2770"/>
      <c r="Q853" s="2770"/>
    </row>
    <row r="854" spans="1:17" ht="14">
      <c r="A854" s="2772" t="s">
        <v>1327</v>
      </c>
      <c r="B854" s="2772"/>
      <c r="C854" s="2772"/>
      <c r="D854" s="2772"/>
      <c r="E854" s="2772"/>
      <c r="F854" s="2772"/>
      <c r="G854" s="2772"/>
      <c r="H854" s="2772"/>
      <c r="I854" s="2772"/>
      <c r="J854" s="2772"/>
      <c r="K854" s="2772"/>
      <c r="L854" s="2772"/>
      <c r="M854" s="2772"/>
      <c r="N854" s="2772"/>
      <c r="O854" s="2772"/>
      <c r="P854" s="2772"/>
      <c r="Q854" s="2772"/>
    </row>
    <row r="855" spans="1:17" ht="14">
      <c r="A855" s="2772" t="s">
        <v>218</v>
      </c>
      <c r="B855" s="2772"/>
      <c r="C855" s="2772"/>
      <c r="D855" s="2772"/>
      <c r="E855" s="2772"/>
      <c r="F855" s="2772"/>
      <c r="G855" s="2772"/>
      <c r="H855" s="2772"/>
      <c r="I855" s="2772"/>
      <c r="J855" s="2772"/>
      <c r="K855" s="2772"/>
      <c r="L855" s="2772"/>
      <c r="M855" s="2772"/>
      <c r="N855" s="2772"/>
      <c r="O855" s="2772"/>
      <c r="P855" s="2772"/>
      <c r="Q855" s="2772"/>
    </row>
    <row r="856" spans="1:17" ht="14">
      <c r="A856" s="2772" t="s">
        <v>1323</v>
      </c>
      <c r="B856" s="2772"/>
      <c r="C856" s="2772"/>
      <c r="D856" s="2772"/>
      <c r="E856" s="2772"/>
      <c r="F856" s="2772"/>
      <c r="G856" s="2772"/>
      <c r="H856" s="2772"/>
      <c r="I856" s="2772"/>
      <c r="J856" s="2772"/>
      <c r="K856" s="2772"/>
      <c r="L856" s="2772"/>
      <c r="M856" s="2772"/>
      <c r="N856" s="2772"/>
      <c r="O856" s="2772"/>
      <c r="P856" s="2772"/>
      <c r="Q856" s="2772"/>
    </row>
    <row r="857" spans="1:17" ht="14">
      <c r="A857" s="2772" t="s">
        <v>1324</v>
      </c>
      <c r="B857" s="2772"/>
      <c r="C857" s="2772"/>
      <c r="D857" s="2772"/>
      <c r="E857" s="2772"/>
      <c r="F857" s="2772"/>
      <c r="G857" s="2772"/>
      <c r="H857" s="2772"/>
      <c r="I857" s="2772"/>
      <c r="J857" s="2772"/>
      <c r="K857" s="2772"/>
      <c r="L857" s="2772"/>
      <c r="M857" s="2772"/>
      <c r="N857" s="2772"/>
      <c r="O857" s="2772"/>
      <c r="P857" s="2772"/>
      <c r="Q857" s="2772"/>
    </row>
    <row r="858" spans="1:17" ht="14">
      <c r="A858" s="2772" t="s">
        <v>1325</v>
      </c>
      <c r="B858" s="2772"/>
      <c r="C858" s="2772"/>
      <c r="D858" s="2772"/>
      <c r="E858" s="2772"/>
      <c r="F858" s="2772"/>
      <c r="G858" s="2772"/>
      <c r="H858" s="2772"/>
      <c r="I858" s="2772"/>
      <c r="J858" s="2772"/>
      <c r="K858" s="2772"/>
      <c r="L858" s="2772"/>
      <c r="M858" s="2772"/>
      <c r="N858" s="2772"/>
      <c r="O858" s="2772"/>
      <c r="P858" s="2772"/>
      <c r="Q858" s="2772"/>
    </row>
    <row r="859" spans="1:17" ht="14">
      <c r="A859" s="2772" t="s">
        <v>1326</v>
      </c>
      <c r="B859" s="2772"/>
      <c r="C859" s="2772"/>
      <c r="D859" s="2772"/>
      <c r="E859" s="2772"/>
      <c r="F859" s="2772"/>
      <c r="G859" s="2772"/>
      <c r="H859" s="2772"/>
      <c r="I859" s="2772"/>
      <c r="J859" s="2772"/>
      <c r="K859" s="2772"/>
      <c r="L859" s="2772"/>
      <c r="M859" s="2772"/>
      <c r="N859" s="2772"/>
      <c r="O859" s="2772"/>
      <c r="P859" s="2772"/>
      <c r="Q859" s="2772"/>
    </row>
    <row r="860" spans="1:17" ht="14">
      <c r="A860" s="2772" t="s">
        <v>1328</v>
      </c>
      <c r="B860" s="2772"/>
      <c r="C860" s="2772"/>
      <c r="D860" s="2772"/>
      <c r="E860" s="2772"/>
      <c r="F860" s="2772"/>
      <c r="G860" s="2772"/>
      <c r="H860" s="2772"/>
      <c r="I860" s="2772"/>
      <c r="J860" s="2772"/>
      <c r="K860" s="2772"/>
      <c r="L860" s="2772"/>
      <c r="M860" s="2772"/>
      <c r="N860" s="2772"/>
      <c r="O860" s="2772"/>
      <c r="P860" s="2772"/>
      <c r="Q860" s="2772"/>
    </row>
    <row r="861" spans="1:17" ht="14">
      <c r="A861" s="2772" t="s">
        <v>1867</v>
      </c>
      <c r="B861" s="2772"/>
      <c r="C861" s="2772"/>
      <c r="D861" s="2772"/>
      <c r="E861" s="2772"/>
      <c r="F861" s="2772"/>
      <c r="G861" s="2772"/>
      <c r="H861" s="2772"/>
      <c r="I861" s="2772"/>
      <c r="J861" s="2772"/>
      <c r="K861" s="2772"/>
      <c r="L861" s="2772"/>
      <c r="M861" s="2772"/>
      <c r="N861" s="2772"/>
      <c r="O861" s="2772"/>
      <c r="P861" s="2772"/>
      <c r="Q861" s="2772"/>
    </row>
    <row r="862" spans="1:17" ht="14">
      <c r="A862" s="2772" t="s">
        <v>1868</v>
      </c>
      <c r="B862" s="2772"/>
      <c r="C862" s="2772"/>
      <c r="D862" s="2772"/>
      <c r="E862" s="2772"/>
      <c r="F862" s="2772"/>
      <c r="G862" s="2772"/>
      <c r="H862" s="2772"/>
      <c r="I862" s="2772"/>
      <c r="J862" s="2772"/>
      <c r="K862" s="2772"/>
      <c r="L862" s="2772"/>
      <c r="M862" s="2772"/>
      <c r="N862" s="2772"/>
      <c r="O862" s="2772"/>
      <c r="P862" s="2772"/>
      <c r="Q862" s="2772"/>
    </row>
    <row r="863" spans="1:17" ht="14">
      <c r="A863" s="2772" t="s">
        <v>1869</v>
      </c>
      <c r="B863" s="2772"/>
      <c r="C863" s="2772"/>
      <c r="D863" s="2772"/>
      <c r="E863" s="2772"/>
      <c r="F863" s="2772"/>
      <c r="G863" s="2772"/>
      <c r="H863" s="2772"/>
      <c r="I863" s="2772"/>
      <c r="J863" s="2772"/>
      <c r="K863" s="2772"/>
      <c r="L863" s="2772"/>
      <c r="M863" s="2772"/>
      <c r="N863" s="2772"/>
      <c r="O863" s="2772"/>
      <c r="P863" s="2772"/>
      <c r="Q863" s="2772"/>
    </row>
    <row r="864" spans="1:17" ht="14">
      <c r="A864" s="2772" t="s">
        <v>1870</v>
      </c>
      <c r="B864" s="2772"/>
      <c r="C864" s="2772"/>
      <c r="D864" s="2772"/>
      <c r="E864" s="2772"/>
      <c r="F864" s="2772"/>
      <c r="G864" s="2772"/>
      <c r="H864" s="2772"/>
      <c r="I864" s="2772"/>
      <c r="J864" s="2772"/>
      <c r="K864" s="2772"/>
      <c r="L864" s="2772"/>
      <c r="M864" s="2772"/>
      <c r="N864" s="2772"/>
      <c r="O864" s="2772"/>
      <c r="P864" s="2772"/>
      <c r="Q864" s="2772"/>
    </row>
    <row r="865" spans="1:17" ht="14">
      <c r="A865" s="2772" t="s">
        <v>1871</v>
      </c>
      <c r="B865" s="2772"/>
      <c r="C865" s="2772"/>
      <c r="D865" s="2772"/>
      <c r="E865" s="2772"/>
      <c r="F865" s="2772"/>
      <c r="G865" s="2772"/>
      <c r="H865" s="2772"/>
      <c r="I865" s="2772"/>
      <c r="J865" s="2772"/>
      <c r="K865" s="2772"/>
      <c r="L865" s="2772"/>
      <c r="M865" s="2772"/>
      <c r="N865" s="2772"/>
      <c r="O865" s="2772"/>
      <c r="P865" s="2772"/>
      <c r="Q865" s="2772"/>
    </row>
    <row r="866" spans="1:17" ht="14">
      <c r="A866" s="2772" t="s">
        <v>1872</v>
      </c>
      <c r="B866" s="2772"/>
      <c r="C866" s="2772"/>
      <c r="D866" s="2772"/>
      <c r="E866" s="2772"/>
      <c r="F866" s="2772"/>
      <c r="G866" s="2772"/>
      <c r="H866" s="2772"/>
      <c r="I866" s="2772"/>
      <c r="J866" s="2772"/>
      <c r="K866" s="2772"/>
      <c r="L866" s="2772"/>
      <c r="M866" s="2772"/>
      <c r="N866" s="2772"/>
      <c r="O866" s="2772"/>
      <c r="P866" s="2772"/>
      <c r="Q866" s="2772"/>
    </row>
    <row r="867" spans="1:17" ht="14">
      <c r="A867" s="2772" t="s">
        <v>1873</v>
      </c>
      <c r="B867" s="2772"/>
      <c r="C867" s="2772"/>
      <c r="D867" s="2772"/>
      <c r="E867" s="2772"/>
      <c r="F867" s="2772"/>
      <c r="G867" s="2772"/>
      <c r="H867" s="2772"/>
      <c r="I867" s="2772"/>
      <c r="J867" s="2772"/>
      <c r="K867" s="2772"/>
      <c r="L867" s="2772"/>
      <c r="M867" s="2772"/>
      <c r="N867" s="2772"/>
      <c r="O867" s="2772"/>
      <c r="P867" s="2772"/>
      <c r="Q867" s="2772"/>
    </row>
    <row r="868" spans="1:17" ht="14">
      <c r="A868" s="2772" t="s">
        <v>1874</v>
      </c>
      <c r="B868" s="2772"/>
      <c r="C868" s="2772"/>
      <c r="D868" s="2772"/>
      <c r="E868" s="2772"/>
      <c r="F868" s="2772"/>
      <c r="G868" s="2772"/>
      <c r="H868" s="2772"/>
      <c r="I868" s="2772"/>
      <c r="J868" s="2772"/>
      <c r="K868" s="2772"/>
      <c r="L868" s="2772"/>
      <c r="M868" s="2772"/>
      <c r="N868" s="2772"/>
      <c r="O868" s="2772"/>
      <c r="P868" s="2772"/>
      <c r="Q868" s="2772"/>
    </row>
    <row r="869" spans="1:17" ht="14">
      <c r="A869" s="2772" t="s">
        <v>1875</v>
      </c>
      <c r="B869" s="2772"/>
      <c r="C869" s="2772"/>
      <c r="D869" s="2772"/>
      <c r="E869" s="2772"/>
      <c r="F869" s="2772"/>
      <c r="G869" s="2772"/>
      <c r="H869" s="2772"/>
      <c r="I869" s="2772"/>
      <c r="J869" s="2772"/>
      <c r="K869" s="2772"/>
      <c r="L869" s="2772"/>
      <c r="M869" s="2772"/>
      <c r="N869" s="2772"/>
      <c r="O869" s="2772"/>
      <c r="P869" s="2772"/>
      <c r="Q869" s="2772"/>
    </row>
    <row r="870" spans="1:17" ht="14">
      <c r="A870" s="2772" t="s">
        <v>1876</v>
      </c>
      <c r="B870" s="2772"/>
      <c r="C870" s="2772"/>
      <c r="D870" s="2772"/>
      <c r="E870" s="2772"/>
      <c r="F870" s="2772"/>
      <c r="G870" s="2772"/>
      <c r="H870" s="2772"/>
      <c r="I870" s="2772"/>
      <c r="J870" s="2772"/>
      <c r="K870" s="2772"/>
      <c r="L870" s="2772"/>
      <c r="M870" s="2772"/>
      <c r="N870" s="2772"/>
      <c r="O870" s="2772"/>
      <c r="P870" s="2772"/>
      <c r="Q870" s="2772"/>
    </row>
    <row r="871" spans="1:17" ht="14">
      <c r="A871" s="2772" t="s">
        <v>1877</v>
      </c>
      <c r="B871" s="2772"/>
      <c r="C871" s="2772"/>
      <c r="D871" s="2772"/>
      <c r="E871" s="2772"/>
      <c r="F871" s="2772"/>
      <c r="G871" s="2772"/>
      <c r="H871" s="2772"/>
      <c r="I871" s="2772"/>
      <c r="J871" s="2772"/>
      <c r="K871" s="2772"/>
      <c r="L871" s="2772"/>
      <c r="M871" s="2772"/>
      <c r="N871" s="2772"/>
      <c r="O871" s="2772"/>
      <c r="P871" s="2772"/>
      <c r="Q871" s="2772"/>
    </row>
    <row r="872" spans="1:17" ht="14">
      <c r="A872" s="2770"/>
      <c r="B872" s="2770"/>
      <c r="C872" s="2770"/>
      <c r="D872" s="2770"/>
      <c r="E872" s="2770"/>
      <c r="F872" s="2770"/>
      <c r="G872" s="2770"/>
      <c r="H872" s="2770"/>
      <c r="I872" s="2770"/>
      <c r="J872" s="2770"/>
      <c r="K872" s="2770"/>
      <c r="L872" s="2770"/>
      <c r="M872" s="2770"/>
      <c r="N872" s="2770"/>
      <c r="O872" s="2770"/>
      <c r="P872" s="2770"/>
      <c r="Q872" s="2770"/>
    </row>
    <row r="873" spans="1:17" ht="14">
      <c r="A873" s="2770"/>
      <c r="B873" s="2770"/>
      <c r="C873" s="2770"/>
      <c r="D873" s="2770"/>
      <c r="E873" s="2770"/>
      <c r="F873" s="2770"/>
      <c r="G873" s="2770"/>
      <c r="H873" s="2770"/>
      <c r="I873" s="2770"/>
      <c r="J873" s="2770"/>
      <c r="K873" s="2770"/>
      <c r="L873" s="2770"/>
      <c r="M873" s="2770"/>
      <c r="N873" s="2770"/>
      <c r="O873" s="2770"/>
      <c r="P873" s="2770"/>
      <c r="Q873" s="2770"/>
    </row>
    <row r="874" spans="1:17" ht="14">
      <c r="A874" s="2773" t="s">
        <v>572</v>
      </c>
      <c r="B874" s="2488" t="s">
        <v>4532</v>
      </c>
      <c r="C874" s="2488"/>
      <c r="D874" s="2488"/>
      <c r="E874" s="2488"/>
      <c r="F874" s="2488"/>
      <c r="G874" s="2488"/>
      <c r="H874" s="2483"/>
      <c r="I874" s="2485"/>
      <c r="J874" s="2485"/>
      <c r="K874" s="2485"/>
      <c r="L874" s="2486"/>
      <c r="M874" s="2486"/>
      <c r="N874" s="2483"/>
      <c r="O874" s="2774" t="s">
        <v>1726</v>
      </c>
      <c r="P874" s="2488"/>
      <c r="Q874" s="2488"/>
    </row>
    <row r="875" spans="1:17" ht="14.5">
      <c r="A875" s="2483"/>
      <c r="B875" s="2775" t="s">
        <v>4660</v>
      </c>
      <c r="C875" s="2775"/>
      <c r="D875" s="2775"/>
      <c r="E875" s="2775"/>
      <c r="F875" s="2775"/>
      <c r="G875" s="2485"/>
      <c r="H875" s="2485"/>
      <c r="I875" s="2485"/>
      <c r="J875" s="2485"/>
      <c r="K875" s="2486"/>
      <c r="L875" s="2486"/>
      <c r="M875" s="2486"/>
      <c r="N875" s="2486"/>
      <c r="O875" s="2486"/>
      <c r="P875" s="2486"/>
      <c r="Q875" s="2483"/>
    </row>
    <row r="876" spans="1:17" ht="14">
      <c r="A876" s="2483">
        <f>'Part VII-Threshold Criteria'!A33</f>
        <v>0</v>
      </c>
      <c r="B876" s="2483"/>
      <c r="C876" s="2483"/>
      <c r="D876" s="2483"/>
      <c r="E876" s="2483"/>
      <c r="F876" s="2483"/>
      <c r="G876" s="2483"/>
      <c r="H876" s="2483"/>
      <c r="I876" s="2483"/>
      <c r="J876" s="2483"/>
      <c r="K876" s="2483"/>
      <c r="L876" s="2483"/>
      <c r="M876" s="2483"/>
      <c r="N876" s="2483"/>
      <c r="O876" s="2483"/>
      <c r="P876" s="2483"/>
      <c r="Q876" s="2483"/>
    </row>
    <row r="877" spans="1:17" ht="14.5">
      <c r="A877" s="2483"/>
      <c r="B877" s="2775" t="s">
        <v>1725</v>
      </c>
      <c r="C877" s="2775"/>
      <c r="D877" s="2484"/>
      <c r="E877" s="2484"/>
      <c r="F877" s="2484"/>
      <c r="G877" s="2484"/>
      <c r="H877" s="2484"/>
      <c r="I877" s="2484"/>
      <c r="J877" s="2484"/>
      <c r="K877" s="2484"/>
      <c r="L877" s="2484"/>
      <c r="M877" s="2484"/>
      <c r="N877" s="2484"/>
      <c r="O877" s="2484"/>
      <c r="P877" s="2484"/>
      <c r="Q877" s="2483"/>
    </row>
    <row r="878" spans="1:17" ht="14">
      <c r="A878" s="2483"/>
      <c r="B878" s="2483"/>
      <c r="C878" s="2483"/>
      <c r="D878" s="2483"/>
      <c r="E878" s="2483"/>
      <c r="F878" s="2483"/>
      <c r="G878" s="2483"/>
      <c r="H878" s="2483"/>
      <c r="I878" s="2483"/>
      <c r="J878" s="2483"/>
      <c r="K878" s="2483"/>
      <c r="L878" s="2483"/>
      <c r="M878" s="2483"/>
      <c r="N878" s="2483"/>
      <c r="O878" s="2483"/>
      <c r="P878" s="2483"/>
      <c r="Q878" s="2483"/>
    </row>
    <row r="879" spans="1:17" ht="14">
      <c r="A879" s="2483"/>
      <c r="B879" s="2485"/>
      <c r="C879" s="2484"/>
      <c r="D879" s="2484"/>
      <c r="E879" s="2484"/>
      <c r="F879" s="2484"/>
      <c r="G879" s="2484"/>
      <c r="H879" s="2484"/>
      <c r="I879" s="2484"/>
      <c r="J879" s="2484"/>
      <c r="K879" s="2484"/>
      <c r="L879" s="2484"/>
      <c r="M879" s="2484"/>
      <c r="N879" s="2484"/>
      <c r="O879" s="2484"/>
      <c r="P879" s="2484"/>
      <c r="Q879" s="2486"/>
    </row>
    <row r="880" spans="1:17" ht="14">
      <c r="A880" s="2483"/>
      <c r="B880" s="2485"/>
      <c r="C880" s="2484"/>
      <c r="D880" s="2484"/>
      <c r="E880" s="2484"/>
      <c r="F880" s="2484"/>
      <c r="G880" s="2484"/>
      <c r="H880" s="2484"/>
      <c r="I880" s="2484"/>
      <c r="J880" s="2484"/>
      <c r="K880" s="2484"/>
      <c r="L880" s="2484"/>
      <c r="M880" s="2484"/>
      <c r="N880" s="2484"/>
      <c r="O880" s="2484"/>
      <c r="P880" s="2484"/>
      <c r="Q880" s="2486"/>
    </row>
    <row r="881" spans="1:17" ht="14">
      <c r="A881" s="2773" t="s">
        <v>688</v>
      </c>
      <c r="B881" s="2488" t="s">
        <v>1117</v>
      </c>
      <c r="C881" s="2488"/>
      <c r="D881" s="2488"/>
      <c r="E881" s="2484"/>
      <c r="F881" s="2484"/>
      <c r="G881" s="2484"/>
      <c r="H881" s="2483"/>
      <c r="I881" s="2483"/>
      <c r="J881" s="2483"/>
      <c r="K881" s="2483"/>
      <c r="L881" s="2483"/>
      <c r="M881" s="2483"/>
      <c r="N881" s="2483"/>
      <c r="O881" s="2774" t="s">
        <v>1726</v>
      </c>
      <c r="P881" s="2488"/>
      <c r="Q881" s="2488"/>
    </row>
    <row r="882" spans="1:17" ht="14">
      <c r="A882" s="2773"/>
      <c r="B882" s="2483" t="s">
        <v>5111</v>
      </c>
      <c r="C882" s="2483"/>
      <c r="D882" s="2483"/>
      <c r="E882" s="2483"/>
      <c r="F882" s="2483"/>
      <c r="G882" s="2483"/>
      <c r="H882" s="2483"/>
      <c r="I882" s="2483"/>
      <c r="J882" s="2483"/>
      <c r="K882" s="2483"/>
      <c r="L882" s="2483"/>
      <c r="M882" s="2483"/>
      <c r="N882" s="2483"/>
      <c r="O882" s="2483"/>
      <c r="P882" s="2488">
        <f>'Part VII-Threshold Criteria'!P39</f>
        <v>0</v>
      </c>
      <c r="Q882" s="2488"/>
    </row>
    <row r="883" spans="1:17" ht="14.5">
      <c r="A883" s="2483"/>
      <c r="B883" s="2776" t="s">
        <v>3158</v>
      </c>
      <c r="C883" s="2483"/>
      <c r="D883" s="2776"/>
      <c r="E883" s="2776"/>
      <c r="F883" s="2776"/>
      <c r="G883" s="2776"/>
      <c r="H883" s="2484"/>
      <c r="I883" s="2485"/>
      <c r="J883" s="2485"/>
      <c r="K883" s="2483"/>
      <c r="L883" s="2483"/>
      <c r="M883" s="2483"/>
      <c r="N883" s="2483"/>
      <c r="O883" s="2483"/>
      <c r="P883" s="2483"/>
      <c r="Q883" s="2483"/>
    </row>
    <row r="884" spans="1:17" ht="14">
      <c r="A884" s="2483">
        <f>'Part VII-Threshold Criteria'!A41</f>
        <v>0</v>
      </c>
      <c r="B884" s="2483"/>
      <c r="C884" s="2483"/>
      <c r="D884" s="2483"/>
      <c r="E884" s="2483"/>
      <c r="F884" s="2483"/>
      <c r="G884" s="2483"/>
      <c r="H884" s="2483"/>
      <c r="I884" s="2483"/>
      <c r="J884" s="2483"/>
      <c r="K884" s="2483"/>
      <c r="L884" s="2483"/>
      <c r="M884" s="2483"/>
      <c r="N884" s="2483"/>
      <c r="O884" s="2483"/>
      <c r="P884" s="2483"/>
      <c r="Q884" s="2483"/>
    </row>
    <row r="885" spans="1:17" ht="14.5">
      <c r="A885" s="2486"/>
      <c r="B885" s="2775" t="s">
        <v>1725</v>
      </c>
      <c r="C885" s="2486"/>
      <c r="D885" s="2486"/>
      <c r="E885" s="2486"/>
      <c r="F885" s="2486"/>
      <c r="G885" s="2486"/>
      <c r="H885" s="2486"/>
      <c r="I885" s="2484"/>
      <c r="J885" s="2484"/>
      <c r="K885" s="2484"/>
      <c r="L885" s="2484"/>
      <c r="M885" s="2484"/>
      <c r="N885" s="2484"/>
      <c r="O885" s="2484"/>
      <c r="P885" s="2484"/>
      <c r="Q885" s="2486"/>
    </row>
    <row r="886" spans="1:17" ht="14">
      <c r="A886" s="2483"/>
      <c r="B886" s="2483"/>
      <c r="C886" s="2483"/>
      <c r="D886" s="2483"/>
      <c r="E886" s="2483"/>
      <c r="F886" s="2483"/>
      <c r="G886" s="2483"/>
      <c r="H886" s="2483"/>
      <c r="I886" s="2483"/>
      <c r="J886" s="2483"/>
      <c r="K886" s="2483"/>
      <c r="L886" s="2483"/>
      <c r="M886" s="2483"/>
      <c r="N886" s="2483"/>
      <c r="O886" s="2483"/>
      <c r="P886" s="2483"/>
      <c r="Q886" s="2483"/>
    </row>
    <row r="887" spans="1:17" ht="14">
      <c r="A887" s="2486"/>
      <c r="B887" s="2484"/>
      <c r="C887" s="2484"/>
      <c r="D887" s="2484"/>
      <c r="E887" s="2484"/>
      <c r="F887" s="2484"/>
      <c r="G887" s="2484"/>
      <c r="H887" s="2484"/>
      <c r="I887" s="2484"/>
      <c r="J887" s="2484"/>
      <c r="K887" s="2484"/>
      <c r="L887" s="2484"/>
      <c r="M887" s="2484"/>
      <c r="N887" s="2484"/>
      <c r="O887" s="2484"/>
      <c r="P887" s="2484"/>
      <c r="Q887" s="2486"/>
    </row>
    <row r="888" spans="1:17" ht="14">
      <c r="A888" s="2483"/>
      <c r="B888" s="2485"/>
      <c r="C888" s="2484"/>
      <c r="D888" s="2484"/>
      <c r="E888" s="2484"/>
      <c r="F888" s="2484"/>
      <c r="G888" s="2484"/>
      <c r="H888" s="2484"/>
      <c r="I888" s="2484"/>
      <c r="J888" s="2484"/>
      <c r="K888" s="2484"/>
      <c r="L888" s="2484"/>
      <c r="M888" s="2484"/>
      <c r="N888" s="2484"/>
      <c r="O888" s="2484"/>
      <c r="P888" s="2484"/>
      <c r="Q888" s="2486"/>
    </row>
    <row r="889" spans="1:17" ht="14">
      <c r="A889" s="2773" t="s">
        <v>690</v>
      </c>
      <c r="B889" s="2773" t="s">
        <v>4797</v>
      </c>
      <c r="C889" s="2773"/>
      <c r="D889" s="2484"/>
      <c r="E889" s="2484"/>
      <c r="F889" s="2484"/>
      <c r="G889" s="2484"/>
      <c r="H889" s="2484"/>
      <c r="I889" s="2484"/>
      <c r="J889" s="2484"/>
      <c r="K889" s="2483"/>
      <c r="L889" s="2777"/>
      <c r="M889" s="2778"/>
      <c r="N889" s="2483"/>
      <c r="O889" s="2774" t="s">
        <v>1726</v>
      </c>
      <c r="P889" s="2488"/>
      <c r="Q889" s="2488"/>
    </row>
    <row r="890" spans="1:17" ht="14">
      <c r="A890" s="2774"/>
      <c r="B890" s="2484" t="s">
        <v>5020</v>
      </c>
      <c r="C890" s="2773"/>
      <c r="D890" s="2484"/>
      <c r="E890" s="2484"/>
      <c r="F890" s="2484"/>
      <c r="G890" s="2484"/>
      <c r="H890" s="2484"/>
      <c r="I890" s="2484"/>
      <c r="J890" s="2484"/>
      <c r="K890" s="2483"/>
      <c r="L890" s="2777"/>
      <c r="M890" s="2778"/>
      <c r="N890" s="2483"/>
      <c r="O890" s="2774"/>
      <c r="P890" s="2488">
        <f>'Part VII-Threshold Criteria'!P47</f>
        <v>0</v>
      </c>
      <c r="Q890" s="2488"/>
    </row>
    <row r="891" spans="1:17" ht="14.5">
      <c r="A891" s="2483"/>
      <c r="B891" s="2776" t="s">
        <v>3158</v>
      </c>
      <c r="C891" s="2483"/>
      <c r="D891" s="2776"/>
      <c r="E891" s="2776"/>
      <c r="F891" s="2776"/>
      <c r="G891" s="2776"/>
      <c r="H891" s="2484"/>
      <c r="I891" s="2485"/>
      <c r="J891" s="2485"/>
      <c r="K891" s="2775" t="s">
        <v>1725</v>
      </c>
      <c r="L891" s="2486"/>
      <c r="M891" s="2486"/>
      <c r="N891" s="2486"/>
      <c r="O891" s="2486"/>
      <c r="P891" s="2486"/>
      <c r="Q891" s="2486"/>
    </row>
    <row r="892" spans="1:17" ht="14">
      <c r="A892" s="2483">
        <f>'Part VII-Threshold Criteria'!A49</f>
        <v>0</v>
      </c>
      <c r="B892" s="2483"/>
      <c r="C892" s="2483"/>
      <c r="D892" s="2483"/>
      <c r="E892" s="2483"/>
      <c r="F892" s="2483"/>
      <c r="G892" s="2483"/>
      <c r="H892" s="2483"/>
      <c r="I892" s="2483"/>
      <c r="J892" s="2483"/>
      <c r="K892" s="2483"/>
      <c r="L892" s="2483"/>
      <c r="M892" s="2483"/>
      <c r="N892" s="2483"/>
      <c r="O892" s="2483"/>
      <c r="P892" s="2483"/>
      <c r="Q892" s="2483"/>
    </row>
    <row r="893" spans="1:17" ht="14">
      <c r="A893" s="2486"/>
      <c r="B893" s="2485"/>
      <c r="C893" s="2484"/>
      <c r="D893" s="2484"/>
      <c r="E893" s="2484"/>
      <c r="F893" s="2484"/>
      <c r="G893" s="2484"/>
      <c r="H893" s="2484"/>
      <c r="I893" s="2484"/>
      <c r="J893" s="2484"/>
      <c r="K893" s="2484"/>
      <c r="L893" s="2484"/>
      <c r="M893" s="2484"/>
      <c r="N893" s="2484"/>
      <c r="O893" s="2484"/>
      <c r="P893" s="2484"/>
      <c r="Q893" s="2486"/>
    </row>
    <row r="894" spans="1:17" ht="14">
      <c r="A894" s="2773"/>
      <c r="B894" s="2485"/>
      <c r="C894" s="2484"/>
      <c r="D894" s="2484"/>
      <c r="E894" s="2484"/>
      <c r="F894" s="2484"/>
      <c r="G894" s="2484"/>
      <c r="H894" s="2484"/>
      <c r="I894" s="2484"/>
      <c r="J894" s="2484"/>
      <c r="K894" s="2484"/>
      <c r="L894" s="2484"/>
      <c r="M894" s="2484"/>
      <c r="N894" s="2484"/>
      <c r="O894" s="2484"/>
      <c r="P894" s="2484"/>
      <c r="Q894" s="2486"/>
    </row>
    <row r="895" spans="1:17" ht="14">
      <c r="A895" s="2773" t="s">
        <v>1661</v>
      </c>
      <c r="B895" s="2773" t="s">
        <v>3894</v>
      </c>
      <c r="C895" s="2773"/>
      <c r="D895" s="2484"/>
      <c r="E895" s="2484"/>
      <c r="F895" s="2484"/>
      <c r="G895" s="2484"/>
      <c r="H895" s="2486"/>
      <c r="I895" s="2483"/>
      <c r="J895" s="2774"/>
      <c r="K895" s="2488"/>
      <c r="L895" s="2774"/>
      <c r="M895" s="2773"/>
      <c r="N895" s="2483"/>
      <c r="O895" s="2774" t="s">
        <v>1726</v>
      </c>
      <c r="P895" s="2488"/>
      <c r="Q895" s="2488"/>
    </row>
    <row r="896" spans="1:17" ht="14.15" customHeight="1">
      <c r="A896" s="2774"/>
      <c r="B896" s="2483" t="s">
        <v>2258</v>
      </c>
      <c r="C896" s="2483"/>
      <c r="D896" s="2483"/>
      <c r="E896" s="2483"/>
      <c r="F896" s="2483"/>
      <c r="G896" s="2483"/>
      <c r="H896" s="2483"/>
      <c r="I896" s="2772">
        <f>'Part VII-Threshold Criteria'!I53</f>
        <v>0</v>
      </c>
      <c r="J896" s="2772"/>
      <c r="K896" s="2772"/>
      <c r="L896" s="2772"/>
      <c r="M896" s="2772"/>
      <c r="N896" s="2772"/>
      <c r="O896" s="2772"/>
      <c r="P896" s="2772"/>
      <c r="Q896" s="2772"/>
    </row>
    <row r="897" spans="1:17" ht="14">
      <c r="A897" s="2774"/>
      <c r="B897" s="2483" t="s">
        <v>4662</v>
      </c>
      <c r="C897" s="2483"/>
      <c r="D897" s="2483"/>
      <c r="E897" s="2483"/>
      <c r="F897" s="2483"/>
      <c r="G897" s="2483"/>
      <c r="H897" s="2483"/>
      <c r="I897" s="2483">
        <f>'Part VII-Threshold Criteria'!I54</f>
        <v>0</v>
      </c>
      <c r="J897" s="2483"/>
      <c r="K897" s="2483"/>
      <c r="L897" s="2779"/>
      <c r="M897" s="2780"/>
      <c r="N897" s="2780"/>
      <c r="O897" s="2780"/>
      <c r="P897" s="2780"/>
      <c r="Q897" s="2486"/>
    </row>
    <row r="898" spans="1:17" ht="14">
      <c r="A898" s="2774"/>
      <c r="B898" s="2483" t="s">
        <v>4663</v>
      </c>
      <c r="C898" s="2483"/>
      <c r="D898" s="2483"/>
      <c r="E898" s="2483"/>
      <c r="F898" s="2483"/>
      <c r="G898" s="2483"/>
      <c r="H898" s="2779" t="s">
        <v>4664</v>
      </c>
      <c r="I898" s="2483">
        <f>'Part VII-Threshold Criteria'!I55</f>
        <v>0</v>
      </c>
      <c r="J898" s="2483"/>
      <c r="K898" s="2483"/>
      <c r="L898" s="2780"/>
      <c r="M898" s="2781" t="s">
        <v>4665</v>
      </c>
      <c r="N898" s="2483">
        <f>'Part VII-Threshold Criteria'!N55</f>
        <v>0</v>
      </c>
      <c r="O898" s="2483"/>
      <c r="P898" s="2483"/>
      <c r="Q898" s="2483"/>
    </row>
    <row r="899" spans="1:17" ht="14.5">
      <c r="A899" s="2483"/>
      <c r="B899" s="2776" t="s">
        <v>3158</v>
      </c>
      <c r="C899" s="2483"/>
      <c r="D899" s="2776"/>
      <c r="E899" s="2776"/>
      <c r="F899" s="2776"/>
      <c r="G899" s="2776"/>
      <c r="H899" s="2484"/>
      <c r="I899" s="2485"/>
      <c r="J899" s="2485"/>
      <c r="K899" s="2485"/>
      <c r="L899" s="2486"/>
      <c r="M899" s="2486"/>
      <c r="N899" s="2486"/>
      <c r="O899" s="2486"/>
      <c r="P899" s="2486"/>
      <c r="Q899" s="2486"/>
    </row>
    <row r="900" spans="1:17" ht="14">
      <c r="A900" s="2483">
        <f>'Part VII-Threshold Criteria'!A57</f>
        <v>0</v>
      </c>
      <c r="B900" s="2483"/>
      <c r="C900" s="2483"/>
      <c r="D900" s="2483"/>
      <c r="E900" s="2483"/>
      <c r="F900" s="2483"/>
      <c r="G900" s="2483"/>
      <c r="H900" s="2483"/>
      <c r="I900" s="2483"/>
      <c r="J900" s="2483"/>
      <c r="K900" s="2483"/>
      <c r="L900" s="2483"/>
      <c r="M900" s="2483"/>
      <c r="N900" s="2483"/>
      <c r="O900" s="2483"/>
      <c r="P900" s="2483"/>
      <c r="Q900" s="2483"/>
    </row>
    <row r="901" spans="1:17" ht="14.5">
      <c r="A901" s="2483"/>
      <c r="B901" s="2775" t="s">
        <v>1725</v>
      </c>
      <c r="C901" s="2775"/>
      <c r="D901" s="2484"/>
      <c r="E901" s="2484"/>
      <c r="F901" s="2484"/>
      <c r="G901" s="2484"/>
      <c r="H901" s="2484"/>
      <c r="I901" s="2484"/>
      <c r="J901" s="2484"/>
      <c r="K901" s="2484"/>
      <c r="L901" s="2484"/>
      <c r="M901" s="2484"/>
      <c r="N901" s="2484"/>
      <c r="O901" s="2484"/>
      <c r="P901" s="2484"/>
      <c r="Q901" s="2484"/>
    </row>
    <row r="902" spans="1:17" ht="14">
      <c r="A902" s="2483"/>
      <c r="B902" s="2483"/>
      <c r="C902" s="2483"/>
      <c r="D902" s="2483"/>
      <c r="E902" s="2483"/>
      <c r="F902" s="2483"/>
      <c r="G902" s="2483"/>
      <c r="H902" s="2483"/>
      <c r="I902" s="2483"/>
      <c r="J902" s="2483"/>
      <c r="K902" s="2483"/>
      <c r="L902" s="2483"/>
      <c r="M902" s="2483"/>
      <c r="N902" s="2483"/>
      <c r="O902" s="2483"/>
      <c r="P902" s="2483"/>
      <c r="Q902" s="2483"/>
    </row>
    <row r="903" spans="1:17" ht="14">
      <c r="A903" s="2484"/>
      <c r="B903" s="2484"/>
      <c r="C903" s="2484"/>
      <c r="D903" s="2484"/>
      <c r="E903" s="2484"/>
      <c r="F903" s="2484"/>
      <c r="G903" s="2484"/>
      <c r="H903" s="2484"/>
      <c r="I903" s="2484"/>
      <c r="J903" s="2484"/>
      <c r="K903" s="2484"/>
      <c r="L903" s="2484"/>
      <c r="M903" s="2484"/>
      <c r="N903" s="2484"/>
      <c r="O903" s="2484"/>
      <c r="P903" s="2484"/>
      <c r="Q903" s="2484"/>
    </row>
    <row r="904" spans="1:17" ht="14">
      <c r="A904" s="2773"/>
      <c r="B904" s="2484"/>
      <c r="C904" s="2484"/>
      <c r="D904" s="2484"/>
      <c r="E904" s="2484"/>
      <c r="F904" s="2484"/>
      <c r="G904" s="2484"/>
      <c r="H904" s="2484"/>
      <c r="I904" s="2484"/>
      <c r="J904" s="2484"/>
      <c r="K904" s="2484"/>
      <c r="L904" s="2484"/>
      <c r="M904" s="2484"/>
      <c r="N904" s="2484"/>
      <c r="O904" s="2484"/>
      <c r="P904" s="2484"/>
      <c r="Q904" s="2484"/>
    </row>
    <row r="905" spans="1:17" ht="14">
      <c r="A905" s="2773" t="s">
        <v>1663</v>
      </c>
      <c r="B905" s="2773" t="s">
        <v>2416</v>
      </c>
      <c r="C905" s="2773"/>
      <c r="D905" s="2484"/>
      <c r="E905" s="2484"/>
      <c r="F905" s="2484"/>
      <c r="G905" s="2484"/>
      <c r="H905" s="2484"/>
      <c r="I905" s="2484"/>
      <c r="J905" s="2484"/>
      <c r="K905" s="2484"/>
      <c r="L905" s="2484"/>
      <c r="M905" s="2484"/>
      <c r="N905" s="2483"/>
      <c r="O905" s="2774" t="s">
        <v>1726</v>
      </c>
      <c r="P905" s="2488"/>
      <c r="Q905" s="2488"/>
    </row>
    <row r="906" spans="1:17" ht="14">
      <c r="A906" s="2774"/>
      <c r="B906" s="2483" t="s">
        <v>4666</v>
      </c>
      <c r="C906" s="2483"/>
      <c r="D906" s="2483"/>
      <c r="E906" s="2483"/>
      <c r="F906" s="2483"/>
      <c r="G906" s="2483"/>
      <c r="H906" s="2483"/>
      <c r="I906" s="2483"/>
      <c r="J906" s="2483">
        <f>'Part VII-Threshold Criteria'!J63</f>
        <v>0</v>
      </c>
      <c r="K906" s="2483"/>
      <c r="L906" s="2483"/>
      <c r="M906" s="2483"/>
      <c r="N906" s="2483"/>
      <c r="O906" s="2483"/>
      <c r="P906" s="2483"/>
      <c r="Q906" s="2483"/>
    </row>
    <row r="907" spans="1:17" ht="14">
      <c r="A907" s="2774"/>
      <c r="B907" s="2483" t="s">
        <v>3827</v>
      </c>
      <c r="C907" s="2483"/>
      <c r="D907" s="2483"/>
      <c r="E907" s="2483"/>
      <c r="F907" s="2483"/>
      <c r="G907" s="2483"/>
      <c r="H907" s="2483"/>
      <c r="I907" s="2483"/>
      <c r="J907" s="2483"/>
      <c r="K907" s="2483"/>
      <c r="L907" s="2483"/>
      <c r="M907" s="2483"/>
      <c r="N907" s="2483"/>
      <c r="O907" s="2779"/>
      <c r="P907" s="2486">
        <f>'Part VII-Threshold Criteria'!P64</f>
        <v>0</v>
      </c>
      <c r="Q907" s="2486"/>
    </row>
    <row r="908" spans="1:17" ht="14.15" customHeight="1">
      <c r="A908" s="2483"/>
      <c r="B908" s="2773"/>
      <c r="C908" s="2483" t="s">
        <v>4799</v>
      </c>
      <c r="D908" s="2483"/>
      <c r="E908" s="2483"/>
      <c r="F908" s="2483"/>
      <c r="G908" s="2483"/>
      <c r="H908" s="2483"/>
      <c r="I908" s="2483"/>
      <c r="J908" s="2483"/>
      <c r="K908" s="2483"/>
      <c r="L908" s="2483"/>
      <c r="M908" s="2483"/>
      <c r="N908" s="2483"/>
      <c r="O908" s="2483"/>
      <c r="P908" s="2486">
        <f>'Part VII-Threshold Criteria'!P65</f>
        <v>0</v>
      </c>
      <c r="Q908" s="2486"/>
    </row>
    <row r="909" spans="1:17" ht="14.5">
      <c r="A909" s="2483"/>
      <c r="B909" s="2776" t="s">
        <v>4660</v>
      </c>
      <c r="C909" s="2483"/>
      <c r="D909" s="2776"/>
      <c r="E909" s="2776"/>
      <c r="F909" s="2776"/>
      <c r="G909" s="2776"/>
      <c r="H909" s="2484"/>
      <c r="I909" s="2485"/>
      <c r="J909" s="2485"/>
      <c r="K909" s="2485"/>
      <c r="L909" s="2486"/>
      <c r="M909" s="2486"/>
      <c r="N909" s="2486"/>
      <c r="O909" s="2486"/>
      <c r="P909" s="2486"/>
      <c r="Q909" s="2486"/>
    </row>
    <row r="910" spans="1:17" ht="14">
      <c r="A910" s="2483">
        <f>'Part VII-Threshold Criteria'!A67</f>
        <v>0</v>
      </c>
      <c r="B910" s="2483"/>
      <c r="C910" s="2483"/>
      <c r="D910" s="2483"/>
      <c r="E910" s="2483"/>
      <c r="F910" s="2483"/>
      <c r="G910" s="2483"/>
      <c r="H910" s="2483"/>
      <c r="I910" s="2483"/>
      <c r="J910" s="2483"/>
      <c r="K910" s="2483"/>
      <c r="L910" s="2483"/>
      <c r="M910" s="2483"/>
      <c r="N910" s="2483"/>
      <c r="O910" s="2483"/>
      <c r="P910" s="2483"/>
      <c r="Q910" s="2483"/>
    </row>
    <row r="911" spans="1:17" ht="14.5">
      <c r="A911" s="2483"/>
      <c r="B911" s="2775" t="s">
        <v>1725</v>
      </c>
      <c r="C911" s="2775"/>
      <c r="D911" s="2484"/>
      <c r="E911" s="2484"/>
      <c r="F911" s="2484"/>
      <c r="G911" s="2484"/>
      <c r="H911" s="2484"/>
      <c r="I911" s="2484"/>
      <c r="J911" s="2484"/>
      <c r="K911" s="2484"/>
      <c r="L911" s="2484"/>
      <c r="M911" s="2484"/>
      <c r="N911" s="2484"/>
      <c r="O911" s="2484"/>
      <c r="P911" s="2484"/>
      <c r="Q911" s="2484"/>
    </row>
    <row r="912" spans="1:17" ht="14">
      <c r="A912" s="2483"/>
      <c r="B912" s="2483"/>
      <c r="C912" s="2483"/>
      <c r="D912" s="2483"/>
      <c r="E912" s="2483"/>
      <c r="F912" s="2483"/>
      <c r="G912" s="2483"/>
      <c r="H912" s="2483"/>
      <c r="I912" s="2483"/>
      <c r="J912" s="2483"/>
      <c r="K912" s="2483"/>
      <c r="L912" s="2483"/>
      <c r="M912" s="2483"/>
      <c r="N912" s="2483"/>
      <c r="O912" s="2483"/>
      <c r="P912" s="2483"/>
      <c r="Q912" s="2483"/>
    </row>
    <row r="913" spans="1:17" ht="14">
      <c r="A913" s="2483"/>
      <c r="B913" s="2483"/>
      <c r="C913" s="2483"/>
      <c r="D913" s="2483"/>
      <c r="E913" s="2483"/>
      <c r="F913" s="2483"/>
      <c r="G913" s="2483"/>
      <c r="H913" s="2483"/>
      <c r="I913" s="2483"/>
      <c r="J913" s="2483"/>
      <c r="K913" s="2483"/>
      <c r="L913" s="2483"/>
      <c r="M913" s="2483"/>
      <c r="N913" s="2483"/>
      <c r="O913" s="2483"/>
      <c r="P913" s="2483"/>
      <c r="Q913" s="2483"/>
    </row>
    <row r="914" spans="1:17" ht="14">
      <c r="A914" s="2483"/>
      <c r="B914" s="2483"/>
      <c r="C914" s="2483"/>
      <c r="D914" s="2483"/>
      <c r="E914" s="2483"/>
      <c r="F914" s="2483"/>
      <c r="G914" s="2483"/>
      <c r="H914" s="2483"/>
      <c r="I914" s="2483"/>
      <c r="J914" s="2483"/>
      <c r="K914" s="2483"/>
      <c r="L914" s="2483"/>
      <c r="M914" s="2483"/>
      <c r="N914" s="2483"/>
      <c r="O914" s="2483"/>
      <c r="P914" s="2483"/>
      <c r="Q914" s="2483"/>
    </row>
    <row r="915" spans="1:17" ht="14">
      <c r="A915" s="2773" t="s">
        <v>495</v>
      </c>
      <c r="B915" s="2773" t="s">
        <v>2417</v>
      </c>
      <c r="C915" s="2484"/>
      <c r="D915" s="2484"/>
      <c r="E915" s="2484"/>
      <c r="F915" s="2484"/>
      <c r="G915" s="2484"/>
      <c r="H915" s="2484"/>
      <c r="I915" s="2484"/>
      <c r="J915" s="2484"/>
      <c r="K915" s="2484"/>
      <c r="L915" s="2484"/>
      <c r="M915" s="2484"/>
      <c r="N915" s="2483"/>
      <c r="O915" s="2774" t="s">
        <v>1726</v>
      </c>
      <c r="P915" s="2488"/>
      <c r="Q915" s="2488"/>
    </row>
    <row r="916" spans="1:17" ht="14.15" customHeight="1">
      <c r="A916" s="2774"/>
      <c r="B916" s="2483" t="s">
        <v>5004</v>
      </c>
      <c r="C916" s="2483"/>
      <c r="D916" s="2483"/>
      <c r="E916" s="2483"/>
      <c r="F916" s="2483"/>
      <c r="G916" s="2483"/>
      <c r="H916" s="2483"/>
      <c r="I916" s="2483"/>
      <c r="J916" s="2483"/>
      <c r="K916" s="2483"/>
      <c r="L916" s="2782">
        <f>'Part VII-Threshold Criteria'!L73</f>
        <v>0</v>
      </c>
      <c r="M916" s="2782"/>
      <c r="N916" s="2782"/>
      <c r="O916" s="2782"/>
      <c r="P916" s="2782"/>
      <c r="Q916" s="2782"/>
    </row>
    <row r="917" spans="1:17" ht="14">
      <c r="A917" s="2483"/>
      <c r="B917" s="2483" t="s">
        <v>4667</v>
      </c>
      <c r="C917" s="2483"/>
      <c r="D917" s="2483"/>
      <c r="E917" s="2483"/>
      <c r="F917" s="2483"/>
      <c r="G917" s="2483"/>
      <c r="H917" s="2483"/>
      <c r="I917" s="2483"/>
      <c r="J917" s="2483"/>
      <c r="K917" s="2483"/>
      <c r="L917" s="2483"/>
      <c r="M917" s="2483"/>
      <c r="N917" s="2483"/>
      <c r="O917" s="2779"/>
      <c r="P917" s="2486">
        <f>'Part VII-Threshold Criteria'!P74</f>
        <v>0</v>
      </c>
      <c r="Q917" s="2486"/>
    </row>
    <row r="918" spans="1:17" ht="14">
      <c r="A918" s="2774"/>
      <c r="B918" s="2483" t="s">
        <v>4530</v>
      </c>
      <c r="C918" s="2483"/>
      <c r="D918" s="2483"/>
      <c r="E918" s="2483"/>
      <c r="F918" s="2483"/>
      <c r="G918" s="2483"/>
      <c r="H918" s="2483"/>
      <c r="I918" s="2483"/>
      <c r="J918" s="2483"/>
      <c r="K918" s="2483"/>
      <c r="L918" s="2484"/>
      <c r="M918" s="2483"/>
      <c r="N918" s="2483"/>
      <c r="O918" s="2779"/>
      <c r="P918" s="2486">
        <f>'Part VII-Threshold Criteria'!P75</f>
        <v>0</v>
      </c>
      <c r="Q918" s="2486"/>
    </row>
    <row r="919" spans="1:17" ht="14">
      <c r="A919" s="2774"/>
      <c r="B919" s="2483" t="s">
        <v>4668</v>
      </c>
      <c r="C919" s="2483"/>
      <c r="D919" s="2483"/>
      <c r="E919" s="2483"/>
      <c r="F919" s="2483"/>
      <c r="G919" s="2483"/>
      <c r="H919" s="2483"/>
      <c r="I919" s="2483"/>
      <c r="J919" s="2483"/>
      <c r="K919" s="2483"/>
      <c r="L919" s="2484"/>
      <c r="M919" s="2484"/>
      <c r="N919" s="2484"/>
      <c r="O919" s="2779"/>
      <c r="P919" s="2483"/>
      <c r="Q919" s="2483"/>
    </row>
    <row r="920" spans="1:17" ht="14">
      <c r="A920" s="2774"/>
      <c r="B920" s="2773"/>
      <c r="C920" s="2483" t="s">
        <v>4669</v>
      </c>
      <c r="D920" s="2483"/>
      <c r="E920" s="2483"/>
      <c r="F920" s="2483"/>
      <c r="G920" s="2483"/>
      <c r="H920" s="2483"/>
      <c r="I920" s="2483"/>
      <c r="J920" s="2483"/>
      <c r="K920" s="2483"/>
      <c r="L920" s="2484"/>
      <c r="M920" s="2484"/>
      <c r="N920" s="2483"/>
      <c r="O920" s="2779"/>
      <c r="P920" s="2486">
        <f>'Part VII-Threshold Criteria'!P77</f>
        <v>0</v>
      </c>
      <c r="Q920" s="2486"/>
    </row>
    <row r="921" spans="1:17" ht="14">
      <c r="A921" s="2774"/>
      <c r="B921" s="2773"/>
      <c r="C921" s="2483" t="s">
        <v>4670</v>
      </c>
      <c r="D921" s="2483"/>
      <c r="E921" s="2483"/>
      <c r="F921" s="2483"/>
      <c r="G921" s="2483"/>
      <c r="H921" s="2483"/>
      <c r="I921" s="2483"/>
      <c r="J921" s="2483"/>
      <c r="K921" s="2483"/>
      <c r="L921" s="2484"/>
      <c r="M921" s="2484"/>
      <c r="N921" s="2483"/>
      <c r="O921" s="2779"/>
      <c r="P921" s="2486">
        <f>'Part VII-Threshold Criteria'!P78</f>
        <v>0</v>
      </c>
      <c r="Q921" s="2486"/>
    </row>
    <row r="922" spans="1:17" ht="14.5">
      <c r="A922" s="2515"/>
      <c r="B922" s="2783"/>
      <c r="C922" s="2783"/>
      <c r="D922" s="2771" t="s">
        <v>4671</v>
      </c>
      <c r="E922" s="2784"/>
      <c r="F922" s="2784"/>
      <c r="G922" s="2771"/>
      <c r="H922" s="2771"/>
      <c r="I922" s="2516"/>
      <c r="J922" s="2772"/>
      <c r="K922" s="2772"/>
      <c r="L922" s="2516"/>
      <c r="M922" s="2516"/>
      <c r="N922" s="2772"/>
      <c r="O922" s="2785"/>
      <c r="P922" s="2486">
        <f>'Part VII-Threshold Criteria'!P79</f>
        <v>0</v>
      </c>
      <c r="Q922" s="2786"/>
    </row>
    <row r="923" spans="1:17" ht="14">
      <c r="A923" s="2774"/>
      <c r="B923" s="2773"/>
      <c r="C923" s="2483" t="s">
        <v>4672</v>
      </c>
      <c r="D923" s="2483"/>
      <c r="E923" s="2483"/>
      <c r="F923" s="2483"/>
      <c r="G923" s="2483"/>
      <c r="H923" s="2483"/>
      <c r="I923" s="2483"/>
      <c r="J923" s="2483"/>
      <c r="K923" s="2483"/>
      <c r="L923" s="2484"/>
      <c r="M923" s="2484"/>
      <c r="N923" s="2483"/>
      <c r="O923" s="2779"/>
      <c r="P923" s="2486">
        <f>'Part VII-Threshold Criteria'!P80</f>
        <v>0</v>
      </c>
      <c r="Q923" s="2486"/>
    </row>
    <row r="924" spans="1:17" ht="14.15" customHeight="1">
      <c r="A924" s="2774"/>
      <c r="B924" s="2483" t="s">
        <v>4825</v>
      </c>
      <c r="C924" s="2483"/>
      <c r="D924" s="2483"/>
      <c r="E924" s="2483"/>
      <c r="F924" s="2483"/>
      <c r="G924" s="2483"/>
      <c r="H924" s="2483"/>
      <c r="I924" s="2483"/>
      <c r="J924" s="2483"/>
      <c r="K924" s="2483"/>
      <c r="L924" s="2483"/>
      <c r="M924" s="2483"/>
      <c r="N924" s="2483"/>
      <c r="O924" s="2483"/>
      <c r="P924" s="2483"/>
      <c r="Q924" s="2483"/>
    </row>
    <row r="925" spans="1:17" ht="14">
      <c r="A925" s="2483"/>
      <c r="B925" s="2483">
        <f>'Part VII-Threshold Criteria'!B82</f>
        <v>0</v>
      </c>
      <c r="C925" s="2483"/>
      <c r="D925" s="2483"/>
      <c r="E925" s="2483"/>
      <c r="F925" s="2483"/>
      <c r="G925" s="2483"/>
      <c r="H925" s="2483"/>
      <c r="I925" s="2483"/>
      <c r="J925" s="2483"/>
      <c r="K925" s="2483"/>
      <c r="L925" s="2483"/>
      <c r="M925" s="2483"/>
      <c r="N925" s="2483"/>
      <c r="O925" s="2483"/>
      <c r="P925" s="2483"/>
      <c r="Q925" s="2483"/>
    </row>
    <row r="926" spans="1:17" ht="14.5">
      <c r="A926" s="2483"/>
      <c r="B926" s="2776" t="s">
        <v>3158</v>
      </c>
      <c r="C926" s="2483"/>
      <c r="D926" s="2776"/>
      <c r="E926" s="2776"/>
      <c r="F926" s="2776"/>
      <c r="G926" s="2776"/>
      <c r="H926" s="2484"/>
      <c r="I926" s="2485"/>
      <c r="J926" s="2485"/>
      <c r="K926" s="2485"/>
      <c r="L926" s="2486"/>
      <c r="M926" s="2486"/>
      <c r="N926" s="2486"/>
      <c r="O926" s="2486"/>
      <c r="P926" s="2486"/>
      <c r="Q926" s="2486"/>
    </row>
    <row r="927" spans="1:17" ht="14">
      <c r="A927" s="2483">
        <f>'Part VII-Threshold Criteria'!A84</f>
        <v>0</v>
      </c>
      <c r="B927" s="2483"/>
      <c r="C927" s="2483"/>
      <c r="D927" s="2483"/>
      <c r="E927" s="2483"/>
      <c r="F927" s="2483"/>
      <c r="G927" s="2483"/>
      <c r="H927" s="2483"/>
      <c r="I927" s="2483"/>
      <c r="J927" s="2483"/>
      <c r="K927" s="2483"/>
      <c r="L927" s="2483"/>
      <c r="M927" s="2483"/>
      <c r="N927" s="2483"/>
      <c r="O927" s="2483"/>
      <c r="P927" s="2483"/>
      <c r="Q927" s="2483"/>
    </row>
    <row r="928" spans="1:17" ht="14.5">
      <c r="A928" s="2483"/>
      <c r="B928" s="2775" t="s">
        <v>1725</v>
      </c>
      <c r="C928" s="2775"/>
      <c r="D928" s="2484"/>
      <c r="E928" s="2484"/>
      <c r="F928" s="2484"/>
      <c r="G928" s="2484"/>
      <c r="H928" s="2484"/>
      <c r="I928" s="2484"/>
      <c r="J928" s="2484"/>
      <c r="K928" s="2484"/>
      <c r="L928" s="2484"/>
      <c r="M928" s="2484"/>
      <c r="N928" s="2484"/>
      <c r="O928" s="2484"/>
      <c r="P928" s="2484"/>
      <c r="Q928" s="2484"/>
    </row>
    <row r="929" spans="1:17" ht="14">
      <c r="A929" s="2483"/>
      <c r="B929" s="2483"/>
      <c r="C929" s="2483"/>
      <c r="D929" s="2483"/>
      <c r="E929" s="2483"/>
      <c r="F929" s="2483"/>
      <c r="G929" s="2483"/>
      <c r="H929" s="2483"/>
      <c r="I929" s="2483"/>
      <c r="J929" s="2483"/>
      <c r="K929" s="2483"/>
      <c r="L929" s="2483"/>
      <c r="M929" s="2483"/>
      <c r="N929" s="2483"/>
      <c r="O929" s="2483"/>
      <c r="P929" s="2483"/>
      <c r="Q929" s="2483"/>
    </row>
    <row r="930" spans="1:17" ht="14">
      <c r="A930" s="2486"/>
      <c r="B930" s="2485"/>
      <c r="C930" s="2484"/>
      <c r="D930" s="2484"/>
      <c r="E930" s="2484"/>
      <c r="F930" s="2484"/>
      <c r="G930" s="2484"/>
      <c r="H930" s="2484"/>
      <c r="I930" s="2484"/>
      <c r="J930" s="2484"/>
      <c r="K930" s="2484"/>
      <c r="L930" s="2484"/>
      <c r="M930" s="2484"/>
      <c r="N930" s="2484"/>
      <c r="O930" s="2484"/>
      <c r="P930" s="2484"/>
      <c r="Q930" s="2486"/>
    </row>
    <row r="931" spans="1:17" ht="14">
      <c r="A931" s="2483"/>
      <c r="B931" s="2485"/>
      <c r="C931" s="2484"/>
      <c r="D931" s="2484"/>
      <c r="E931" s="2484"/>
      <c r="F931" s="2484"/>
      <c r="G931" s="2484"/>
      <c r="H931" s="2484"/>
      <c r="I931" s="2484"/>
      <c r="J931" s="2484"/>
      <c r="K931" s="2484"/>
      <c r="L931" s="2484"/>
      <c r="M931" s="2484"/>
      <c r="N931" s="2484"/>
      <c r="O931" s="2484"/>
      <c r="P931" s="2484"/>
      <c r="Q931" s="2486"/>
    </row>
    <row r="932" spans="1:17" ht="14">
      <c r="A932" s="2773" t="s">
        <v>719</v>
      </c>
      <c r="B932" s="2773" t="s">
        <v>2418</v>
      </c>
      <c r="C932" s="2773"/>
      <c r="D932" s="2484"/>
      <c r="E932" s="2484"/>
      <c r="F932" s="2484"/>
      <c r="G932" s="2484"/>
      <c r="H932" s="2484"/>
      <c r="I932" s="2484"/>
      <c r="J932" s="2484"/>
      <c r="K932" s="2484"/>
      <c r="L932" s="2483"/>
      <c r="M932" s="2483"/>
      <c r="N932" s="2483"/>
      <c r="O932" s="2774" t="s">
        <v>1726</v>
      </c>
      <c r="P932" s="2488"/>
      <c r="Q932" s="2488"/>
    </row>
    <row r="933" spans="1:17" ht="14.15" customHeight="1">
      <c r="A933" s="2774"/>
      <c r="B933" s="2483" t="s">
        <v>143</v>
      </c>
      <c r="C933" s="2483"/>
      <c r="D933" s="2483"/>
      <c r="E933" s="2483"/>
      <c r="F933" s="2787" t="str">
        <f>IF(L933="Ground lease/Option","Ground lease/Option:","")</f>
        <v/>
      </c>
      <c r="G933" s="2483"/>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8" t="str">
        <f>'Part VII-Threshold Criteria'!L90</f>
        <v>&lt;&lt;Select&gt;&gt;</v>
      </c>
      <c r="M933" s="2488"/>
      <c r="N933" s="2488"/>
      <c r="O933" s="2488" t="s">
        <v>1641</v>
      </c>
      <c r="P933" s="2488"/>
      <c r="Q933" s="2488"/>
    </row>
    <row r="934" spans="1:17" ht="14">
      <c r="A934" s="2774"/>
      <c r="B934" s="2483" t="s">
        <v>635</v>
      </c>
      <c r="C934" s="2483"/>
      <c r="D934" s="2483"/>
      <c r="E934" s="2483"/>
      <c r="F934" s="2483"/>
      <c r="G934" s="2483">
        <f>'Part VII-Threshold Criteria'!G91</f>
        <v>0</v>
      </c>
      <c r="H934" s="2483"/>
      <c r="I934" s="2483"/>
      <c r="J934" s="2483"/>
      <c r="K934" s="2483"/>
      <c r="L934" s="2483"/>
      <c r="M934" s="2483"/>
      <c r="N934" s="2483"/>
      <c r="O934" s="2483"/>
      <c r="P934" s="2483"/>
      <c r="Q934" s="2483"/>
    </row>
    <row r="935" spans="1:17" ht="14.5">
      <c r="A935" s="2483"/>
      <c r="B935" s="2776" t="s">
        <v>3158</v>
      </c>
      <c r="C935" s="2483"/>
      <c r="D935" s="2776"/>
      <c r="E935" s="2776"/>
      <c r="F935" s="2776"/>
      <c r="G935" s="2776"/>
      <c r="H935" s="2484"/>
      <c r="I935" s="2485"/>
      <c r="J935" s="2485"/>
      <c r="K935" s="2485"/>
      <c r="L935" s="2486"/>
      <c r="M935" s="2486"/>
      <c r="N935" s="2486"/>
      <c r="O935" s="2486"/>
      <c r="P935" s="2486"/>
      <c r="Q935" s="2486"/>
    </row>
    <row r="936" spans="1:17" ht="14">
      <c r="A936" s="2483">
        <f>'Part VII-Threshold Criteria'!A93</f>
        <v>0</v>
      </c>
      <c r="B936" s="2483"/>
      <c r="C936" s="2483"/>
      <c r="D936" s="2483"/>
      <c r="E936" s="2483"/>
      <c r="F936" s="2483"/>
      <c r="G936" s="2483"/>
      <c r="H936" s="2483"/>
      <c r="I936" s="2483"/>
      <c r="J936" s="2483"/>
      <c r="K936" s="2483"/>
      <c r="L936" s="2483"/>
      <c r="M936" s="2483"/>
      <c r="N936" s="2483"/>
      <c r="O936" s="2483"/>
      <c r="P936" s="2483"/>
      <c r="Q936" s="2483"/>
    </row>
    <row r="937" spans="1:17" ht="14.5">
      <c r="A937" s="2483"/>
      <c r="B937" s="2775" t="s">
        <v>1725</v>
      </c>
      <c r="C937" s="2775"/>
      <c r="D937" s="2484"/>
      <c r="E937" s="2484"/>
      <c r="F937" s="2484"/>
      <c r="G937" s="2484"/>
      <c r="H937" s="2484"/>
      <c r="I937" s="2484"/>
      <c r="J937" s="2484"/>
      <c r="K937" s="2484"/>
      <c r="L937" s="2484"/>
      <c r="M937" s="2484"/>
      <c r="N937" s="2484"/>
      <c r="O937" s="2484"/>
      <c r="P937" s="2484"/>
      <c r="Q937" s="2484"/>
    </row>
    <row r="938" spans="1:17" ht="14">
      <c r="A938" s="2483"/>
      <c r="B938" s="2483"/>
      <c r="C938" s="2483"/>
      <c r="D938" s="2483"/>
      <c r="E938" s="2483"/>
      <c r="F938" s="2483"/>
      <c r="G938" s="2483"/>
      <c r="H938" s="2483"/>
      <c r="I938" s="2483"/>
      <c r="J938" s="2483"/>
      <c r="K938" s="2483"/>
      <c r="L938" s="2483"/>
      <c r="M938" s="2483"/>
      <c r="N938" s="2483"/>
      <c r="O938" s="2483"/>
      <c r="P938" s="2483"/>
      <c r="Q938" s="2483"/>
    </row>
    <row r="939" spans="1:17" ht="14">
      <c r="A939" s="2486"/>
      <c r="B939" s="2485"/>
      <c r="C939" s="2484"/>
      <c r="D939" s="2484"/>
      <c r="E939" s="2484"/>
      <c r="F939" s="2484"/>
      <c r="G939" s="2484"/>
      <c r="H939" s="2484"/>
      <c r="I939" s="2484"/>
      <c r="J939" s="2484"/>
      <c r="K939" s="2484"/>
      <c r="L939" s="2484"/>
      <c r="M939" s="2484"/>
      <c r="N939" s="2483"/>
      <c r="O939" s="2483"/>
      <c r="P939" s="2483"/>
      <c r="Q939" s="2486"/>
    </row>
    <row r="940" spans="1:17" ht="14">
      <c r="A940" s="2483"/>
      <c r="B940" s="2485"/>
      <c r="C940" s="2484"/>
      <c r="D940" s="2484"/>
      <c r="E940" s="2484"/>
      <c r="F940" s="2484"/>
      <c r="G940" s="2484"/>
      <c r="H940" s="2484"/>
      <c r="I940" s="2484"/>
      <c r="J940" s="2484"/>
      <c r="K940" s="2484"/>
      <c r="L940" s="2484"/>
      <c r="M940" s="2484"/>
      <c r="N940" s="2483"/>
      <c r="O940" s="2483"/>
      <c r="P940" s="2483"/>
      <c r="Q940" s="2486"/>
    </row>
    <row r="941" spans="1:17" ht="14">
      <c r="A941" s="2773" t="s">
        <v>280</v>
      </c>
      <c r="B941" s="2773" t="s">
        <v>2419</v>
      </c>
      <c r="C941" s="2773"/>
      <c r="D941" s="2484"/>
      <c r="E941" s="2484"/>
      <c r="F941" s="2484"/>
      <c r="G941" s="2484"/>
      <c r="H941" s="2484"/>
      <c r="I941" s="2484"/>
      <c r="J941" s="2484"/>
      <c r="K941" s="2484"/>
      <c r="L941" s="2484"/>
      <c r="M941" s="2484"/>
      <c r="N941" s="2483"/>
      <c r="O941" s="2774" t="s">
        <v>1726</v>
      </c>
      <c r="P941" s="2488"/>
      <c r="Q941" s="2488"/>
    </row>
    <row r="942" spans="1:17" ht="14.5">
      <c r="A942" s="2483"/>
      <c r="B942" s="2776" t="s">
        <v>3158</v>
      </c>
      <c r="C942" s="2483"/>
      <c r="D942" s="2776"/>
      <c r="E942" s="2776"/>
      <c r="F942" s="2776"/>
      <c r="G942" s="2776"/>
      <c r="H942" s="2484"/>
      <c r="I942" s="2485"/>
      <c r="J942" s="2485"/>
      <c r="K942" s="2485"/>
      <c r="L942" s="2486"/>
      <c r="M942" s="2486"/>
      <c r="N942" s="2486"/>
      <c r="O942" s="2486"/>
      <c r="P942" s="2486"/>
      <c r="Q942" s="2486"/>
    </row>
    <row r="943" spans="1:17" ht="14">
      <c r="A943" s="2483">
        <f>'Part VII-Threshold Criteria'!A100</f>
        <v>0</v>
      </c>
      <c r="B943" s="2483"/>
      <c r="C943" s="2483"/>
      <c r="D943" s="2483"/>
      <c r="E943" s="2483"/>
      <c r="F943" s="2483"/>
      <c r="G943" s="2483"/>
      <c r="H943" s="2483"/>
      <c r="I943" s="2483"/>
      <c r="J943" s="2483"/>
      <c r="K943" s="2483"/>
      <c r="L943" s="2483"/>
      <c r="M943" s="2483"/>
      <c r="N943" s="2483"/>
      <c r="O943" s="2483"/>
      <c r="P943" s="2483"/>
      <c r="Q943" s="2483"/>
    </row>
    <row r="944" spans="1:17" ht="14.5">
      <c r="A944" s="2483"/>
      <c r="B944" s="2775" t="s">
        <v>1725</v>
      </c>
      <c r="C944" s="2775"/>
      <c r="D944" s="2484"/>
      <c r="E944" s="2484"/>
      <c r="F944" s="2484"/>
      <c r="G944" s="2484"/>
      <c r="H944" s="2484"/>
      <c r="I944" s="2484"/>
      <c r="J944" s="2484"/>
      <c r="K944" s="2484"/>
      <c r="L944" s="2484"/>
      <c r="M944" s="2484"/>
      <c r="N944" s="2484"/>
      <c r="O944" s="2484"/>
      <c r="P944" s="2484"/>
      <c r="Q944" s="2484"/>
    </row>
    <row r="945" spans="1:17" ht="14">
      <c r="A945" s="2483"/>
      <c r="B945" s="2483"/>
      <c r="C945" s="2483"/>
      <c r="D945" s="2483"/>
      <c r="E945" s="2483"/>
      <c r="F945" s="2483"/>
      <c r="G945" s="2483"/>
      <c r="H945" s="2483"/>
      <c r="I945" s="2483"/>
      <c r="J945" s="2483"/>
      <c r="K945" s="2483"/>
      <c r="L945" s="2483"/>
      <c r="M945" s="2483"/>
      <c r="N945" s="2483"/>
      <c r="O945" s="2483"/>
      <c r="P945" s="2483"/>
      <c r="Q945" s="2483"/>
    </row>
    <row r="946" spans="1:17" ht="14">
      <c r="A946" s="2483"/>
      <c r="B946" s="2485"/>
      <c r="C946" s="2484"/>
      <c r="D946" s="2484"/>
      <c r="E946" s="2484"/>
      <c r="F946" s="2484"/>
      <c r="G946" s="2484"/>
      <c r="H946" s="2484"/>
      <c r="I946" s="2484"/>
      <c r="J946" s="2484"/>
      <c r="K946" s="2484"/>
      <c r="L946" s="2484"/>
      <c r="M946" s="2484"/>
      <c r="N946" s="2484"/>
      <c r="O946" s="2484"/>
      <c r="P946" s="2484"/>
      <c r="Q946" s="2486"/>
    </row>
    <row r="947" spans="1:17" ht="14">
      <c r="A947" s="2483"/>
      <c r="B947" s="2485"/>
      <c r="C947" s="2484"/>
      <c r="D947" s="2484"/>
      <c r="E947" s="2484"/>
      <c r="F947" s="2484"/>
      <c r="G947" s="2484"/>
      <c r="H947" s="2484"/>
      <c r="I947" s="2484"/>
      <c r="J947" s="2484"/>
      <c r="K947" s="2484"/>
      <c r="L947" s="2484"/>
      <c r="M947" s="2484"/>
      <c r="N947" s="2484"/>
      <c r="O947" s="2484"/>
      <c r="P947" s="2484"/>
      <c r="Q947" s="2486"/>
    </row>
    <row r="948" spans="1:17" ht="14">
      <c r="A948" s="2773" t="s">
        <v>400</v>
      </c>
      <c r="B948" s="2488" t="s">
        <v>2420</v>
      </c>
      <c r="C948" s="2488"/>
      <c r="D948" s="2488"/>
      <c r="E948" s="2483"/>
      <c r="F948" s="2483"/>
      <c r="G948" s="2483"/>
      <c r="H948" s="2483"/>
      <c r="I948" s="2483"/>
      <c r="J948" s="2483"/>
      <c r="K948" s="2483"/>
      <c r="L948" s="2483"/>
      <c r="M948" s="2483"/>
      <c r="N948" s="2483"/>
      <c r="O948" s="2774" t="s">
        <v>1726</v>
      </c>
      <c r="P948" s="2488"/>
      <c r="Q948" s="2488"/>
    </row>
    <row r="949" spans="1:17" ht="14.5">
      <c r="A949" s="2483"/>
      <c r="B949" s="2776" t="s">
        <v>3158</v>
      </c>
      <c r="C949" s="2483"/>
      <c r="D949" s="2776"/>
      <c r="E949" s="2776"/>
      <c r="F949" s="2776"/>
      <c r="G949" s="2776"/>
      <c r="H949" s="2484"/>
      <c r="I949" s="2485"/>
      <c r="J949" s="2485"/>
      <c r="K949" s="2485"/>
      <c r="L949" s="2486"/>
      <c r="M949" s="2486"/>
      <c r="N949" s="2486"/>
      <c r="O949" s="2486"/>
      <c r="P949" s="2486"/>
      <c r="Q949" s="2486"/>
    </row>
    <row r="950" spans="1:17" ht="14">
      <c r="A950" s="2483">
        <f>'Part VII-Threshold Criteria'!A107</f>
        <v>0</v>
      </c>
      <c r="B950" s="2483"/>
      <c r="C950" s="2483"/>
      <c r="D950" s="2483"/>
      <c r="E950" s="2483"/>
      <c r="F950" s="2483"/>
      <c r="G950" s="2483"/>
      <c r="H950" s="2483"/>
      <c r="I950" s="2483"/>
      <c r="J950" s="2483"/>
      <c r="K950" s="2483"/>
      <c r="L950" s="2483"/>
      <c r="M950" s="2483"/>
      <c r="N950" s="2483"/>
      <c r="O950" s="2483"/>
      <c r="P950" s="2483"/>
      <c r="Q950" s="2483"/>
    </row>
    <row r="951" spans="1:17" ht="14.5">
      <c r="A951" s="2483"/>
      <c r="B951" s="2775" t="s">
        <v>1725</v>
      </c>
      <c r="C951" s="2775"/>
      <c r="D951" s="2484"/>
      <c r="E951" s="2484"/>
      <c r="F951" s="2484"/>
      <c r="G951" s="2484"/>
      <c r="H951" s="2484"/>
      <c r="I951" s="2484"/>
      <c r="J951" s="2484"/>
      <c r="K951" s="2484"/>
      <c r="L951" s="2484"/>
      <c r="M951" s="2484"/>
      <c r="N951" s="2484"/>
      <c r="O951" s="2484"/>
      <c r="P951" s="2484"/>
      <c r="Q951" s="2484"/>
    </row>
    <row r="952" spans="1:17" ht="14">
      <c r="A952" s="2483"/>
      <c r="B952" s="2483"/>
      <c r="C952" s="2483"/>
      <c r="D952" s="2483"/>
      <c r="E952" s="2483"/>
      <c r="F952" s="2483"/>
      <c r="G952" s="2483"/>
      <c r="H952" s="2483"/>
      <c r="I952" s="2483"/>
      <c r="J952" s="2483"/>
      <c r="K952" s="2483"/>
      <c r="L952" s="2483"/>
      <c r="M952" s="2483"/>
      <c r="N952" s="2483"/>
      <c r="O952" s="2483"/>
      <c r="P952" s="2483"/>
      <c r="Q952" s="2483"/>
    </row>
    <row r="953" spans="1:17" ht="14">
      <c r="A953" s="2486"/>
      <c r="B953" s="2485"/>
      <c r="C953" s="2484"/>
      <c r="D953" s="2484"/>
      <c r="E953" s="2484"/>
      <c r="F953" s="2484"/>
      <c r="G953" s="2484"/>
      <c r="H953" s="2484"/>
      <c r="I953" s="2484"/>
      <c r="J953" s="2484"/>
      <c r="K953" s="2484"/>
      <c r="L953" s="2484"/>
      <c r="M953" s="2484"/>
      <c r="N953" s="2484"/>
      <c r="O953" s="2484"/>
      <c r="P953" s="2484"/>
      <c r="Q953" s="2486"/>
    </row>
    <row r="954" spans="1:17" ht="14">
      <c r="A954" s="2483"/>
      <c r="B954" s="2485"/>
      <c r="C954" s="2484"/>
      <c r="D954" s="2484"/>
      <c r="E954" s="2484"/>
      <c r="F954" s="2484"/>
      <c r="G954" s="2484"/>
      <c r="H954" s="2484"/>
      <c r="I954" s="2484"/>
      <c r="J954" s="2484"/>
      <c r="K954" s="2484"/>
      <c r="L954" s="2484"/>
      <c r="M954" s="2484"/>
      <c r="N954" s="2484"/>
      <c r="O954" s="2484"/>
      <c r="P954" s="2484"/>
      <c r="Q954" s="2486"/>
    </row>
    <row r="955" spans="1:17" ht="14">
      <c r="A955" s="2773" t="s">
        <v>342</v>
      </c>
      <c r="B955" s="2773" t="s">
        <v>2421</v>
      </c>
      <c r="C955" s="2773"/>
      <c r="D955" s="2484"/>
      <c r="E955" s="2484"/>
      <c r="F955" s="2483"/>
      <c r="G955" s="2484"/>
      <c r="H955" s="2483"/>
      <c r="I955" s="2483"/>
      <c r="J955" s="2483"/>
      <c r="K955" s="2483"/>
      <c r="L955" s="2483"/>
      <c r="M955" s="2483"/>
      <c r="N955" s="2483"/>
      <c r="O955" s="2774" t="s">
        <v>1726</v>
      </c>
      <c r="P955" s="2488"/>
      <c r="Q955" s="2488"/>
    </row>
    <row r="956" spans="1:17" ht="14">
      <c r="A956" s="2774"/>
      <c r="B956" s="2483" t="s">
        <v>4673</v>
      </c>
      <c r="C956" s="2483"/>
      <c r="D956" s="2483"/>
      <c r="E956" s="2483"/>
      <c r="F956" s="2483"/>
      <c r="G956" s="2483"/>
      <c r="H956" s="2483" t="s">
        <v>4674</v>
      </c>
      <c r="I956" s="2483"/>
      <c r="J956" s="2488" t="str">
        <f>'Part VII-Threshold Criteria'!J113</f>
        <v>&lt;&lt;Enter Provider Name Here&gt;&gt;</v>
      </c>
      <c r="K956" s="2488"/>
      <c r="L956" s="2488"/>
      <c r="M956" s="2488"/>
      <c r="N956" s="2488"/>
      <c r="O956" s="2488"/>
      <c r="P956" s="2488"/>
      <c r="Q956" s="2488"/>
    </row>
    <row r="957" spans="1:17" ht="14">
      <c r="A957" s="2774"/>
      <c r="B957" s="2774"/>
      <c r="C957" s="2483"/>
      <c r="D957" s="2483"/>
      <c r="E957" s="2483"/>
      <c r="F957" s="2483"/>
      <c r="G957" s="2483"/>
      <c r="H957" s="2483" t="s">
        <v>4675</v>
      </c>
      <c r="I957" s="2483"/>
      <c r="J957" s="2488" t="str">
        <f>'Part VII-Threshold Criteria'!J114</f>
        <v>&lt;&lt;Enter Provider Name Here&gt;&gt;</v>
      </c>
      <c r="K957" s="2488"/>
      <c r="L957" s="2488"/>
      <c r="M957" s="2488"/>
      <c r="N957" s="2488"/>
      <c r="O957" s="2488"/>
      <c r="P957" s="2488"/>
      <c r="Q957" s="2488"/>
    </row>
    <row r="958" spans="1:17" ht="14.5">
      <c r="A958" s="2774"/>
      <c r="B958" s="2776" t="s">
        <v>3158</v>
      </c>
      <c r="C958" s="2483"/>
      <c r="D958" s="2483"/>
      <c r="E958" s="2483"/>
      <c r="F958" s="2483"/>
      <c r="G958" s="2483"/>
      <c r="H958" s="2483"/>
      <c r="I958" s="2483"/>
      <c r="J958" s="2483"/>
      <c r="K958" s="2483"/>
      <c r="L958" s="2483"/>
      <c r="M958" s="2483"/>
      <c r="N958" s="2483"/>
      <c r="O958" s="2483"/>
      <c r="P958" s="2483"/>
      <c r="Q958" s="2483"/>
    </row>
    <row r="959" spans="1:17" ht="14">
      <c r="A959" s="2483">
        <f>'Part VII-Threshold Criteria'!A116</f>
        <v>0</v>
      </c>
      <c r="B959" s="2483"/>
      <c r="C959" s="2483"/>
      <c r="D959" s="2483"/>
      <c r="E959" s="2483"/>
      <c r="F959" s="2483"/>
      <c r="G959" s="2483"/>
      <c r="H959" s="2483"/>
      <c r="I959" s="2483"/>
      <c r="J959" s="2483"/>
      <c r="K959" s="2483"/>
      <c r="L959" s="2483"/>
      <c r="M959" s="2483"/>
      <c r="N959" s="2483"/>
      <c r="O959" s="2483"/>
      <c r="P959" s="2483"/>
      <c r="Q959" s="2483"/>
    </row>
    <row r="960" spans="1:17" ht="14.5">
      <c r="A960" s="2483"/>
      <c r="B960" s="2775" t="s">
        <v>1725</v>
      </c>
      <c r="C960" s="2775"/>
      <c r="D960" s="2484"/>
      <c r="E960" s="2484"/>
      <c r="F960" s="2484"/>
      <c r="G960" s="2484"/>
      <c r="H960" s="2484"/>
      <c r="I960" s="2484"/>
      <c r="J960" s="2484"/>
      <c r="K960" s="2484"/>
      <c r="L960" s="2484"/>
      <c r="M960" s="2484"/>
      <c r="N960" s="2484"/>
      <c r="O960" s="2484"/>
      <c r="P960" s="2484"/>
      <c r="Q960" s="2484"/>
    </row>
    <row r="961" spans="1:17" ht="14">
      <c r="A961" s="2483"/>
      <c r="B961" s="2483"/>
      <c r="C961" s="2483"/>
      <c r="D961" s="2483"/>
      <c r="E961" s="2483"/>
      <c r="F961" s="2483"/>
      <c r="G961" s="2483"/>
      <c r="H961" s="2483"/>
      <c r="I961" s="2483"/>
      <c r="J961" s="2483"/>
      <c r="K961" s="2483"/>
      <c r="L961" s="2483"/>
      <c r="M961" s="2483"/>
      <c r="N961" s="2483"/>
      <c r="O961" s="2483"/>
      <c r="P961" s="2483"/>
      <c r="Q961" s="2483"/>
    </row>
    <row r="962" spans="1:17" ht="14">
      <c r="A962" s="2483"/>
      <c r="B962" s="2485"/>
      <c r="C962" s="2484"/>
      <c r="D962" s="2484"/>
      <c r="E962" s="2484"/>
      <c r="F962" s="2484"/>
      <c r="G962" s="2484"/>
      <c r="H962" s="2484"/>
      <c r="I962" s="2484"/>
      <c r="J962" s="2484"/>
      <c r="K962" s="2484"/>
      <c r="L962" s="2484"/>
      <c r="M962" s="2484"/>
      <c r="N962" s="2483"/>
      <c r="O962" s="2483"/>
      <c r="P962" s="2483"/>
      <c r="Q962" s="2486"/>
    </row>
    <row r="963" spans="1:17" ht="14">
      <c r="A963" s="2483"/>
      <c r="B963" s="2485"/>
      <c r="C963" s="2484"/>
      <c r="D963" s="2484"/>
      <c r="E963" s="2484"/>
      <c r="F963" s="2484"/>
      <c r="G963" s="2484"/>
      <c r="H963" s="2484"/>
      <c r="I963" s="2484"/>
      <c r="J963" s="2484"/>
      <c r="K963" s="2484"/>
      <c r="L963" s="2484"/>
      <c r="M963" s="2484"/>
      <c r="N963" s="2483"/>
      <c r="O963" s="2483"/>
      <c r="P963" s="2483"/>
      <c r="Q963" s="2486"/>
    </row>
    <row r="964" spans="1:17" ht="14">
      <c r="A964" s="2773" t="s">
        <v>343</v>
      </c>
      <c r="B964" s="2488" t="s">
        <v>4676</v>
      </c>
      <c r="C964" s="2488"/>
      <c r="D964" s="2488"/>
      <c r="E964" s="2488"/>
      <c r="F964" s="2488"/>
      <c r="G964" s="2484"/>
      <c r="H964" s="2484"/>
      <c r="I964" s="2483"/>
      <c r="J964" s="2484"/>
      <c r="K964" s="2484"/>
      <c r="L964" s="2484"/>
      <c r="M964" s="2484"/>
      <c r="N964" s="2483"/>
      <c r="O964" s="2774" t="s">
        <v>1726</v>
      </c>
      <c r="P964" s="2488"/>
      <c r="Q964" s="2488"/>
    </row>
    <row r="965" spans="1:17" ht="14">
      <c r="A965" s="2774"/>
      <c r="B965" s="2483" t="s">
        <v>4677</v>
      </c>
      <c r="C965" s="2483"/>
      <c r="D965" s="2483"/>
      <c r="E965" s="2483"/>
      <c r="F965" s="2483"/>
      <c r="G965" s="2483"/>
      <c r="H965" s="2483" t="s">
        <v>4678</v>
      </c>
      <c r="I965" s="2483"/>
      <c r="J965" s="2488" t="str">
        <f>'Part VII-Threshold Criteria'!J122</f>
        <v>&lt;&lt;Enter Provider Name Here&gt;&gt;</v>
      </c>
      <c r="K965" s="2488"/>
      <c r="L965" s="2488"/>
      <c r="M965" s="2488"/>
      <c r="N965" s="2488"/>
      <c r="O965" s="2488"/>
      <c r="P965" s="2488"/>
      <c r="Q965" s="2488"/>
    </row>
    <row r="966" spans="1:17" ht="14">
      <c r="A966" s="2483"/>
      <c r="B966" s="2774"/>
      <c r="C966" s="2483"/>
      <c r="D966" s="2483"/>
      <c r="E966" s="2483"/>
      <c r="F966" s="2483"/>
      <c r="G966" s="2483"/>
      <c r="H966" s="2483" t="s">
        <v>4679</v>
      </c>
      <c r="I966" s="2483"/>
      <c r="J966" s="2488" t="str">
        <f>'Part VII-Threshold Criteria'!J123</f>
        <v>&lt;&lt;Enter Provider Name Here&gt;&gt;</v>
      </c>
      <c r="K966" s="2488"/>
      <c r="L966" s="2488"/>
      <c r="M966" s="2488"/>
      <c r="N966" s="2488"/>
      <c r="O966" s="2488"/>
      <c r="P966" s="2488"/>
      <c r="Q966" s="2488"/>
    </row>
    <row r="967" spans="1:17" ht="14.5">
      <c r="A967" s="2483"/>
      <c r="B967" s="2776" t="s">
        <v>3158</v>
      </c>
      <c r="C967" s="2483"/>
      <c r="D967" s="2776"/>
      <c r="E967" s="2776"/>
      <c r="F967" s="2776"/>
      <c r="G967" s="2776"/>
      <c r="H967" s="2484"/>
      <c r="I967" s="2485"/>
      <c r="J967" s="2485"/>
      <c r="K967" s="2485"/>
      <c r="L967" s="2486"/>
      <c r="M967" s="2486"/>
      <c r="N967" s="2486"/>
      <c r="O967" s="2486"/>
      <c r="P967" s="2486"/>
      <c r="Q967" s="2486"/>
    </row>
    <row r="968" spans="1:17" ht="14">
      <c r="A968" s="2483">
        <f>'Part VII-Threshold Criteria'!A125</f>
        <v>0</v>
      </c>
      <c r="B968" s="2483"/>
      <c r="C968" s="2483"/>
      <c r="D968" s="2483"/>
      <c r="E968" s="2483"/>
      <c r="F968" s="2483"/>
      <c r="G968" s="2483"/>
      <c r="H968" s="2483"/>
      <c r="I968" s="2483"/>
      <c r="J968" s="2483"/>
      <c r="K968" s="2483"/>
      <c r="L968" s="2483"/>
      <c r="M968" s="2483"/>
      <c r="N968" s="2483"/>
      <c r="O968" s="2483"/>
      <c r="P968" s="2483"/>
      <c r="Q968" s="2483"/>
    </row>
    <row r="969" spans="1:17" ht="14.5">
      <c r="A969" s="2483"/>
      <c r="B969" s="2775" t="s">
        <v>1725</v>
      </c>
      <c r="C969" s="2775"/>
      <c r="D969" s="2484"/>
      <c r="E969" s="2484"/>
      <c r="F969" s="2484"/>
      <c r="G969" s="2484"/>
      <c r="H969" s="2484"/>
      <c r="I969" s="2484"/>
      <c r="J969" s="2484"/>
      <c r="K969" s="2484"/>
      <c r="L969" s="2484"/>
      <c r="M969" s="2484"/>
      <c r="N969" s="2484"/>
      <c r="O969" s="2484"/>
      <c r="P969" s="2484"/>
      <c r="Q969" s="2484"/>
    </row>
    <row r="970" spans="1:17" ht="14">
      <c r="A970" s="2483"/>
      <c r="B970" s="2483"/>
      <c r="C970" s="2483"/>
      <c r="D970" s="2483"/>
      <c r="E970" s="2483"/>
      <c r="F970" s="2483"/>
      <c r="G970" s="2483"/>
      <c r="H970" s="2483"/>
      <c r="I970" s="2483"/>
      <c r="J970" s="2483"/>
      <c r="K970" s="2483"/>
      <c r="L970" s="2483"/>
      <c r="M970" s="2483"/>
      <c r="N970" s="2483"/>
      <c r="O970" s="2483"/>
      <c r="P970" s="2483"/>
      <c r="Q970" s="2483"/>
    </row>
    <row r="971" spans="1:17" ht="14">
      <c r="A971" s="2486"/>
      <c r="B971" s="2485"/>
      <c r="C971" s="2484"/>
      <c r="D971" s="2484"/>
      <c r="E971" s="2484"/>
      <c r="F971" s="2484"/>
      <c r="G971" s="2484"/>
      <c r="H971" s="2484"/>
      <c r="I971" s="2484"/>
      <c r="J971" s="2484"/>
      <c r="K971" s="2484"/>
      <c r="L971" s="2484"/>
      <c r="M971" s="2484"/>
      <c r="N971" s="2483"/>
      <c r="O971" s="2483"/>
      <c r="P971" s="2483"/>
      <c r="Q971" s="2486"/>
    </row>
    <row r="972" spans="1:17" ht="14">
      <c r="A972" s="2483"/>
      <c r="B972" s="2485"/>
      <c r="C972" s="2484"/>
      <c r="D972" s="2484"/>
      <c r="E972" s="2484"/>
      <c r="F972" s="2484"/>
      <c r="G972" s="2484"/>
      <c r="H972" s="2484"/>
      <c r="I972" s="2484"/>
      <c r="J972" s="2484"/>
      <c r="K972" s="2484"/>
      <c r="L972" s="2484"/>
      <c r="M972" s="2484"/>
      <c r="N972" s="2483"/>
      <c r="O972" s="2483"/>
      <c r="P972" s="2483"/>
      <c r="Q972" s="2486"/>
    </row>
    <row r="973" spans="1:17" ht="14">
      <c r="A973" s="2773" t="s">
        <v>344</v>
      </c>
      <c r="B973" s="2773" t="s">
        <v>2423</v>
      </c>
      <c r="C973" s="2773"/>
      <c r="D973" s="2484"/>
      <c r="E973" s="2484"/>
      <c r="F973" s="2484"/>
      <c r="G973" s="2484"/>
      <c r="H973" s="2484"/>
      <c r="I973" s="2484"/>
      <c r="J973" s="2484"/>
      <c r="K973" s="2484"/>
      <c r="L973" s="2484"/>
      <c r="M973" s="2484"/>
      <c r="N973" s="2483"/>
      <c r="O973" s="2774" t="s">
        <v>1726</v>
      </c>
      <c r="P973" s="2488"/>
      <c r="Q973" s="2488"/>
    </row>
    <row r="974" spans="1:17" ht="14.15" customHeight="1">
      <c r="A974" s="2483"/>
      <c r="B974" s="2483" t="s">
        <v>5005</v>
      </c>
      <c r="C974" s="2483"/>
      <c r="D974" s="2483"/>
      <c r="E974" s="2483"/>
      <c r="F974" s="2483"/>
      <c r="G974" s="2483"/>
      <c r="H974" s="2483"/>
      <c r="I974" s="2483"/>
      <c r="J974" s="2483"/>
      <c r="K974" s="2483"/>
      <c r="L974" s="2483"/>
      <c r="M974" s="2483"/>
      <c r="N974" s="2483"/>
      <c r="O974" s="2483"/>
      <c r="P974" s="2488">
        <f>'Part VII-Threshold Criteria'!P131</f>
        <v>0</v>
      </c>
      <c r="Q974" s="2488"/>
    </row>
    <row r="975" spans="1:17" ht="14.5">
      <c r="A975" s="2774" t="s">
        <v>1836</v>
      </c>
      <c r="B975" s="2483" t="s">
        <v>5112</v>
      </c>
      <c r="C975" s="2483"/>
      <c r="D975" s="2483"/>
      <c r="E975" s="2483"/>
      <c r="F975" s="2483"/>
      <c r="G975" s="2483"/>
      <c r="H975" s="2483"/>
      <c r="I975" s="2483"/>
      <c r="J975" s="2483"/>
      <c r="K975" s="2483"/>
      <c r="L975" s="2483"/>
      <c r="M975" s="2483"/>
      <c r="N975" s="2483"/>
      <c r="O975" s="2779"/>
      <c r="P975" s="2483"/>
      <c r="Q975" s="2483"/>
    </row>
    <row r="976" spans="1:17" ht="14">
      <c r="A976" s="2774"/>
      <c r="B976" s="2484"/>
      <c r="C976" s="2483" t="s">
        <v>1787</v>
      </c>
      <c r="D976" s="2483"/>
      <c r="E976" s="2483"/>
      <c r="F976" s="2483"/>
      <c r="G976" s="2483"/>
      <c r="H976" s="2483"/>
      <c r="I976" s="2483"/>
      <c r="J976" s="2779"/>
      <c r="K976" s="2483"/>
      <c r="L976" s="2483"/>
      <c r="M976" s="2488" t="str">
        <f>'Part VII-Threshold Criteria'!M133</f>
        <v>&lt;&lt;Select&gt;&gt;</v>
      </c>
      <c r="N976" s="2488"/>
      <c r="O976" s="2488"/>
      <c r="P976" s="2488"/>
      <c r="Q976" s="2488"/>
    </row>
    <row r="977" spans="1:17" ht="14">
      <c r="A977" s="2774"/>
      <c r="B977" s="2484"/>
      <c r="C977" s="2484" t="s">
        <v>4616</v>
      </c>
      <c r="D977" s="2483"/>
      <c r="E977" s="2484"/>
      <c r="F977" s="2484"/>
      <c r="G977" s="2484"/>
      <c r="H977" s="2484"/>
      <c r="I977" s="2483"/>
      <c r="J977" s="2779"/>
      <c r="K977" s="2483"/>
      <c r="L977" s="2483"/>
      <c r="M977" s="2488" t="str">
        <f>'Part VII-Threshold Criteria'!M134</f>
        <v>&lt;&lt;Select&gt;&gt;</v>
      </c>
      <c r="N977" s="2488"/>
      <c r="O977" s="2488"/>
      <c r="P977" s="2488"/>
      <c r="Q977" s="2488"/>
    </row>
    <row r="978" spans="1:17" ht="14.15" customHeight="1">
      <c r="A978" s="2774"/>
      <c r="B978" s="2484"/>
      <c r="C978" s="2483" t="str">
        <f>'Part VII-Threshold Criteria'!C135</f>
        <v>If "Other Pre-Approved", explain here</v>
      </c>
      <c r="D978" s="2483"/>
      <c r="E978" s="2483"/>
      <c r="F978" s="2483"/>
      <c r="G978" s="2483"/>
      <c r="H978" s="2483"/>
      <c r="I978" s="2483"/>
      <c r="J978" s="2483"/>
      <c r="K978" s="2483"/>
      <c r="L978" s="2483"/>
      <c r="M978" s="2483"/>
      <c r="N978" s="2483"/>
      <c r="O978" s="2483"/>
      <c r="P978" s="2483"/>
      <c r="Q978" s="2483"/>
    </row>
    <row r="979" spans="1:17" ht="14">
      <c r="A979" s="2774"/>
      <c r="B979" s="2484"/>
      <c r="C979" s="2484" t="s">
        <v>3665</v>
      </c>
      <c r="D979" s="2483"/>
      <c r="E979" s="2484"/>
      <c r="F979" s="2484"/>
      <c r="G979" s="2484"/>
      <c r="H979" s="2484"/>
      <c r="I979" s="2483"/>
      <c r="J979" s="2779"/>
      <c r="K979" s="2483"/>
      <c r="L979" s="2483"/>
      <c r="M979" s="2488" t="str">
        <f>'Part VII-Threshold Criteria'!M136</f>
        <v>&lt;&lt;Select&gt;&gt;</v>
      </c>
      <c r="N979" s="2488"/>
      <c r="O979" s="2488"/>
      <c r="P979" s="2488"/>
      <c r="Q979" s="2488"/>
    </row>
    <row r="980" spans="1:17" ht="14.15" customHeight="1">
      <c r="A980" s="2774" t="s">
        <v>1838</v>
      </c>
      <c r="B980" s="2483" t="s">
        <v>5113</v>
      </c>
      <c r="C980" s="2483"/>
      <c r="D980" s="2483"/>
      <c r="E980" s="2483"/>
      <c r="F980" s="2483"/>
      <c r="G980" s="2483"/>
      <c r="H980" s="2483"/>
      <c r="I980" s="2483"/>
      <c r="J980" s="2483"/>
      <c r="K980" s="2483"/>
      <c r="L980" s="2483"/>
      <c r="M980" s="2483"/>
      <c r="N980" s="2483"/>
      <c r="O980" s="2779"/>
      <c r="P980" s="2486"/>
      <c r="Q980" s="2486"/>
    </row>
    <row r="981" spans="1:17" ht="14.15" customHeight="1">
      <c r="A981" s="2515"/>
      <c r="B981" s="2484"/>
      <c r="C981" s="2483" t="s">
        <v>5114</v>
      </c>
      <c r="D981" s="2483"/>
      <c r="E981" s="2483"/>
      <c r="F981" s="2483"/>
      <c r="G981" s="2483"/>
      <c r="H981" s="2483"/>
      <c r="I981" s="2483"/>
      <c r="J981" s="2483"/>
      <c r="K981" s="2483"/>
      <c r="L981" s="2483"/>
      <c r="M981" s="2483"/>
      <c r="N981" s="2483"/>
      <c r="O981" s="2483"/>
      <c r="P981" s="2483"/>
      <c r="Q981" s="2483"/>
    </row>
    <row r="982" spans="1:17" ht="14.15" customHeight="1">
      <c r="A982" s="2486"/>
      <c r="B982" s="2785" t="s">
        <v>1611</v>
      </c>
      <c r="C982" s="2772" t="str">
        <f>'Part VII-Threshold Criteria'!C139</f>
        <v>(Select an amenity from options provided here)</v>
      </c>
      <c r="D982" s="2772"/>
      <c r="E982" s="2772"/>
      <c r="F982" s="2772"/>
      <c r="G982" s="2772"/>
      <c r="H982" s="2772"/>
      <c r="I982" s="2483"/>
      <c r="J982" s="2772" t="str">
        <f>'Part VII-Threshold Criteria'!J139</f>
        <v>(If DCA Pre-Approved amenity not listed in Architectural Manual, describe)</v>
      </c>
      <c r="K982" s="2772"/>
      <c r="L982" s="2772"/>
      <c r="M982" s="2772"/>
      <c r="N982" s="2772"/>
      <c r="O982" s="2772"/>
      <c r="P982" s="2772"/>
      <c r="Q982" s="2772"/>
    </row>
    <row r="983" spans="1:17" ht="14.15" customHeight="1">
      <c r="A983" s="2486"/>
      <c r="B983" s="2785" t="s">
        <v>1612</v>
      </c>
      <c r="C983" s="2772" t="str">
        <f>'Part VII-Threshold Criteria'!C140</f>
        <v>(Select an amenity from options provided here)</v>
      </c>
      <c r="D983" s="2772"/>
      <c r="E983" s="2772"/>
      <c r="F983" s="2772"/>
      <c r="G983" s="2772"/>
      <c r="H983" s="2772"/>
      <c r="I983" s="2483"/>
      <c r="J983" s="2772" t="str">
        <f>'Part VII-Threshold Criteria'!J140</f>
        <v>(If DCA Pre-Approved amenity not listed in Architectural Manual, describe)</v>
      </c>
      <c r="K983" s="2772"/>
      <c r="L983" s="2772"/>
      <c r="M983" s="2772"/>
      <c r="N983" s="2772"/>
      <c r="O983" s="2772"/>
      <c r="P983" s="2772"/>
      <c r="Q983" s="2772"/>
    </row>
    <row r="984" spans="1:17" ht="14.15" customHeight="1">
      <c r="A984" s="2486"/>
      <c r="B984" s="2785" t="s">
        <v>1613</v>
      </c>
      <c r="C984" s="2772" t="str">
        <f>'Part VII-Threshold Criteria'!C141</f>
        <v>(Select an amenity from options provided here)</v>
      </c>
      <c r="D984" s="2772"/>
      <c r="E984" s="2772"/>
      <c r="F984" s="2772"/>
      <c r="G984" s="2772"/>
      <c r="H984" s="2772"/>
      <c r="I984" s="2483"/>
      <c r="J984" s="2772" t="str">
        <f>'Part VII-Threshold Criteria'!J141</f>
        <v>(If DCA Pre-Approved amenity not listed in Architectural Manual, describe)</v>
      </c>
      <c r="K984" s="2772"/>
      <c r="L984" s="2772"/>
      <c r="M984" s="2772"/>
      <c r="N984" s="2772"/>
      <c r="O984" s="2772"/>
      <c r="P984" s="2772"/>
      <c r="Q984" s="2772"/>
    </row>
    <row r="985" spans="1:17" ht="14.15" customHeight="1">
      <c r="A985" s="2486"/>
      <c r="B985" s="2785" t="s">
        <v>2176</v>
      </c>
      <c r="C985" s="2772" t="str">
        <f>'Part VII-Threshold Criteria'!C142</f>
        <v>(Select an amenity from options provided here)</v>
      </c>
      <c r="D985" s="2772"/>
      <c r="E985" s="2772"/>
      <c r="F985" s="2772"/>
      <c r="G985" s="2772"/>
      <c r="H985" s="2772"/>
      <c r="I985" s="2483"/>
      <c r="J985" s="2772" t="str">
        <f>'Part VII-Threshold Criteria'!J142</f>
        <v>(If DCA Pre-Approved amenity not listed in Architectural Manual, describe)</v>
      </c>
      <c r="K985" s="2772"/>
      <c r="L985" s="2772"/>
      <c r="M985" s="2772"/>
      <c r="N985" s="2772"/>
      <c r="O985" s="2772"/>
      <c r="P985" s="2772"/>
      <c r="Q985" s="2772"/>
    </row>
    <row r="986" spans="1:17" ht="14.5">
      <c r="A986" s="2483"/>
      <c r="B986" s="2776" t="s">
        <v>3158</v>
      </c>
      <c r="C986" s="2483"/>
      <c r="D986" s="2776"/>
      <c r="E986" s="2776"/>
      <c r="F986" s="2776"/>
      <c r="G986" s="2776"/>
      <c r="H986" s="2484"/>
      <c r="I986" s="2485"/>
      <c r="J986" s="2485"/>
      <c r="K986" s="2485"/>
      <c r="L986" s="2486"/>
      <c r="M986" s="2486"/>
      <c r="N986" s="2486"/>
      <c r="O986" s="2486"/>
      <c r="P986" s="2483"/>
      <c r="Q986" s="2483"/>
    </row>
    <row r="987" spans="1:17" ht="14">
      <c r="A987" s="2483">
        <f>'Part VII-Threshold Criteria'!A144</f>
        <v>0</v>
      </c>
      <c r="B987" s="2483"/>
      <c r="C987" s="2483"/>
      <c r="D987" s="2483"/>
      <c r="E987" s="2483"/>
      <c r="F987" s="2483"/>
      <c r="G987" s="2483"/>
      <c r="H987" s="2483"/>
      <c r="I987" s="2483"/>
      <c r="J987" s="2483"/>
      <c r="K987" s="2483"/>
      <c r="L987" s="2483"/>
      <c r="M987" s="2483"/>
      <c r="N987" s="2483"/>
      <c r="O987" s="2483"/>
      <c r="P987" s="2483"/>
      <c r="Q987" s="2483"/>
    </row>
    <row r="988" spans="1:17" ht="14.5">
      <c r="A988" s="2483"/>
      <c r="B988" s="2775" t="s">
        <v>1725</v>
      </c>
      <c r="C988" s="2775"/>
      <c r="D988" s="2484"/>
      <c r="E988" s="2484"/>
      <c r="F988" s="2484"/>
      <c r="G988" s="2484"/>
      <c r="H988" s="2484"/>
      <c r="I988" s="2484"/>
      <c r="J988" s="2484"/>
      <c r="K988" s="2484"/>
      <c r="L988" s="2484"/>
      <c r="M988" s="2484"/>
      <c r="N988" s="2484"/>
      <c r="O988" s="2484"/>
      <c r="P988" s="2484"/>
      <c r="Q988" s="2484"/>
    </row>
    <row r="989" spans="1:17" ht="14">
      <c r="A989" s="2483"/>
      <c r="B989" s="2483"/>
      <c r="C989" s="2483"/>
      <c r="D989" s="2483"/>
      <c r="E989" s="2483"/>
      <c r="F989" s="2483"/>
      <c r="G989" s="2483"/>
      <c r="H989" s="2483"/>
      <c r="I989" s="2483"/>
      <c r="J989" s="2483"/>
      <c r="K989" s="2483"/>
      <c r="L989" s="2483"/>
      <c r="M989" s="2483"/>
      <c r="N989" s="2483"/>
      <c r="O989" s="2483"/>
      <c r="P989" s="2483"/>
      <c r="Q989" s="2483"/>
    </row>
    <row r="990" spans="1:17" ht="14">
      <c r="A990" s="2486"/>
      <c r="B990" s="2485"/>
      <c r="C990" s="2484"/>
      <c r="D990" s="2484"/>
      <c r="E990" s="2484"/>
      <c r="F990" s="2484"/>
      <c r="G990" s="2484"/>
      <c r="H990" s="2484"/>
      <c r="I990" s="2484"/>
      <c r="J990" s="2484"/>
      <c r="K990" s="2484"/>
      <c r="L990" s="2484"/>
      <c r="M990" s="2484"/>
      <c r="N990" s="2483"/>
      <c r="O990" s="2483"/>
      <c r="P990" s="2483"/>
      <c r="Q990" s="2486"/>
    </row>
    <row r="991" spans="1:17" ht="14">
      <c r="A991" s="2483"/>
      <c r="B991" s="2485"/>
      <c r="C991" s="2484"/>
      <c r="D991" s="2484"/>
      <c r="E991" s="2484"/>
      <c r="F991" s="2484"/>
      <c r="G991" s="2484"/>
      <c r="H991" s="2484"/>
      <c r="I991" s="2484"/>
      <c r="J991" s="2484"/>
      <c r="K991" s="2484"/>
      <c r="L991" s="2484"/>
      <c r="M991" s="2484"/>
      <c r="N991" s="2483"/>
      <c r="O991" s="2483"/>
      <c r="P991" s="2483"/>
      <c r="Q991" s="2486"/>
    </row>
    <row r="992" spans="1:17" ht="14">
      <c r="A992" s="2773" t="s">
        <v>1602</v>
      </c>
      <c r="B992" s="2488" t="s">
        <v>3830</v>
      </c>
      <c r="C992" s="2488"/>
      <c r="D992" s="2488"/>
      <c r="E992" s="2488"/>
      <c r="F992" s="2488"/>
      <c r="G992" s="2488"/>
      <c r="H992" s="2484"/>
      <c r="I992" s="2484"/>
      <c r="J992" s="2484"/>
      <c r="K992" s="2484"/>
      <c r="L992" s="2778"/>
      <c r="M992" s="2792"/>
      <c r="N992" s="2483"/>
      <c r="O992" s="2774" t="s">
        <v>1726</v>
      </c>
      <c r="P992" s="2488"/>
      <c r="Q992" s="2488"/>
    </row>
    <row r="993" spans="1:17" ht="14">
      <c r="A993" s="2483"/>
      <c r="B993" s="2483" t="s">
        <v>4684</v>
      </c>
      <c r="C993" s="2483"/>
      <c r="D993" s="2483"/>
      <c r="E993" s="2483"/>
      <c r="F993" s="2483"/>
      <c r="G993" s="2483"/>
      <c r="H993" s="2483"/>
      <c r="I993" s="2483"/>
      <c r="J993" s="2483"/>
      <c r="K993" s="2483"/>
      <c r="L993" s="2483"/>
      <c r="M993" s="2483"/>
      <c r="N993" s="2485"/>
      <c r="O993" s="2483"/>
      <c r="P993" s="2488">
        <f>'Part VII-Threshold Criteria'!P150</f>
        <v>0</v>
      </c>
      <c r="Q993" s="2488"/>
    </row>
    <row r="994" spans="1:17" ht="14.15" customHeight="1">
      <c r="A994" s="2774"/>
      <c r="B994" s="2483" t="s">
        <v>1190</v>
      </c>
      <c r="C994" s="2483"/>
      <c r="D994" s="2483"/>
      <c r="E994" s="2483"/>
      <c r="F994" s="2483"/>
      <c r="G994" s="2483"/>
      <c r="H994" s="2483" t="str">
        <f>'Part VII-Threshold Criteria'!H151</f>
        <v>&lt;&lt;Select&gt;&gt;</v>
      </c>
      <c r="I994" s="2483"/>
      <c r="J994" s="2483"/>
      <c r="K994" s="2483"/>
      <c r="L994" s="2483"/>
      <c r="M994" s="2483"/>
      <c r="N994" s="2483"/>
      <c r="O994" s="2483"/>
      <c r="P994" s="2483"/>
      <c r="Q994" s="2483"/>
    </row>
    <row r="995" spans="1:17" ht="14">
      <c r="A995" s="2774"/>
      <c r="B995" s="2483" t="s">
        <v>1801</v>
      </c>
      <c r="C995" s="2483"/>
      <c r="D995" s="2483"/>
      <c r="E995" s="2483"/>
      <c r="F995" s="2483"/>
      <c r="G995" s="2483"/>
      <c r="H995" s="2483">
        <f>'Part VII-Threshold Criteria'!H152</f>
        <v>0</v>
      </c>
      <c r="I995" s="2483"/>
      <c r="J995" s="2483"/>
      <c r="K995" s="2483"/>
      <c r="L995" s="2483"/>
      <c r="M995" s="2483"/>
      <c r="N995" s="2483"/>
      <c r="O995" s="2483"/>
      <c r="P995" s="2483"/>
      <c r="Q995" s="2483"/>
    </row>
    <row r="996" spans="1:17" ht="14.5">
      <c r="A996" s="2483"/>
      <c r="B996" s="2776" t="s">
        <v>3158</v>
      </c>
      <c r="C996" s="2483"/>
      <c r="D996" s="2776"/>
      <c r="E996" s="2776"/>
      <c r="F996" s="2776"/>
      <c r="G996" s="2776"/>
      <c r="H996" s="2484"/>
      <c r="I996" s="2485"/>
      <c r="J996" s="2485"/>
      <c r="K996" s="2485"/>
      <c r="L996" s="2486"/>
      <c r="M996" s="2486"/>
      <c r="N996" s="2486"/>
      <c r="O996" s="2486"/>
      <c r="P996" s="2486"/>
      <c r="Q996" s="2486"/>
    </row>
    <row r="997" spans="1:17" ht="14">
      <c r="A997" s="2483">
        <f>'Part VII-Threshold Criteria'!A154</f>
        <v>0</v>
      </c>
      <c r="B997" s="2483"/>
      <c r="C997" s="2483"/>
      <c r="D997" s="2483"/>
      <c r="E997" s="2483"/>
      <c r="F997" s="2483"/>
      <c r="G997" s="2483"/>
      <c r="H997" s="2483"/>
      <c r="I997" s="2483"/>
      <c r="J997" s="2483"/>
      <c r="K997" s="2483"/>
      <c r="L997" s="2483"/>
      <c r="M997" s="2483"/>
      <c r="N997" s="2483"/>
      <c r="O997" s="2483"/>
      <c r="P997" s="2483"/>
      <c r="Q997" s="2483"/>
    </row>
    <row r="998" spans="1:17" ht="14.5">
      <c r="A998" s="2483"/>
      <c r="B998" s="2775" t="s">
        <v>1725</v>
      </c>
      <c r="C998" s="2775"/>
      <c r="D998" s="2484"/>
      <c r="E998" s="2484"/>
      <c r="F998" s="2484"/>
      <c r="G998" s="2484"/>
      <c r="H998" s="2484"/>
      <c r="I998" s="2484"/>
      <c r="J998" s="2484"/>
      <c r="K998" s="2484"/>
      <c r="L998" s="2484"/>
      <c r="M998" s="2484"/>
      <c r="N998" s="2484"/>
      <c r="O998" s="2484"/>
      <c r="P998" s="2484"/>
      <c r="Q998" s="2484"/>
    </row>
    <row r="999" spans="1:17" ht="14">
      <c r="A999" s="2483"/>
      <c r="B999" s="2483"/>
      <c r="C999" s="2483"/>
      <c r="D999" s="2483"/>
      <c r="E999" s="2483"/>
      <c r="F999" s="2483"/>
      <c r="G999" s="2483"/>
      <c r="H999" s="2483"/>
      <c r="I999" s="2483"/>
      <c r="J999" s="2483"/>
      <c r="K999" s="2483"/>
      <c r="L999" s="2483"/>
      <c r="M999" s="2483"/>
      <c r="N999" s="2483"/>
      <c r="O999" s="2483"/>
      <c r="P999" s="2483"/>
      <c r="Q999" s="2483"/>
    </row>
    <row r="1000" spans="1:17" ht="14">
      <c r="A1000" s="2486"/>
      <c r="B1000" s="2485"/>
      <c r="C1000" s="2484"/>
      <c r="D1000" s="2484"/>
      <c r="E1000" s="2484"/>
      <c r="F1000" s="2484"/>
      <c r="G1000" s="2484"/>
      <c r="H1000" s="2484"/>
      <c r="I1000" s="2484"/>
      <c r="J1000" s="2484"/>
      <c r="K1000" s="2484"/>
      <c r="L1000" s="2484"/>
      <c r="M1000" s="2484"/>
      <c r="N1000" s="2483"/>
      <c r="O1000" s="2483"/>
      <c r="P1000" s="2483"/>
      <c r="Q1000" s="2486"/>
    </row>
    <row r="1001" spans="1:17" ht="14">
      <c r="A1001" s="2483"/>
      <c r="B1001" s="2485"/>
      <c r="C1001" s="2484"/>
      <c r="D1001" s="2484"/>
      <c r="E1001" s="2484"/>
      <c r="F1001" s="2484"/>
      <c r="G1001" s="2484"/>
      <c r="H1001" s="2484"/>
      <c r="I1001" s="2484"/>
      <c r="J1001" s="2484"/>
      <c r="K1001" s="2484"/>
      <c r="L1001" s="2484"/>
      <c r="M1001" s="2484"/>
      <c r="N1001" s="2483"/>
      <c r="O1001" s="2483"/>
      <c r="P1001" s="2483"/>
      <c r="Q1001" s="2486"/>
    </row>
    <row r="1002" spans="1:17" ht="14">
      <c r="A1002" s="2773" t="s">
        <v>2489</v>
      </c>
      <c r="B1002" s="2488" t="s">
        <v>2424</v>
      </c>
      <c r="C1002" s="2488"/>
      <c r="D1002" s="2488"/>
      <c r="E1002" s="2488"/>
      <c r="F1002" s="2488"/>
      <c r="G1002" s="2488"/>
      <c r="H1002" s="2484"/>
      <c r="I1002" s="2484"/>
      <c r="J1002" s="2484"/>
      <c r="K1002" s="2484"/>
      <c r="L1002" s="2484"/>
      <c r="M1002" s="2484"/>
      <c r="N1002" s="2483"/>
      <c r="O1002" s="2774" t="s">
        <v>1726</v>
      </c>
      <c r="P1002" s="2488"/>
      <c r="Q1002" s="2488"/>
    </row>
    <row r="1003" spans="1:17" ht="14.5">
      <c r="A1003" s="2483"/>
      <c r="B1003" s="2776" t="s">
        <v>3158</v>
      </c>
      <c r="C1003" s="2483"/>
      <c r="D1003" s="2776"/>
      <c r="E1003" s="2776"/>
      <c r="F1003" s="2776"/>
      <c r="G1003" s="2776"/>
      <c r="H1003" s="2484"/>
      <c r="I1003" s="2485"/>
      <c r="J1003" s="2485"/>
      <c r="K1003" s="2485"/>
      <c r="L1003" s="2486"/>
      <c r="M1003" s="2486"/>
      <c r="N1003" s="2486"/>
      <c r="O1003" s="2486"/>
      <c r="P1003" s="2486"/>
      <c r="Q1003" s="2486"/>
    </row>
    <row r="1004" spans="1:17" ht="14">
      <c r="A1004" s="2483">
        <f>'Part VII-Threshold Criteria'!A161</f>
        <v>0</v>
      </c>
      <c r="B1004" s="2483"/>
      <c r="C1004" s="2483"/>
      <c r="D1004" s="2483"/>
      <c r="E1004" s="2483"/>
      <c r="F1004" s="2483"/>
      <c r="G1004" s="2483"/>
      <c r="H1004" s="2483"/>
      <c r="I1004" s="2483"/>
      <c r="J1004" s="2483"/>
      <c r="K1004" s="2483"/>
      <c r="L1004" s="2483"/>
      <c r="M1004" s="2483"/>
      <c r="N1004" s="2483"/>
      <c r="O1004" s="2483"/>
      <c r="P1004" s="2483"/>
      <c r="Q1004" s="2483"/>
    </row>
    <row r="1005" spans="1:17" ht="14.5">
      <c r="A1005" s="2483"/>
      <c r="B1005" s="2775" t="s">
        <v>1725</v>
      </c>
      <c r="C1005" s="2775"/>
      <c r="D1005" s="2484"/>
      <c r="E1005" s="2484"/>
      <c r="F1005" s="2484"/>
      <c r="G1005" s="2484"/>
      <c r="H1005" s="2484"/>
      <c r="I1005" s="2484"/>
      <c r="J1005" s="2484"/>
      <c r="K1005" s="2484"/>
      <c r="L1005" s="2484"/>
      <c r="M1005" s="2484"/>
      <c r="N1005" s="2484"/>
      <c r="O1005" s="2484"/>
      <c r="P1005" s="2484"/>
      <c r="Q1005" s="2484"/>
    </row>
    <row r="1006" spans="1:17" ht="14">
      <c r="A1006" s="2483"/>
      <c r="B1006" s="2483"/>
      <c r="C1006" s="2483"/>
      <c r="D1006" s="2483"/>
      <c r="E1006" s="2483"/>
      <c r="F1006" s="2483"/>
      <c r="G1006" s="2483"/>
      <c r="H1006" s="2483"/>
      <c r="I1006" s="2483"/>
      <c r="J1006" s="2483"/>
      <c r="K1006" s="2483"/>
      <c r="L1006" s="2483"/>
      <c r="M1006" s="2483"/>
      <c r="N1006" s="2483"/>
      <c r="O1006" s="2483"/>
      <c r="P1006" s="2483"/>
      <c r="Q1006" s="2483"/>
    </row>
    <row r="1007" spans="1:17" ht="14">
      <c r="A1007" s="2483"/>
      <c r="B1007" s="2483"/>
      <c r="C1007" s="2483"/>
      <c r="D1007" s="2483"/>
      <c r="E1007" s="2483"/>
      <c r="F1007" s="2483"/>
      <c r="G1007" s="2483"/>
      <c r="H1007" s="2483"/>
      <c r="I1007" s="2483"/>
      <c r="J1007" s="2483"/>
      <c r="K1007" s="2483"/>
      <c r="L1007" s="2483"/>
      <c r="M1007" s="2483"/>
      <c r="N1007" s="2483"/>
      <c r="O1007" s="2483"/>
      <c r="P1007" s="2483"/>
      <c r="Q1007" s="2483"/>
    </row>
    <row r="1008" spans="1:17" ht="14">
      <c r="A1008" s="2483"/>
      <c r="B1008" s="2483"/>
      <c r="C1008" s="2483"/>
      <c r="D1008" s="2483"/>
      <c r="E1008" s="2483"/>
      <c r="F1008" s="2483"/>
      <c r="G1008" s="2483"/>
      <c r="H1008" s="2483"/>
      <c r="I1008" s="2483"/>
      <c r="J1008" s="2483"/>
      <c r="K1008" s="2483"/>
      <c r="L1008" s="2483"/>
      <c r="M1008" s="2483"/>
      <c r="N1008" s="2483"/>
      <c r="O1008" s="2483"/>
      <c r="P1008" s="2483"/>
      <c r="Q1008" s="2483"/>
    </row>
    <row r="1009" spans="1:27" ht="14">
      <c r="A1009" s="2773" t="s">
        <v>2075</v>
      </c>
      <c r="B1009" s="2773" t="s">
        <v>2425</v>
      </c>
      <c r="C1009" s="2773"/>
      <c r="D1009" s="2484"/>
      <c r="E1009" s="2484"/>
      <c r="F1009" s="2484"/>
      <c r="G1009" s="2484"/>
      <c r="H1009" s="2484"/>
      <c r="I1009" s="2484"/>
      <c r="J1009" s="2484"/>
      <c r="K1009" s="2484"/>
      <c r="L1009" s="2484"/>
      <c r="M1009" s="2484"/>
      <c r="N1009" s="2483"/>
      <c r="O1009" s="2774" t="s">
        <v>1726</v>
      </c>
      <c r="P1009" s="2488"/>
      <c r="Q1009" s="2488"/>
    </row>
    <row r="1010" spans="1:27" ht="14">
      <c r="A1010" s="2774" t="s">
        <v>1836</v>
      </c>
      <c r="B1010" s="2488" t="s">
        <v>4099</v>
      </c>
      <c r="C1010" s="2483"/>
      <c r="D1010" s="2483"/>
      <c r="E1010" s="2483"/>
      <c r="F1010" s="2483"/>
      <c r="G1010" s="2483"/>
      <c r="H1010" s="2483"/>
      <c r="I1010" s="2483"/>
      <c r="J1010" s="2483"/>
      <c r="K1010" s="2483"/>
      <c r="L1010" s="2483"/>
      <c r="M1010" s="2483"/>
      <c r="N1010" s="2483"/>
      <c r="O1010" s="2779"/>
      <c r="P1010" s="2483"/>
      <c r="Q1010" s="2483"/>
    </row>
    <row r="1011" spans="1:27" ht="14.15" customHeight="1">
      <c r="A1011" s="2483"/>
      <c r="B1011" s="2772" t="s">
        <v>5006</v>
      </c>
      <c r="C1011" s="2772"/>
      <c r="D1011" s="2772"/>
      <c r="E1011" s="2772"/>
      <c r="F1011" s="2772"/>
      <c r="G1011" s="2772"/>
      <c r="H1011" s="2772"/>
      <c r="I1011" s="2772"/>
      <c r="J1011" s="2772"/>
      <c r="K1011" s="2772"/>
      <c r="L1011" s="2772"/>
      <c r="M1011" s="2772"/>
      <c r="N1011" s="2772"/>
      <c r="O1011" s="2772"/>
      <c r="P1011" s="2782">
        <f>'Part VII-Threshold Criteria'!P168</f>
        <v>0</v>
      </c>
      <c r="Q1011" s="2782"/>
    </row>
    <row r="1012" spans="1:27" ht="14">
      <c r="A1012" s="2774" t="s">
        <v>1838</v>
      </c>
      <c r="B1012" s="2488" t="s">
        <v>297</v>
      </c>
      <c r="C1012" s="2483"/>
      <c r="D1012" s="2483"/>
      <c r="E1012" s="2483"/>
      <c r="F1012" s="2483"/>
      <c r="G1012" s="2483"/>
      <c r="H1012" s="2488" t="str">
        <f>'Part VII-Threshold Criteria'!H169</f>
        <v>&lt;&lt; Select a Sustainable Development Certification &gt;&gt;</v>
      </c>
      <c r="I1012" s="2488"/>
      <c r="J1012" s="2488"/>
      <c r="K1012" s="2488"/>
      <c r="L1012" s="2488"/>
      <c r="M1012" s="2488"/>
      <c r="N1012" s="2488"/>
      <c r="O1012" s="2488"/>
      <c r="P1012" s="2488"/>
      <c r="Q1012" s="2488"/>
    </row>
    <row r="1013" spans="1:27" ht="14.5">
      <c r="A1013" s="2483"/>
      <c r="B1013" s="2776" t="s">
        <v>3158</v>
      </c>
      <c r="C1013" s="2483"/>
      <c r="D1013" s="2483"/>
      <c r="E1013" s="2483"/>
      <c r="F1013" s="2483"/>
      <c r="G1013" s="2483"/>
      <c r="H1013" s="2483"/>
      <c r="I1013" s="2483"/>
      <c r="J1013" s="2483"/>
      <c r="K1013" s="2483"/>
      <c r="L1013" s="2483"/>
      <c r="M1013" s="2485"/>
      <c r="N1013" s="2485"/>
      <c r="O1013" s="2793"/>
      <c r="P1013" s="2486"/>
      <c r="Q1013" s="2483"/>
    </row>
    <row r="1014" spans="1:27" ht="14">
      <c r="A1014" s="2483">
        <f>'Part VII-Threshold Criteria'!A171</f>
        <v>0</v>
      </c>
      <c r="B1014" s="2483"/>
      <c r="C1014" s="2483"/>
      <c r="D1014" s="2483"/>
      <c r="E1014" s="2483"/>
      <c r="F1014" s="2483"/>
      <c r="G1014" s="2483"/>
      <c r="H1014" s="2483"/>
      <c r="I1014" s="2483"/>
      <c r="J1014" s="2483"/>
      <c r="K1014" s="2483"/>
      <c r="L1014" s="2483"/>
      <c r="M1014" s="2483"/>
      <c r="N1014" s="2483"/>
      <c r="O1014" s="2483"/>
      <c r="P1014" s="2483"/>
      <c r="Q1014" s="2483"/>
    </row>
    <row r="1015" spans="1:27" ht="14.5">
      <c r="A1015" s="2483"/>
      <c r="B1015" s="2775" t="s">
        <v>1725</v>
      </c>
      <c r="C1015" s="2775"/>
      <c r="D1015" s="2484"/>
      <c r="E1015" s="2484"/>
      <c r="F1015" s="2484"/>
      <c r="G1015" s="2484"/>
      <c r="H1015" s="2484"/>
      <c r="I1015" s="2484"/>
      <c r="J1015" s="2484"/>
      <c r="K1015" s="2484"/>
      <c r="L1015" s="2484"/>
      <c r="M1015" s="2484"/>
      <c r="N1015" s="2484"/>
      <c r="O1015" s="2484"/>
      <c r="P1015" s="2484"/>
      <c r="Q1015" s="2484"/>
    </row>
    <row r="1016" spans="1:27" ht="14">
      <c r="A1016" s="2483"/>
      <c r="B1016" s="2483"/>
      <c r="C1016" s="2483"/>
      <c r="D1016" s="2483"/>
      <c r="E1016" s="2483"/>
      <c r="F1016" s="2483"/>
      <c r="G1016" s="2483"/>
      <c r="H1016" s="2483"/>
      <c r="I1016" s="2483"/>
      <c r="J1016" s="2483"/>
      <c r="K1016" s="2483"/>
      <c r="L1016" s="2483"/>
      <c r="M1016" s="2483"/>
      <c r="N1016" s="2483"/>
      <c r="O1016" s="2483"/>
      <c r="P1016" s="2483"/>
      <c r="Q1016" s="2483"/>
    </row>
    <row r="1017" spans="1:27" ht="14">
      <c r="A1017" s="2483"/>
      <c r="B1017" s="2483"/>
      <c r="C1017" s="2483"/>
      <c r="D1017" s="2483"/>
      <c r="E1017" s="2483"/>
      <c r="F1017" s="2486"/>
      <c r="G1017" s="2486"/>
      <c r="H1017" s="2486"/>
      <c r="I1017" s="2486"/>
      <c r="J1017" s="2484"/>
      <c r="K1017" s="2484"/>
      <c r="L1017" s="2484"/>
      <c r="M1017" s="2485"/>
      <c r="N1017" s="2486"/>
      <c r="O1017" s="2486"/>
      <c r="P1017" s="2793"/>
      <c r="Q1017" s="2483"/>
    </row>
    <row r="1018" spans="1:27" ht="14">
      <c r="A1018" s="2483"/>
      <c r="B1018" s="2483"/>
      <c r="C1018" s="2483"/>
      <c r="D1018" s="2483"/>
      <c r="E1018" s="2483"/>
      <c r="F1018" s="2486"/>
      <c r="G1018" s="2486"/>
      <c r="H1018" s="2486"/>
      <c r="I1018" s="2486"/>
      <c r="J1018" s="2484"/>
      <c r="K1018" s="2484"/>
      <c r="L1018" s="2484"/>
      <c r="M1018" s="2485"/>
      <c r="N1018" s="2486"/>
      <c r="O1018" s="2486"/>
      <c r="P1018" s="2793"/>
      <c r="Q1018" s="2483"/>
    </row>
    <row r="1019" spans="1:27" ht="14">
      <c r="A1019" s="2773" t="s">
        <v>3284</v>
      </c>
      <c r="B1019" s="2773" t="s">
        <v>2426</v>
      </c>
      <c r="C1019" s="2773"/>
      <c r="D1019" s="2773"/>
      <c r="E1019" s="2484"/>
      <c r="F1019" s="2484"/>
      <c r="G1019" s="2484"/>
      <c r="H1019" s="2484"/>
      <c r="I1019" s="2484"/>
      <c r="J1019" s="2484"/>
      <c r="K1019" s="2484"/>
      <c r="L1019" s="2484"/>
      <c r="M1019" s="2484"/>
      <c r="N1019" s="2483"/>
      <c r="O1019" s="2774" t="s">
        <v>1726</v>
      </c>
      <c r="P1019" s="2488"/>
      <c r="Q1019" s="2488"/>
    </row>
    <row r="1020" spans="1:27" ht="14">
      <c r="A1020" s="2483"/>
      <c r="B1020" s="2483" t="s">
        <v>4684</v>
      </c>
      <c r="C1020" s="2483"/>
      <c r="D1020" s="2483"/>
      <c r="E1020" s="2483"/>
      <c r="F1020" s="2483"/>
      <c r="G1020" s="2483"/>
      <c r="H1020" s="2483"/>
      <c r="I1020" s="2483"/>
      <c r="J1020" s="2483"/>
      <c r="K1020" s="2483"/>
      <c r="L1020" s="2483"/>
      <c r="M1020" s="2483"/>
      <c r="N1020" s="2485"/>
      <c r="O1020" s="2483"/>
      <c r="P1020" s="2488">
        <f>'Part VII-Threshold Criteria'!P177</f>
        <v>0</v>
      </c>
      <c r="Q1020" s="2488"/>
    </row>
    <row r="1021" spans="1:27" ht="14.15" customHeight="1">
      <c r="A1021" s="2483"/>
      <c r="B1021" s="2483" t="s">
        <v>5007</v>
      </c>
      <c r="C1021" s="2483"/>
      <c r="D1021" s="2483"/>
      <c r="E1021" s="2483"/>
      <c r="F1021" s="2483"/>
      <c r="G1021" s="2483"/>
      <c r="H1021" s="2483"/>
      <c r="I1021" s="2483"/>
      <c r="J1021" s="2483"/>
      <c r="K1021" s="2483"/>
      <c r="L1021" s="2483"/>
      <c r="M1021" s="2483"/>
      <c r="N1021" s="2483"/>
      <c r="O1021" s="2483"/>
      <c r="P1021" s="2488">
        <f>'Part VII-Threshold Criteria'!P178</f>
        <v>0</v>
      </c>
      <c r="Q1021" s="2488"/>
    </row>
    <row r="1022" spans="1:27" ht="14">
      <c r="A1022" s="2774" t="s">
        <v>1836</v>
      </c>
      <c r="B1022" s="2773" t="s">
        <v>5025</v>
      </c>
      <c r="C1022" s="2484"/>
      <c r="D1022" s="2484"/>
      <c r="E1022" s="2484"/>
      <c r="F1022" s="2484"/>
      <c r="G1022" s="2484"/>
      <c r="H1022" s="2484"/>
      <c r="I1022" s="2484"/>
      <c r="J1022" s="2484"/>
      <c r="K1022" s="2483"/>
      <c r="L1022" s="2794"/>
      <c r="M1022" s="2795"/>
      <c r="N1022" s="2787"/>
      <c r="O1022" s="2779"/>
      <c r="P1022" s="2779"/>
      <c r="Q1022" s="2779"/>
    </row>
    <row r="1023" spans="1:27" ht="14.15" customHeight="1">
      <c r="A1023" s="2483"/>
      <c r="B1023" s="2772" t="s">
        <v>5115</v>
      </c>
      <c r="C1023" s="2772"/>
      <c r="D1023" s="2772"/>
      <c r="E1023" s="2772"/>
      <c r="F1023" s="2772"/>
      <c r="G1023" s="2772"/>
      <c r="H1023" s="2772"/>
      <c r="I1023" s="2772"/>
      <c r="J1023" s="2772"/>
      <c r="K1023" s="2772"/>
      <c r="L1023" s="2772"/>
      <c r="M1023" s="2772"/>
      <c r="N1023" s="2772"/>
      <c r="O1023" s="2772"/>
      <c r="P1023" s="2027"/>
      <c r="Q1023" s="2027"/>
    </row>
    <row r="1024" spans="1:27" s="2483" customFormat="1" ht="28.5" customHeight="1">
      <c r="C1024" s="2772"/>
      <c r="D1024" s="4011" t="s">
        <v>5043</v>
      </c>
      <c r="E1024" s="4011"/>
      <c r="F1024" s="4011"/>
      <c r="G1024" s="4011"/>
      <c r="H1024" s="4011"/>
      <c r="I1024" s="4011"/>
      <c r="J1024" s="4011"/>
      <c r="K1024" s="4011"/>
      <c r="L1024" s="4011"/>
      <c r="M1024" s="4011"/>
      <c r="N1024" s="4011"/>
      <c r="O1024" s="4011"/>
      <c r="P1024" s="2796">
        <f>'Part VIII Scoring Criteria'!J948</f>
        <v>0</v>
      </c>
      <c r="Q1024" s="2796"/>
      <c r="AA1024" s="2797"/>
    </row>
    <row r="1025" spans="1:17" ht="14">
      <c r="A1025" s="2483"/>
      <c r="B1025" s="2483"/>
      <c r="C1025" s="2483"/>
      <c r="D1025" s="2483"/>
      <c r="E1025" s="2483"/>
      <c r="F1025" s="2483"/>
      <c r="G1025" s="2483"/>
      <c r="H1025" s="2483"/>
      <c r="I1025" s="2483"/>
      <c r="J1025" s="2483"/>
      <c r="K1025" s="2483"/>
      <c r="L1025" s="2798" t="s">
        <v>4685</v>
      </c>
      <c r="M1025" s="2798"/>
      <c r="N1025" s="2485"/>
      <c r="O1025" s="2483"/>
      <c r="P1025" s="2486"/>
      <c r="Q1025" s="2486"/>
    </row>
    <row r="1026" spans="1:17" ht="14">
      <c r="A1026" s="2774" t="s">
        <v>1838</v>
      </c>
      <c r="B1026" s="2773" t="s">
        <v>4800</v>
      </c>
      <c r="C1026" s="2483"/>
      <c r="D1026" s="2799"/>
      <c r="E1026" s="2799"/>
      <c r="F1026" s="2799"/>
      <c r="G1026" s="2799"/>
      <c r="H1026" s="2799"/>
      <c r="I1026" s="2799"/>
      <c r="J1026" s="2799"/>
      <c r="K1026" s="2799"/>
      <c r="L1026" s="2483" t="s">
        <v>4686</v>
      </c>
      <c r="M1026" s="2485" t="s">
        <v>4687</v>
      </c>
      <c r="N1026" s="2799"/>
      <c r="O1026" s="2779"/>
      <c r="P1026" s="2779"/>
      <c r="Q1026" s="2779"/>
    </row>
    <row r="1027" spans="1:17" ht="14">
      <c r="A1027" s="2774"/>
      <c r="B1027" s="2483" t="s">
        <v>4688</v>
      </c>
      <c r="C1027" s="2483"/>
      <c r="D1027" s="2483"/>
      <c r="E1027" s="2483"/>
      <c r="F1027" s="2483"/>
      <c r="G1027" s="2483"/>
      <c r="H1027" s="2483"/>
      <c r="I1027" s="2483"/>
      <c r="J1027" s="2483"/>
      <c r="K1027" s="2800"/>
      <c r="L1027" s="2794">
        <f>ROUNDUP('Part V-Revenues &amp; Expenses'!$P$67*M1027,0)</f>
        <v>0</v>
      </c>
      <c r="M1027" s="2795">
        <f>'DCA Underwriting Assumptions'!$Q$147</f>
        <v>0.05</v>
      </c>
      <c r="N1027" s="2787" t="s">
        <v>4801</v>
      </c>
      <c r="O1027" s="2779"/>
      <c r="P1027" s="2488">
        <f>'Part VII-Threshold Criteria'!P184</f>
        <v>0</v>
      </c>
      <c r="Q1027" s="2488"/>
    </row>
    <row r="1028" spans="1:17" ht="14.15" customHeight="1">
      <c r="A1028" s="2774"/>
      <c r="B1028" s="2484"/>
      <c r="C1028" s="2483"/>
      <c r="D1028" s="2483" t="s">
        <v>4802</v>
      </c>
      <c r="E1028" s="2483"/>
      <c r="F1028" s="2483"/>
      <c r="G1028" s="2483"/>
      <c r="H1028" s="2483"/>
      <c r="I1028" s="2483"/>
      <c r="J1028" s="2483"/>
      <c r="K1028" s="2800"/>
      <c r="L1028" s="2794">
        <f>ROUNDUP(L1027*M1028,0)</f>
        <v>0</v>
      </c>
      <c r="M1028" s="2795">
        <f>'DCA Underwriting Assumptions'!$Q$148</f>
        <v>0.4</v>
      </c>
      <c r="N1028" s="2787" t="s">
        <v>4803</v>
      </c>
      <c r="O1028" s="2779"/>
      <c r="P1028" s="2488">
        <f>'Part VII-Threshold Criteria'!P185</f>
        <v>0</v>
      </c>
      <c r="Q1028" s="2488"/>
    </row>
    <row r="1029" spans="1:17" ht="14.15" customHeight="1">
      <c r="A1029" s="2774"/>
      <c r="B1029" s="2483" t="s">
        <v>4689</v>
      </c>
      <c r="C1029" s="2483"/>
      <c r="D1029" s="2483"/>
      <c r="E1029" s="2483"/>
      <c r="F1029" s="2483"/>
      <c r="G1029" s="2483"/>
      <c r="H1029" s="2483"/>
      <c r="I1029" s="2483"/>
      <c r="J1029" s="2483"/>
      <c r="K1029" s="2483"/>
      <c r="L1029" s="2794">
        <f>ROUNDUP('Part V-Revenues &amp; Expenses'!$P$67*M1029,0)</f>
        <v>0</v>
      </c>
      <c r="M1029" s="2795">
        <f>'DCA Underwriting Assumptions'!$Q$149</f>
        <v>0.02</v>
      </c>
      <c r="N1029" s="2787" t="s">
        <v>4801</v>
      </c>
      <c r="O1029" s="2779"/>
      <c r="P1029" s="2488">
        <f>'Part VII-Threshold Criteria'!P186</f>
        <v>0</v>
      </c>
      <c r="Q1029" s="2488"/>
    </row>
    <row r="1030" spans="1:17" ht="14">
      <c r="A1030" s="2774" t="s">
        <v>697</v>
      </c>
      <c r="B1030" s="2773" t="s">
        <v>4804</v>
      </c>
      <c r="C1030" s="2484"/>
      <c r="D1030" s="2484"/>
      <c r="E1030" s="2484"/>
      <c r="F1030" s="2484"/>
      <c r="G1030" s="2484"/>
      <c r="H1030" s="2484"/>
      <c r="I1030" s="2484"/>
      <c r="J1030" s="2484"/>
      <c r="K1030" s="2483"/>
      <c r="L1030" s="2794"/>
      <c r="M1030" s="2795"/>
      <c r="N1030" s="2787"/>
      <c r="O1030" s="2779"/>
      <c r="P1030" s="2779"/>
      <c r="Q1030" s="2779"/>
    </row>
    <row r="1031" spans="1:17" ht="14">
      <c r="A1031" s="2774"/>
      <c r="B1031" s="2483" t="s">
        <v>4807</v>
      </c>
      <c r="C1031" s="2483"/>
      <c r="D1031" s="2483"/>
      <c r="E1031" s="2483"/>
      <c r="F1031" s="2483"/>
      <c r="G1031" s="2483"/>
      <c r="H1031" s="2483"/>
      <c r="I1031" s="2483"/>
      <c r="J1031" s="2483"/>
      <c r="K1031" s="2483"/>
      <c r="L1031" s="2483"/>
      <c r="M1031" s="2801">
        <f>'Part VII-Threshold Criteria'!M188</f>
        <v>0</v>
      </c>
      <c r="N1031" s="2801"/>
      <c r="O1031" s="2801"/>
      <c r="P1031" s="2801"/>
      <c r="Q1031" s="2801"/>
    </row>
    <row r="1032" spans="1:17" ht="14">
      <c r="A1032" s="2774"/>
      <c r="B1032" s="2483"/>
      <c r="C1032" s="2483"/>
      <c r="D1032" s="2483" t="s">
        <v>4805</v>
      </c>
      <c r="E1032" s="2483"/>
      <c r="F1032" s="2483"/>
      <c r="G1032" s="2483"/>
      <c r="H1032" s="2483"/>
      <c r="I1032" s="2483"/>
      <c r="J1032" s="2483"/>
      <c r="K1032" s="2483"/>
      <c r="L1032" s="2483"/>
      <c r="M1032" s="2483"/>
      <c r="N1032" s="2483"/>
      <c r="O1032" s="2779"/>
      <c r="P1032" s="2486">
        <f>'Part VII-Threshold Criteria'!P189</f>
        <v>0</v>
      </c>
      <c r="Q1032" s="2486"/>
    </row>
    <row r="1033" spans="1:17" ht="14">
      <c r="A1033" s="2774"/>
      <c r="B1033" s="2483"/>
      <c r="C1033" s="2483"/>
      <c r="D1033" s="2483" t="s">
        <v>4806</v>
      </c>
      <c r="E1033" s="2483"/>
      <c r="F1033" s="2483"/>
      <c r="G1033" s="2483"/>
      <c r="H1033" s="2483"/>
      <c r="I1033" s="2483"/>
      <c r="J1033" s="2483"/>
      <c r="K1033" s="2483"/>
      <c r="L1033" s="2483"/>
      <c r="M1033" s="2483"/>
      <c r="N1033" s="2483"/>
      <c r="O1033" s="2779"/>
      <c r="P1033" s="2486">
        <f>'Part VII-Threshold Criteria'!P190</f>
        <v>0</v>
      </c>
      <c r="Q1033" s="2486"/>
    </row>
    <row r="1034" spans="1:17" ht="14.5">
      <c r="A1034" s="2483"/>
      <c r="B1034" s="2776" t="s">
        <v>3158</v>
      </c>
      <c r="C1034" s="2483"/>
      <c r="D1034" s="2776"/>
      <c r="E1034" s="2776"/>
      <c r="F1034" s="2776"/>
      <c r="G1034" s="2776"/>
      <c r="H1034" s="2484"/>
      <c r="I1034" s="2485"/>
      <c r="J1034" s="2485"/>
      <c r="K1034" s="2485"/>
      <c r="L1034" s="2486"/>
      <c r="M1034" s="2486"/>
      <c r="N1034" s="2486"/>
      <c r="O1034" s="2486"/>
      <c r="P1034" s="2486"/>
      <c r="Q1034" s="2486"/>
    </row>
    <row r="1035" spans="1:17" ht="14">
      <c r="A1035" s="2483">
        <f>'Part VII-Threshold Criteria'!A192</f>
        <v>0</v>
      </c>
      <c r="B1035" s="2483"/>
      <c r="C1035" s="2483"/>
      <c r="D1035" s="2483"/>
      <c r="E1035" s="2483"/>
      <c r="F1035" s="2483"/>
      <c r="G1035" s="2483"/>
      <c r="H1035" s="2483"/>
      <c r="I1035" s="2483"/>
      <c r="J1035" s="2483"/>
      <c r="K1035" s="2483"/>
      <c r="L1035" s="2483"/>
      <c r="M1035" s="2483"/>
      <c r="N1035" s="2483"/>
      <c r="O1035" s="2483"/>
      <c r="P1035" s="2483"/>
      <c r="Q1035" s="2483"/>
    </row>
    <row r="1036" spans="1:17" ht="14.5">
      <c r="A1036" s="2483"/>
      <c r="B1036" s="2775" t="s">
        <v>1725</v>
      </c>
      <c r="C1036" s="2775"/>
      <c r="D1036" s="2484"/>
      <c r="E1036" s="2484"/>
      <c r="F1036" s="2484"/>
      <c r="G1036" s="2484"/>
      <c r="H1036" s="2484"/>
      <c r="I1036" s="2484"/>
      <c r="J1036" s="2484"/>
      <c r="K1036" s="2484"/>
      <c r="L1036" s="2484"/>
      <c r="M1036" s="2484"/>
      <c r="N1036" s="2484"/>
      <c r="O1036" s="2484"/>
      <c r="P1036" s="2484"/>
      <c r="Q1036" s="2484"/>
    </row>
    <row r="1037" spans="1:17" ht="14">
      <c r="A1037" s="2483"/>
      <c r="B1037" s="2483"/>
      <c r="C1037" s="2483"/>
      <c r="D1037" s="2483"/>
      <c r="E1037" s="2483"/>
      <c r="F1037" s="2483"/>
      <c r="G1037" s="2483"/>
      <c r="H1037" s="2483"/>
      <c r="I1037" s="2483"/>
      <c r="J1037" s="2483"/>
      <c r="K1037" s="2483"/>
      <c r="L1037" s="2483"/>
      <c r="M1037" s="2483"/>
      <c r="N1037" s="2483"/>
      <c r="O1037" s="2483"/>
      <c r="P1037" s="2483"/>
      <c r="Q1037" s="2483"/>
    </row>
    <row r="1038" spans="1:17" ht="14">
      <c r="A1038" s="2484"/>
      <c r="B1038" s="2484"/>
      <c r="C1038" s="2484"/>
      <c r="D1038" s="2484"/>
      <c r="E1038" s="2484"/>
      <c r="F1038" s="2484"/>
      <c r="G1038" s="2484"/>
      <c r="H1038" s="2484"/>
      <c r="I1038" s="2484"/>
      <c r="J1038" s="2484"/>
      <c r="K1038" s="2484"/>
      <c r="L1038" s="2484"/>
      <c r="M1038" s="2484"/>
      <c r="N1038" s="2484"/>
      <c r="O1038" s="2484"/>
      <c r="P1038" s="2484"/>
      <c r="Q1038" s="2484"/>
    </row>
    <row r="1039" spans="1:17" ht="14">
      <c r="A1039" s="2483"/>
      <c r="B1039" s="2484"/>
      <c r="C1039" s="2484"/>
      <c r="D1039" s="2484"/>
      <c r="E1039" s="2484"/>
      <c r="F1039" s="2484"/>
      <c r="G1039" s="2484"/>
      <c r="H1039" s="2484"/>
      <c r="I1039" s="2484"/>
      <c r="J1039" s="2484"/>
      <c r="K1039" s="2484"/>
      <c r="L1039" s="2484"/>
      <c r="M1039" s="2484"/>
      <c r="N1039" s="2484"/>
      <c r="O1039" s="2484"/>
      <c r="P1039" s="2484"/>
      <c r="Q1039" s="2484"/>
    </row>
    <row r="1040" spans="1:17" ht="14">
      <c r="A1040" s="2773" t="s">
        <v>3285</v>
      </c>
      <c r="B1040" s="2488" t="s">
        <v>2427</v>
      </c>
      <c r="C1040" s="2488"/>
      <c r="D1040" s="2488"/>
      <c r="E1040" s="2488"/>
      <c r="F1040" s="2488"/>
      <c r="G1040" s="2488"/>
      <c r="H1040" s="2484"/>
      <c r="I1040" s="2484"/>
      <c r="J1040" s="2484"/>
      <c r="K1040" s="2484"/>
      <c r="L1040" s="2484"/>
      <c r="M1040" s="2484"/>
      <c r="N1040" s="2483"/>
      <c r="O1040" s="2774" t="s">
        <v>1726</v>
      </c>
      <c r="P1040" s="2488"/>
      <c r="Q1040" s="2488"/>
    </row>
    <row r="1041" spans="1:17" ht="14">
      <c r="A1041" s="2483"/>
      <c r="B1041" s="2483" t="s">
        <v>4684</v>
      </c>
      <c r="C1041" s="2483"/>
      <c r="D1041" s="2483"/>
      <c r="E1041" s="2483"/>
      <c r="F1041" s="2483"/>
      <c r="G1041" s="2483"/>
      <c r="H1041" s="2483"/>
      <c r="I1041" s="2483"/>
      <c r="J1041" s="2483"/>
      <c r="K1041" s="2483"/>
      <c r="L1041" s="2483"/>
      <c r="M1041" s="2483"/>
      <c r="N1041" s="2483"/>
      <c r="O1041" s="2483"/>
      <c r="P1041" s="2488">
        <f>'Part VII-Threshold Criteria'!P198</f>
        <v>0</v>
      </c>
      <c r="Q1041" s="2488"/>
    </row>
    <row r="1042" spans="1:17" ht="14.15" customHeight="1">
      <c r="A1042" s="2483"/>
      <c r="B1042" s="2483" t="s">
        <v>5008</v>
      </c>
      <c r="C1042" s="2483"/>
      <c r="D1042" s="2483"/>
      <c r="E1042" s="2483"/>
      <c r="F1042" s="2483"/>
      <c r="G1042" s="2483"/>
      <c r="H1042" s="2483"/>
      <c r="I1042" s="2483"/>
      <c r="J1042" s="2483"/>
      <c r="K1042" s="2483"/>
      <c r="L1042" s="2483"/>
      <c r="M1042" s="2483"/>
      <c r="N1042" s="2483"/>
      <c r="O1042" s="2483"/>
      <c r="P1042" s="2488">
        <f>'Part VII-Threshold Criteria'!P199</f>
        <v>0</v>
      </c>
      <c r="Q1042" s="2488"/>
    </row>
    <row r="1043" spans="1:17" ht="14">
      <c r="A1043" s="2774" t="s">
        <v>1836</v>
      </c>
      <c r="B1043" s="2488" t="s">
        <v>432</v>
      </c>
      <c r="C1043" s="2483"/>
      <c r="D1043" s="2488"/>
      <c r="E1043" s="2488"/>
      <c r="F1043" s="2488"/>
      <c r="G1043" s="2488"/>
      <c r="H1043" s="2488"/>
      <c r="I1043" s="2488"/>
      <c r="J1043" s="2488"/>
      <c r="K1043" s="2488"/>
      <c r="L1043" s="2488"/>
      <c r="M1043" s="2488"/>
      <c r="N1043" s="2483"/>
      <c r="O1043" s="2779"/>
      <c r="P1043" s="2486"/>
      <c r="Q1043" s="2486"/>
    </row>
    <row r="1044" spans="1:17" ht="14.15" customHeight="1">
      <c r="A1044" s="2483"/>
      <c r="B1044" s="2785" t="s">
        <v>1611</v>
      </c>
      <c r="C1044" s="2772" t="s">
        <v>4740</v>
      </c>
      <c r="D1044" s="2772"/>
      <c r="E1044" s="2772"/>
      <c r="F1044" s="2772" t="str">
        <f>'Part VII-Threshold Criteria'!F201</f>
        <v>&lt;&lt;Select exterior material /finish upgrade choice from options provided here&gt;&gt;</v>
      </c>
      <c r="G1044" s="2772"/>
      <c r="H1044" s="2772"/>
      <c r="I1044" s="2772"/>
      <c r="J1044" s="2772"/>
      <c r="K1044" s="2772"/>
      <c r="L1044" s="2772"/>
      <c r="M1044" s="2772"/>
      <c r="N1044" s="2772"/>
      <c r="O1044" s="2772"/>
      <c r="P1044" s="2772"/>
      <c r="Q1044" s="2772"/>
    </row>
    <row r="1045" spans="1:17" ht="14.15" customHeight="1">
      <c r="A1045" s="2483"/>
      <c r="B1045" s="2785" t="s">
        <v>1612</v>
      </c>
      <c r="C1045" s="2772" t="s">
        <v>4741</v>
      </c>
      <c r="D1045" s="2772"/>
      <c r="E1045" s="2772"/>
      <c r="F1045" s="2772"/>
      <c r="G1045" s="2772"/>
      <c r="H1045" s="2772" t="str">
        <f>'Part VII-Threshold Criteria'!H202</f>
        <v>&lt;&lt;Select materials&gt;&gt;</v>
      </c>
      <c r="I1045" s="2772"/>
      <c r="J1045" s="2772"/>
      <c r="K1045" s="2772"/>
      <c r="L1045" s="2772"/>
      <c r="M1045" s="2772"/>
      <c r="N1045" s="2772"/>
      <c r="O1045" s="2772"/>
      <c r="P1045" s="2772"/>
      <c r="Q1045" s="2772"/>
    </row>
    <row r="1046" spans="1:17" ht="14.15" customHeight="1">
      <c r="A1046" s="2774"/>
      <c r="B1046" s="2785" t="s">
        <v>1613</v>
      </c>
      <c r="C1046" s="2483" t="s">
        <v>4690</v>
      </c>
      <c r="D1046" s="2483"/>
      <c r="E1046" s="2483"/>
      <c r="F1046" s="2483"/>
      <c r="G1046" s="2483"/>
      <c r="H1046" s="2483"/>
      <c r="I1046" s="2483"/>
      <c r="J1046" s="2483"/>
      <c r="K1046" s="2483"/>
      <c r="L1046" s="2483"/>
      <c r="M1046" s="2483"/>
      <c r="N1046" s="2483"/>
      <c r="O1046" s="2483"/>
      <c r="P1046" s="2483"/>
      <c r="Q1046" s="2483"/>
    </row>
    <row r="1047" spans="1:17" ht="14">
      <c r="A1047" s="2774"/>
      <c r="B1047" s="2779"/>
      <c r="C1047" s="2483">
        <f>'Part VII-Threshold Criteria'!C204</f>
        <v>0</v>
      </c>
      <c r="D1047" s="2483"/>
      <c r="E1047" s="2483"/>
      <c r="F1047" s="2483"/>
      <c r="G1047" s="2483"/>
      <c r="H1047" s="2483"/>
      <c r="I1047" s="2483"/>
      <c r="J1047" s="2483"/>
      <c r="K1047" s="2483"/>
      <c r="L1047" s="2483"/>
      <c r="M1047" s="2483"/>
      <c r="N1047" s="2483"/>
      <c r="O1047" s="2483"/>
      <c r="P1047" s="2483"/>
      <c r="Q1047" s="2483"/>
    </row>
    <row r="1048" spans="1:17" ht="14">
      <c r="A1048" s="2774"/>
      <c r="B1048" s="2779"/>
      <c r="C1048" s="2483">
        <f>'Part VII-Threshold Criteria'!C205</f>
        <v>0</v>
      </c>
      <c r="D1048" s="2483"/>
      <c r="E1048" s="2483"/>
      <c r="F1048" s="2483"/>
      <c r="G1048" s="2483"/>
      <c r="H1048" s="2483"/>
      <c r="I1048" s="2483"/>
      <c r="J1048" s="2483"/>
      <c r="K1048" s="2483"/>
      <c r="L1048" s="2483"/>
      <c r="M1048" s="2483"/>
      <c r="N1048" s="2483"/>
      <c r="O1048" s="2483"/>
      <c r="P1048" s="2483"/>
      <c r="Q1048" s="2483"/>
    </row>
    <row r="1049" spans="1:17" ht="14.5">
      <c r="A1049" s="2483"/>
      <c r="B1049" s="2776" t="s">
        <v>3158</v>
      </c>
      <c r="C1049" s="2483"/>
      <c r="D1049" s="2776"/>
      <c r="E1049" s="2776"/>
      <c r="F1049" s="2776"/>
      <c r="G1049" s="2776"/>
      <c r="H1049" s="2484"/>
      <c r="I1049" s="2485"/>
      <c r="J1049" s="2485"/>
      <c r="K1049" s="2485"/>
      <c r="L1049" s="2486"/>
      <c r="M1049" s="2486"/>
      <c r="N1049" s="2486"/>
      <c r="O1049" s="2486"/>
      <c r="P1049" s="2486"/>
      <c r="Q1049" s="2486"/>
    </row>
    <row r="1050" spans="1:17" ht="14">
      <c r="A1050" s="2483">
        <f>'Part VII-Threshold Criteria'!A207</f>
        <v>0</v>
      </c>
      <c r="B1050" s="2483"/>
      <c r="C1050" s="2483"/>
      <c r="D1050" s="2483"/>
      <c r="E1050" s="2483"/>
      <c r="F1050" s="2483"/>
      <c r="G1050" s="2483"/>
      <c r="H1050" s="2483"/>
      <c r="I1050" s="2483"/>
      <c r="J1050" s="2483"/>
      <c r="K1050" s="2483"/>
      <c r="L1050" s="2483"/>
      <c r="M1050" s="2483"/>
      <c r="N1050" s="2483"/>
      <c r="O1050" s="2483"/>
      <c r="P1050" s="2483"/>
      <c r="Q1050" s="2483"/>
    </row>
    <row r="1051" spans="1:17" ht="14.5">
      <c r="A1051" s="2483"/>
      <c r="B1051" s="2775" t="s">
        <v>1725</v>
      </c>
      <c r="C1051" s="2775"/>
      <c r="D1051" s="2484"/>
      <c r="E1051" s="2484"/>
      <c r="F1051" s="2484"/>
      <c r="G1051" s="2484"/>
      <c r="H1051" s="2484"/>
      <c r="I1051" s="2484"/>
      <c r="J1051" s="2484"/>
      <c r="K1051" s="2484"/>
      <c r="L1051" s="2484"/>
      <c r="M1051" s="2484"/>
      <c r="N1051" s="2484"/>
      <c r="O1051" s="2484"/>
      <c r="P1051" s="2484"/>
      <c r="Q1051" s="2484"/>
    </row>
    <row r="1052" spans="1:17" ht="14">
      <c r="A1052" s="2483"/>
      <c r="B1052" s="2483"/>
      <c r="C1052" s="2483"/>
      <c r="D1052" s="2483"/>
      <c r="E1052" s="2483"/>
      <c r="F1052" s="2483"/>
      <c r="G1052" s="2483"/>
      <c r="H1052" s="2483"/>
      <c r="I1052" s="2483"/>
      <c r="J1052" s="2483"/>
      <c r="K1052" s="2483"/>
      <c r="L1052" s="2483"/>
      <c r="M1052" s="2483"/>
      <c r="N1052" s="2483"/>
      <c r="O1052" s="2483"/>
      <c r="P1052" s="2483"/>
      <c r="Q1052" s="2483"/>
    </row>
    <row r="1053" spans="1:17" ht="14">
      <c r="A1053" s="2484"/>
      <c r="B1053" s="2484"/>
      <c r="C1053" s="2484"/>
      <c r="D1053" s="2484"/>
      <c r="E1053" s="2484"/>
      <c r="F1053" s="2484"/>
      <c r="G1053" s="2484"/>
      <c r="H1053" s="2484"/>
      <c r="I1053" s="2484"/>
      <c r="J1053" s="2484"/>
      <c r="K1053" s="2484"/>
      <c r="L1053" s="2484"/>
      <c r="M1053" s="2484"/>
      <c r="N1053" s="2484"/>
      <c r="O1053" s="2484"/>
      <c r="P1053" s="2484"/>
      <c r="Q1053" s="2484"/>
    </row>
    <row r="1054" spans="1:17" ht="14">
      <c r="A1054" s="2483"/>
      <c r="B1054" s="2484"/>
      <c r="C1054" s="2484"/>
      <c r="D1054" s="2484"/>
      <c r="E1054" s="2484"/>
      <c r="F1054" s="2484"/>
      <c r="G1054" s="2484"/>
      <c r="H1054" s="2484"/>
      <c r="I1054" s="2484"/>
      <c r="J1054" s="2484"/>
      <c r="K1054" s="2484"/>
      <c r="L1054" s="2484"/>
      <c r="M1054" s="2484"/>
      <c r="N1054" s="2484"/>
      <c r="O1054" s="2484"/>
      <c r="P1054" s="2484"/>
      <c r="Q1054" s="2484"/>
    </row>
    <row r="1055" spans="1:17" ht="14">
      <c r="A1055" s="2773" t="s">
        <v>3283</v>
      </c>
      <c r="B1055" s="2773" t="s">
        <v>4808</v>
      </c>
      <c r="C1055" s="2773"/>
      <c r="D1055" s="2484"/>
      <c r="E1055" s="2484"/>
      <c r="F1055" s="2484"/>
      <c r="G1055" s="2484"/>
      <c r="H1055" s="2484"/>
      <c r="I1055" s="2483"/>
      <c r="J1055" s="2483"/>
      <c r="K1055" s="2483"/>
      <c r="L1055" s="2483"/>
      <c r="M1055" s="2483"/>
      <c r="N1055" s="2483"/>
      <c r="O1055" s="2774" t="s">
        <v>1726</v>
      </c>
      <c r="P1055" s="2488"/>
      <c r="Q1055" s="2488"/>
    </row>
    <row r="1056" spans="1:17" ht="14">
      <c r="A1056" s="2774"/>
      <c r="B1056" s="2483" t="s">
        <v>4798</v>
      </c>
      <c r="C1056" s="2483"/>
      <c r="D1056" s="2483"/>
      <c r="E1056" s="2483"/>
      <c r="F1056" s="2483"/>
      <c r="G1056" s="2483"/>
      <c r="H1056" s="2483"/>
      <c r="I1056" s="2483"/>
      <c r="J1056" s="2483"/>
      <c r="K1056" s="2483"/>
      <c r="L1056" s="2483"/>
      <c r="M1056" s="2483"/>
      <c r="N1056" s="2483"/>
      <c r="O1056" s="2779"/>
      <c r="P1056" s="2483" t="str">
        <f>'Part VII-Threshold Criteria'!P213</f>
        <v>&lt;&lt;Select&gt;&gt;</v>
      </c>
      <c r="Q1056" s="2483"/>
    </row>
    <row r="1057" spans="1:17" ht="14">
      <c r="A1057" s="2774"/>
      <c r="B1057" s="2483" t="s">
        <v>4809</v>
      </c>
      <c r="C1057" s="2483"/>
      <c r="D1057" s="2483"/>
      <c r="E1057" s="2483"/>
      <c r="F1057" s="2483"/>
      <c r="G1057" s="2483"/>
      <c r="H1057" s="2483"/>
      <c r="I1057" s="2483"/>
      <c r="J1057" s="2483"/>
      <c r="K1057" s="2483"/>
      <c r="L1057" s="2483"/>
      <c r="M1057" s="2483"/>
      <c r="N1057" s="2483"/>
      <c r="O1057" s="2779"/>
      <c r="P1057" s="2483" t="str">
        <f>'Part VII-Threshold Criteria'!P214</f>
        <v>&lt;&lt;Select&gt;&gt;</v>
      </c>
      <c r="Q1057" s="2483"/>
    </row>
    <row r="1058" spans="1:17" ht="14">
      <c r="A1058" s="2774"/>
      <c r="B1058" s="2483" t="s">
        <v>4810</v>
      </c>
      <c r="C1058" s="2483"/>
      <c r="D1058" s="2483"/>
      <c r="E1058" s="2483"/>
      <c r="F1058" s="2483"/>
      <c r="G1058" s="2483"/>
      <c r="H1058" s="2483"/>
      <c r="I1058" s="2483"/>
      <c r="J1058" s="2483"/>
      <c r="K1058" s="2485"/>
      <c r="L1058" s="2483"/>
      <c r="M1058" s="2779"/>
      <c r="N1058" s="2483"/>
      <c r="O1058" s="2483"/>
      <c r="P1058" s="2483" t="str">
        <f>'Part VII-Threshold Criteria'!P215</f>
        <v>&lt;&lt;Select&gt;&gt;</v>
      </c>
      <c r="Q1058" s="2483"/>
    </row>
    <row r="1059" spans="1:17" ht="14.15" customHeight="1">
      <c r="A1059" s="2774"/>
      <c r="B1059" s="2483" t="s">
        <v>4811</v>
      </c>
      <c r="C1059" s="2483"/>
      <c r="D1059" s="2483"/>
      <c r="E1059" s="2483"/>
      <c r="F1059" s="2483"/>
      <c r="G1059" s="2483"/>
      <c r="H1059" s="2483"/>
      <c r="I1059" s="2483"/>
      <c r="J1059" s="2483"/>
      <c r="K1059" s="2483"/>
      <c r="L1059" s="2483"/>
      <c r="M1059" s="2483"/>
      <c r="N1059" s="2483"/>
      <c r="O1059" s="2483"/>
      <c r="P1059" s="2483" t="str">
        <f>'Part VII-Threshold Criteria'!P216</f>
        <v>&lt;&lt;Select&gt;&gt;</v>
      </c>
      <c r="Q1059" s="2483"/>
    </row>
    <row r="1060" spans="1:17" ht="14">
      <c r="A1060" s="2774"/>
      <c r="B1060" s="2483" t="s">
        <v>4812</v>
      </c>
      <c r="C1060" s="2483"/>
      <c r="D1060" s="2483"/>
      <c r="E1060" s="2483"/>
      <c r="F1060" s="2483"/>
      <c r="G1060" s="2483"/>
      <c r="H1060" s="2483"/>
      <c r="I1060" s="2483"/>
      <c r="J1060" s="2483"/>
      <c r="K1060" s="2483"/>
      <c r="L1060" s="2483"/>
      <c r="M1060" s="2483"/>
      <c r="N1060" s="2483"/>
      <c r="O1060" s="2483">
        <f>'Part VII-Threshold Criteria'!O217</f>
        <v>0</v>
      </c>
      <c r="P1060" s="2483"/>
      <c r="Q1060" s="2483"/>
    </row>
    <row r="1061" spans="1:17" ht="14">
      <c r="A1061" s="2774"/>
      <c r="B1061" s="2488" t="s">
        <v>4691</v>
      </c>
      <c r="C1061" s="2483"/>
      <c r="D1061" s="2483"/>
      <c r="E1061" s="2483"/>
      <c r="F1061" s="2483"/>
      <c r="G1061" s="2488"/>
      <c r="H1061" s="2488"/>
      <c r="I1061" s="2488"/>
      <c r="J1061" s="2488"/>
      <c r="K1061" s="2488"/>
      <c r="L1061" s="2488"/>
      <c r="M1061" s="2483"/>
      <c r="N1061" s="2483"/>
      <c r="O1061" s="2483"/>
      <c r="P1061" s="2483"/>
      <c r="Q1061" s="2483"/>
    </row>
    <row r="1062" spans="1:17" ht="14.5">
      <c r="A1062" s="2483"/>
      <c r="B1062" s="2776" t="s">
        <v>3158</v>
      </c>
      <c r="C1062" s="2483"/>
      <c r="D1062" s="2776"/>
      <c r="E1062" s="2776"/>
      <c r="F1062" s="2776"/>
      <c r="G1062" s="2776"/>
      <c r="H1062" s="2484"/>
      <c r="I1062" s="2485"/>
      <c r="J1062" s="2485"/>
      <c r="K1062" s="2485"/>
      <c r="L1062" s="2486"/>
      <c r="M1062" s="2486"/>
      <c r="N1062" s="2486"/>
      <c r="O1062" s="2486"/>
      <c r="P1062" s="2486"/>
      <c r="Q1062" s="2486"/>
    </row>
    <row r="1063" spans="1:17" ht="14">
      <c r="A1063" s="2483">
        <f>'Part VII-Threshold Criteria'!A220</f>
        <v>0</v>
      </c>
      <c r="B1063" s="2483"/>
      <c r="C1063" s="2483"/>
      <c r="D1063" s="2483"/>
      <c r="E1063" s="2483"/>
      <c r="F1063" s="2483"/>
      <c r="G1063" s="2483"/>
      <c r="H1063" s="2483"/>
      <c r="I1063" s="2483"/>
      <c r="J1063" s="2483"/>
      <c r="K1063" s="2483"/>
      <c r="L1063" s="2483"/>
      <c r="M1063" s="2483"/>
      <c r="N1063" s="2483"/>
      <c r="O1063" s="2483"/>
      <c r="P1063" s="2483"/>
      <c r="Q1063" s="2483"/>
    </row>
    <row r="1064" spans="1:17" ht="14.5">
      <c r="A1064" s="2483"/>
      <c r="B1064" s="2775" t="s">
        <v>1725</v>
      </c>
      <c r="C1064" s="2775"/>
      <c r="D1064" s="2484"/>
      <c r="E1064" s="2484"/>
      <c r="F1064" s="2484"/>
      <c r="G1064" s="2484"/>
      <c r="H1064" s="2484"/>
      <c r="I1064" s="2484"/>
      <c r="J1064" s="2484"/>
      <c r="K1064" s="2484"/>
      <c r="L1064" s="2484"/>
      <c r="M1064" s="2484"/>
      <c r="N1064" s="2484"/>
      <c r="O1064" s="2483"/>
      <c r="P1064" s="2484"/>
      <c r="Q1064" s="2484"/>
    </row>
    <row r="1065" spans="1:17" ht="14">
      <c r="A1065" s="2483"/>
      <c r="B1065" s="2483"/>
      <c r="C1065" s="2483"/>
      <c r="D1065" s="2483"/>
      <c r="E1065" s="2483"/>
      <c r="F1065" s="2483"/>
      <c r="G1065" s="2483"/>
      <c r="H1065" s="2483"/>
      <c r="I1065" s="2483"/>
      <c r="J1065" s="2483"/>
      <c r="K1065" s="2483"/>
      <c r="L1065" s="2483"/>
      <c r="M1065" s="2483"/>
      <c r="N1065" s="2483"/>
      <c r="O1065" s="2483"/>
      <c r="P1065" s="2483"/>
      <c r="Q1065" s="2483"/>
    </row>
    <row r="1066" spans="1:17" ht="14">
      <c r="A1066" s="2486"/>
      <c r="B1066" s="2485"/>
      <c r="C1066" s="2484"/>
      <c r="D1066" s="2484"/>
      <c r="E1066" s="2484"/>
      <c r="F1066" s="2484"/>
      <c r="G1066" s="2484"/>
      <c r="H1066" s="2484"/>
      <c r="I1066" s="2484"/>
      <c r="J1066" s="2484"/>
      <c r="K1066" s="2484"/>
      <c r="L1066" s="2484"/>
      <c r="M1066" s="2484"/>
      <c r="N1066" s="2484"/>
      <c r="O1066" s="2484"/>
      <c r="P1066" s="2484"/>
      <c r="Q1066" s="2486"/>
    </row>
    <row r="1067" spans="1:17" ht="14">
      <c r="A1067" s="2483"/>
      <c r="B1067" s="2485"/>
      <c r="C1067" s="2484"/>
      <c r="D1067" s="2484"/>
      <c r="E1067" s="2484"/>
      <c r="F1067" s="2484"/>
      <c r="G1067" s="2484"/>
      <c r="H1067" s="2484"/>
      <c r="I1067" s="2484"/>
      <c r="J1067" s="2484"/>
      <c r="K1067" s="2484"/>
      <c r="L1067" s="2484"/>
      <c r="M1067" s="2484"/>
      <c r="N1067" s="2484"/>
      <c r="O1067" s="2484"/>
      <c r="P1067" s="2484"/>
      <c r="Q1067" s="2486"/>
    </row>
    <row r="1068" spans="1:17" ht="14">
      <c r="A1068" s="2773" t="s">
        <v>3286</v>
      </c>
      <c r="B1068" s="2488" t="s">
        <v>4438</v>
      </c>
      <c r="C1068" s="2488"/>
      <c r="D1068" s="2488"/>
      <c r="E1068" s="2488"/>
      <c r="F1068" s="2488"/>
      <c r="G1068" s="2488"/>
      <c r="H1068" s="2484"/>
      <c r="I1068" s="2484"/>
      <c r="J1068" s="2484"/>
      <c r="K1068" s="2484"/>
      <c r="L1068" s="2484"/>
      <c r="M1068" s="2484"/>
      <c r="N1068" s="2779"/>
      <c r="O1068" s="2774" t="s">
        <v>1726</v>
      </c>
      <c r="P1068" s="2488"/>
      <c r="Q1068" s="2488"/>
    </row>
    <row r="1069" spans="1:17" ht="14.15" customHeight="1">
      <c r="A1069" s="2773"/>
      <c r="B1069" s="2483" t="s">
        <v>4692</v>
      </c>
      <c r="C1069" s="2483"/>
      <c r="D1069" s="2483"/>
      <c r="E1069" s="2483"/>
      <c r="F1069" s="2483"/>
      <c r="G1069" s="2483"/>
      <c r="H1069" s="2483"/>
      <c r="I1069" s="2483"/>
      <c r="J1069" s="2483"/>
      <c r="K1069" s="2483"/>
      <c r="L1069" s="2483"/>
      <c r="M1069" s="2483"/>
      <c r="N1069" s="2483"/>
      <c r="O1069" s="2483"/>
      <c r="P1069" s="2488">
        <f>'Part VII-Threshold Criteria'!P226</f>
        <v>0</v>
      </c>
      <c r="Q1069" s="2488"/>
    </row>
    <row r="1070" spans="1:17" ht="14">
      <c r="A1070" s="2515" t="s">
        <v>1836</v>
      </c>
      <c r="B1070" s="2782" t="s">
        <v>4814</v>
      </c>
      <c r="C1070" s="2782"/>
      <c r="D1070" s="2782"/>
      <c r="E1070" s="2782"/>
      <c r="F1070" s="2782"/>
      <c r="G1070" s="2782"/>
      <c r="H1070" s="2782"/>
      <c r="I1070" s="2782"/>
      <c r="J1070" s="2782"/>
      <c r="K1070" s="2782"/>
      <c r="L1070" s="2782"/>
      <c r="M1070" s="2782"/>
      <c r="N1070" s="2782"/>
      <c r="O1070" s="2782"/>
      <c r="P1070" s="2782"/>
      <c r="Q1070" s="2782"/>
    </row>
    <row r="1071" spans="1:17" ht="14.15" customHeight="1">
      <c r="A1071" s="2515"/>
      <c r="B1071" s="2484"/>
      <c r="C1071" s="2516" t="s">
        <v>4813</v>
      </c>
      <c r="D1071" s="2783"/>
      <c r="E1071" s="2783"/>
      <c r="F1071" s="2484"/>
      <c r="G1071" s="2772" t="s">
        <v>5009</v>
      </c>
      <c r="H1071" s="2772"/>
      <c r="I1071" s="2772"/>
      <c r="J1071" s="2772"/>
      <c r="K1071" s="2772"/>
      <c r="L1071" s="2772"/>
      <c r="M1071" s="2772"/>
      <c r="N1071" s="2772"/>
      <c r="O1071" s="2772"/>
      <c r="P1071" s="2486">
        <f>'Part VII-Threshold Criteria'!P228</f>
        <v>0</v>
      </c>
      <c r="Q1071" s="2486"/>
    </row>
    <row r="1072" spans="1:17" ht="14.15" customHeight="1">
      <c r="A1072" s="2515"/>
      <c r="B1072" s="2484"/>
      <c r="C1072" s="2772" t="s">
        <v>4815</v>
      </c>
      <c r="D1072" s="2772"/>
      <c r="E1072" s="2772"/>
      <c r="F1072" s="2772"/>
      <c r="G1072" s="2772" t="s">
        <v>5010</v>
      </c>
      <c r="H1072" s="2772"/>
      <c r="I1072" s="2772"/>
      <c r="J1072" s="2772"/>
      <c r="K1072" s="2772"/>
      <c r="L1072" s="2772"/>
      <c r="M1072" s="2772"/>
      <c r="N1072" s="2772"/>
      <c r="O1072" s="2772"/>
      <c r="P1072" s="2486">
        <f>'Part VII-Threshold Criteria'!P229</f>
        <v>0</v>
      </c>
      <c r="Q1072" s="2486"/>
    </row>
    <row r="1073" spans="1:17" ht="14.15" customHeight="1">
      <c r="A1073" s="2515" t="s">
        <v>1838</v>
      </c>
      <c r="B1073" s="2772" t="s">
        <v>5116</v>
      </c>
      <c r="C1073" s="2772"/>
      <c r="D1073" s="2772"/>
      <c r="E1073" s="2772"/>
      <c r="F1073" s="2772"/>
      <c r="G1073" s="2772"/>
      <c r="H1073" s="2772"/>
      <c r="I1073" s="2772"/>
      <c r="J1073" s="2772"/>
      <c r="K1073" s="2772"/>
      <c r="L1073" s="2772"/>
      <c r="M1073" s="2772"/>
      <c r="N1073" s="2772"/>
      <c r="O1073" s="2772"/>
      <c r="P1073" s="2486">
        <f>'Part VII-Threshold Criteria'!P230</f>
        <v>0</v>
      </c>
      <c r="Q1073" s="2486"/>
    </row>
    <row r="1074" spans="1:17" ht="14">
      <c r="A1074" s="2774" t="s">
        <v>697</v>
      </c>
      <c r="B1074" s="2483" t="s">
        <v>5117</v>
      </c>
      <c r="C1074" s="2483"/>
      <c r="D1074" s="2483"/>
      <c r="E1074" s="2483"/>
      <c r="F1074" s="2483"/>
      <c r="G1074" s="2483" t="s">
        <v>5118</v>
      </c>
      <c r="H1074" s="2483"/>
      <c r="I1074" s="2483"/>
      <c r="J1074" s="2483"/>
      <c r="K1074" s="2483"/>
      <c r="L1074" s="2483"/>
      <c r="M1074" s="2483"/>
      <c r="N1074" s="2483"/>
      <c r="O1074" s="2483"/>
      <c r="P1074" s="2486">
        <f>'Part VII-Threshold Criteria'!P231</f>
        <v>0</v>
      </c>
      <c r="Q1074" s="2486"/>
    </row>
    <row r="1075" spans="1:17" ht="14.15" customHeight="1">
      <c r="A1075" s="2515" t="s">
        <v>1957</v>
      </c>
      <c r="B1075" s="2772" t="s">
        <v>5119</v>
      </c>
      <c r="C1075" s="2772"/>
      <c r="D1075" s="2772"/>
      <c r="E1075" s="2772"/>
      <c r="F1075" s="2772"/>
      <c r="G1075" s="2772"/>
      <c r="H1075" s="2772"/>
      <c r="I1075" s="2772"/>
      <c r="J1075" s="2772"/>
      <c r="K1075" s="2772"/>
      <c r="L1075" s="2772"/>
      <c r="M1075" s="2772"/>
      <c r="N1075" s="2772"/>
      <c r="O1075" s="2772"/>
      <c r="P1075" s="2486">
        <f>'Part VII-Threshold Criteria'!P232</f>
        <v>0</v>
      </c>
      <c r="Q1075" s="2486"/>
    </row>
    <row r="1076" spans="1:17" ht="14.5">
      <c r="A1076" s="2483"/>
      <c r="B1076" s="2776" t="s">
        <v>3158</v>
      </c>
      <c r="C1076" s="2483"/>
      <c r="D1076" s="2776"/>
      <c r="E1076" s="2776"/>
      <c r="F1076" s="2776"/>
      <c r="G1076" s="2776"/>
      <c r="H1076" s="2484"/>
      <c r="I1076" s="2485"/>
      <c r="J1076" s="2485"/>
      <c r="K1076" s="2485"/>
      <c r="L1076" s="2486"/>
      <c r="M1076" s="2486"/>
      <c r="N1076" s="2486"/>
      <c r="O1076" s="2486"/>
      <c r="P1076" s="2486"/>
      <c r="Q1076" s="2486"/>
    </row>
    <row r="1077" spans="1:17" ht="14">
      <c r="A1077" s="2483">
        <f>'Part VII-Threshold Criteria'!A234</f>
        <v>0</v>
      </c>
      <c r="B1077" s="2483"/>
      <c r="C1077" s="2483"/>
      <c r="D1077" s="2483"/>
      <c r="E1077" s="2483"/>
      <c r="F1077" s="2483"/>
      <c r="G1077" s="2483"/>
      <c r="H1077" s="2483"/>
      <c r="I1077" s="2483"/>
      <c r="J1077" s="2483"/>
      <c r="K1077" s="2483"/>
      <c r="L1077" s="2483"/>
      <c r="M1077" s="2483"/>
      <c r="N1077" s="2483"/>
      <c r="O1077" s="2483"/>
      <c r="P1077" s="2483"/>
      <c r="Q1077" s="2483"/>
    </row>
    <row r="1078" spans="1:17" ht="14.5">
      <c r="A1078" s="2483"/>
      <c r="B1078" s="2775" t="s">
        <v>1725</v>
      </c>
      <c r="C1078" s="2775"/>
      <c r="D1078" s="2484"/>
      <c r="E1078" s="2484"/>
      <c r="F1078" s="2484"/>
      <c r="G1078" s="2484"/>
      <c r="H1078" s="2484"/>
      <c r="I1078" s="2484"/>
      <c r="J1078" s="2484"/>
      <c r="K1078" s="2484"/>
      <c r="L1078" s="2484"/>
      <c r="M1078" s="2484"/>
      <c r="N1078" s="2484"/>
      <c r="O1078" s="2484"/>
      <c r="P1078" s="2484"/>
      <c r="Q1078" s="2484"/>
    </row>
    <row r="1079" spans="1:17" ht="14">
      <c r="A1079" s="2483"/>
      <c r="B1079" s="2483"/>
      <c r="C1079" s="2483"/>
      <c r="D1079" s="2483"/>
      <c r="E1079" s="2483"/>
      <c r="F1079" s="2483"/>
      <c r="G1079" s="2483"/>
      <c r="H1079" s="2483"/>
      <c r="I1079" s="2483"/>
      <c r="J1079" s="2483"/>
      <c r="K1079" s="2483"/>
      <c r="L1079" s="2483"/>
      <c r="M1079" s="2483"/>
      <c r="N1079" s="2483"/>
      <c r="O1079" s="2483"/>
      <c r="P1079" s="2483"/>
      <c r="Q1079" s="2483"/>
    </row>
    <row r="1080" spans="1:17" ht="14">
      <c r="A1080" s="2486"/>
      <c r="B1080" s="2485"/>
      <c r="C1080" s="2484"/>
      <c r="D1080" s="2484"/>
      <c r="E1080" s="2484"/>
      <c r="F1080" s="2484"/>
      <c r="G1080" s="2484"/>
      <c r="H1080" s="2484"/>
      <c r="I1080" s="2484"/>
      <c r="J1080" s="2484"/>
      <c r="K1080" s="2484"/>
      <c r="L1080" s="2484"/>
      <c r="M1080" s="2484"/>
      <c r="N1080" s="2484"/>
      <c r="O1080" s="2484"/>
      <c r="P1080" s="2484"/>
      <c r="Q1080" s="2486"/>
    </row>
    <row r="1081" spans="1:17" ht="14">
      <c r="A1081" s="2773"/>
      <c r="B1081" s="2485"/>
      <c r="C1081" s="2484"/>
      <c r="D1081" s="2484"/>
      <c r="E1081" s="2484"/>
      <c r="F1081" s="2484"/>
      <c r="G1081" s="2484"/>
      <c r="H1081" s="2484"/>
      <c r="I1081" s="2484"/>
      <c r="J1081" s="2484"/>
      <c r="K1081" s="2484"/>
      <c r="L1081" s="2484"/>
      <c r="M1081" s="2484"/>
      <c r="N1081" s="2484"/>
      <c r="O1081" s="2484"/>
      <c r="P1081" s="2484"/>
      <c r="Q1081" s="2486"/>
    </row>
    <row r="1082" spans="1:17" ht="14">
      <c r="A1082" s="2773" t="s">
        <v>3287</v>
      </c>
      <c r="B1082" s="2488" t="s">
        <v>3272</v>
      </c>
      <c r="C1082" s="2488"/>
      <c r="D1082" s="2488"/>
      <c r="E1082" s="2488"/>
      <c r="F1082" s="2488"/>
      <c r="G1082" s="2488"/>
      <c r="H1082" s="2484"/>
      <c r="I1082" s="2484"/>
      <c r="J1082" s="2484"/>
      <c r="K1082" s="2484"/>
      <c r="L1082" s="2484"/>
      <c r="M1082" s="2484"/>
      <c r="N1082" s="2774"/>
      <c r="O1082" s="2774" t="s">
        <v>1726</v>
      </c>
      <c r="P1082" s="2488"/>
      <c r="Q1082" s="2488"/>
    </row>
    <row r="1083" spans="1:17" ht="14">
      <c r="A1083" s="2774"/>
      <c r="B1083" s="2483" t="s">
        <v>3273</v>
      </c>
      <c r="C1083" s="2483"/>
      <c r="D1083" s="2483"/>
      <c r="E1083" s="2483"/>
      <c r="F1083" s="2483"/>
      <c r="G1083" s="2488">
        <f>'Part VII-Threshold Criteria'!G240</f>
        <v>0</v>
      </c>
      <c r="H1083" s="2488"/>
      <c r="I1083" s="2488"/>
      <c r="J1083" s="2488"/>
      <c r="K1083" s="2488"/>
      <c r="L1083" s="2488"/>
      <c r="M1083" s="2488"/>
      <c r="N1083" s="2488"/>
      <c r="O1083" s="2488"/>
      <c r="P1083" s="2488"/>
      <c r="Q1083" s="2488"/>
    </row>
    <row r="1084" spans="1:17" ht="14">
      <c r="A1084" s="2774"/>
      <c r="B1084" s="2483" t="s">
        <v>3274</v>
      </c>
      <c r="C1084" s="2483"/>
      <c r="D1084" s="2483"/>
      <c r="E1084" s="2483"/>
      <c r="F1084" s="2483"/>
      <c r="G1084" s="2488">
        <f>'Part VII-Threshold Criteria'!G241</f>
        <v>0</v>
      </c>
      <c r="H1084" s="2488"/>
      <c r="I1084" s="2488"/>
      <c r="J1084" s="2488"/>
      <c r="K1084" s="2488"/>
      <c r="L1084" s="2488"/>
      <c r="M1084" s="2488"/>
      <c r="N1084" s="2488"/>
      <c r="O1084" s="2488"/>
      <c r="P1084" s="2488"/>
      <c r="Q1084" s="2488"/>
    </row>
    <row r="1085" spans="1:17" ht="14.5" customHeight="1">
      <c r="A1085" s="2774"/>
      <c r="B1085" s="2772" t="s">
        <v>5011</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4.5">
      <c r="A1086" s="2483"/>
      <c r="B1086" s="2776" t="s">
        <v>3158</v>
      </c>
      <c r="C1086" s="2483"/>
      <c r="D1086" s="2776"/>
      <c r="E1086" s="2776"/>
      <c r="F1086" s="2776"/>
      <c r="G1086" s="2776"/>
      <c r="H1086" s="2484"/>
      <c r="I1086" s="2485"/>
      <c r="J1086" s="2485"/>
      <c r="K1086" s="2485"/>
      <c r="L1086" s="2486"/>
      <c r="M1086" s="2486"/>
      <c r="N1086" s="2486"/>
      <c r="O1086" s="2486"/>
      <c r="P1086" s="2486"/>
      <c r="Q1086" s="2486"/>
    </row>
    <row r="1087" spans="1:17" ht="14">
      <c r="A1087" s="2483">
        <f>'Part VII-Threshold Criteria'!A244</f>
        <v>0</v>
      </c>
      <c r="B1087" s="2483"/>
      <c r="C1087" s="2483"/>
      <c r="D1087" s="2483"/>
      <c r="E1087" s="2483"/>
      <c r="F1087" s="2483"/>
      <c r="G1087" s="2483"/>
      <c r="H1087" s="2483"/>
      <c r="I1087" s="2483"/>
      <c r="J1087" s="2483"/>
      <c r="K1087" s="2483"/>
      <c r="L1087" s="2483"/>
      <c r="M1087" s="2483"/>
      <c r="N1087" s="2483"/>
      <c r="O1087" s="2483"/>
      <c r="P1087" s="2483"/>
      <c r="Q1087" s="2483"/>
    </row>
    <row r="1088" spans="1:17" ht="14.5">
      <c r="A1088" s="2483"/>
      <c r="B1088" s="2775" t="s">
        <v>1725</v>
      </c>
      <c r="C1088" s="2775"/>
      <c r="D1088" s="2484"/>
      <c r="E1088" s="2484"/>
      <c r="F1088" s="2484"/>
      <c r="G1088" s="2484"/>
      <c r="H1088" s="2484"/>
      <c r="I1088" s="2484"/>
      <c r="J1088" s="2484"/>
      <c r="K1088" s="2484"/>
      <c r="L1088" s="2484"/>
      <c r="M1088" s="2484"/>
      <c r="N1088" s="2484"/>
      <c r="O1088" s="2484"/>
      <c r="P1088" s="2484"/>
      <c r="Q1088" s="2484"/>
    </row>
    <row r="1089" spans="1:17" ht="14">
      <c r="A1089" s="2483"/>
      <c r="B1089" s="2483"/>
      <c r="C1089" s="2483"/>
      <c r="D1089" s="2483"/>
      <c r="E1089" s="2483"/>
      <c r="F1089" s="2483"/>
      <c r="G1089" s="2483"/>
      <c r="H1089" s="2483"/>
      <c r="I1089" s="2483"/>
      <c r="J1089" s="2483"/>
      <c r="K1089" s="2483"/>
      <c r="L1089" s="2483"/>
      <c r="M1089" s="2483"/>
      <c r="N1089" s="2483"/>
      <c r="O1089" s="2483"/>
      <c r="P1089" s="2483"/>
      <c r="Q1089" s="2483"/>
    </row>
    <row r="1090" spans="1:17" ht="14">
      <c r="A1090" s="2486"/>
      <c r="B1090" s="2485"/>
      <c r="C1090" s="2484"/>
      <c r="D1090" s="2484"/>
      <c r="E1090" s="2484"/>
      <c r="F1090" s="2484"/>
      <c r="G1090" s="2484"/>
      <c r="H1090" s="2484"/>
      <c r="I1090" s="2484"/>
      <c r="J1090" s="2484"/>
      <c r="K1090" s="2484"/>
      <c r="L1090" s="2484"/>
      <c r="M1090" s="2484"/>
      <c r="N1090" s="2483"/>
      <c r="O1090" s="2483"/>
      <c r="P1090" s="2483"/>
      <c r="Q1090" s="2486"/>
    </row>
    <row r="1091" spans="1:17" ht="14">
      <c r="A1091" s="2483"/>
      <c r="B1091" s="2485"/>
      <c r="C1091" s="2484"/>
      <c r="D1091" s="2484"/>
      <c r="E1091" s="2484"/>
      <c r="F1091" s="2484"/>
      <c r="G1091" s="2484"/>
      <c r="H1091" s="2484"/>
      <c r="I1091" s="2484"/>
      <c r="J1091" s="2484"/>
      <c r="K1091" s="2484"/>
      <c r="L1091" s="2484"/>
      <c r="M1091" s="2484"/>
      <c r="N1091" s="2483"/>
      <c r="O1091" s="2483"/>
      <c r="P1091" s="2483"/>
      <c r="Q1091" s="2486"/>
    </row>
    <row r="1092" spans="1:17" ht="14">
      <c r="A1092" s="2773" t="s">
        <v>3290</v>
      </c>
      <c r="B1092" s="2488" t="s">
        <v>2428</v>
      </c>
      <c r="C1092" s="2488"/>
      <c r="D1092" s="2488"/>
      <c r="E1092" s="2484"/>
      <c r="F1092" s="2483"/>
      <c r="G1092" s="2483" t="s">
        <v>654</v>
      </c>
      <c r="H1092" s="2484"/>
      <c r="I1092" s="2484"/>
      <c r="J1092" s="2484"/>
      <c r="K1092" s="2484"/>
      <c r="L1092" s="2484"/>
      <c r="M1092" s="2484"/>
      <c r="N1092" s="2483"/>
      <c r="O1092" s="2774" t="s">
        <v>1726</v>
      </c>
      <c r="P1092" s="2488"/>
      <c r="Q1092" s="2488"/>
    </row>
    <row r="1093" spans="1:17" ht="14">
      <c r="A1093" s="2774"/>
      <c r="B1093" s="2483" t="s">
        <v>2431</v>
      </c>
      <c r="C1093" s="2483"/>
      <c r="D1093" s="2483"/>
      <c r="E1093" s="2483"/>
      <c r="F1093" s="2483"/>
      <c r="G1093" s="2483"/>
      <c r="H1093" s="2483"/>
      <c r="I1093" s="2483"/>
      <c r="J1093" s="2483"/>
      <c r="K1093" s="2483"/>
      <c r="L1093" s="2483"/>
      <c r="M1093" s="2483"/>
      <c r="N1093" s="2483"/>
      <c r="O1093" s="2779"/>
      <c r="P1093" s="2488">
        <f>'Part VII-Threshold Criteria'!P250</f>
        <v>0</v>
      </c>
      <c r="Q1093" s="2488"/>
    </row>
    <row r="1094" spans="1:17" ht="14">
      <c r="A1094" s="2774"/>
      <c r="B1094" s="2483" t="s">
        <v>3059</v>
      </c>
      <c r="C1094" s="2483"/>
      <c r="D1094" s="2483"/>
      <c r="E1094" s="2483"/>
      <c r="F1094" s="2483"/>
      <c r="G1094" s="2483"/>
      <c r="H1094" s="2483"/>
      <c r="I1094" s="2483"/>
      <c r="J1094" s="2483"/>
      <c r="K1094" s="2483"/>
      <c r="L1094" s="2483"/>
      <c r="M1094" s="2483"/>
      <c r="N1094" s="2483"/>
      <c r="O1094" s="2779"/>
      <c r="P1094" s="2488">
        <f>'Part VII-Threshold Criteria'!P251</f>
        <v>0</v>
      </c>
      <c r="Q1094" s="2488"/>
    </row>
    <row r="1095" spans="1:17" ht="14">
      <c r="A1095" s="2774"/>
      <c r="B1095" s="2483" t="s">
        <v>689</v>
      </c>
      <c r="C1095" s="2483"/>
      <c r="D1095" s="2483">
        <f>'Part VII-Threshold Criteria'!D252</f>
        <v>0</v>
      </c>
      <c r="E1095" s="2483"/>
      <c r="F1095" s="2483"/>
      <c r="G1095" s="2483"/>
      <c r="H1095" s="2483"/>
      <c r="I1095" s="2483"/>
      <c r="J1095" s="2483"/>
      <c r="K1095" s="2483"/>
      <c r="L1095" s="2483"/>
      <c r="M1095" s="2483"/>
      <c r="N1095" s="2483"/>
      <c r="O1095" s="2483"/>
      <c r="P1095" s="2483"/>
      <c r="Q1095" s="2483"/>
    </row>
    <row r="1096" spans="1:17" ht="14.5">
      <c r="A1096" s="2483"/>
      <c r="B1096" s="2776" t="s">
        <v>3158</v>
      </c>
      <c r="C1096" s="2483"/>
      <c r="D1096" s="2776"/>
      <c r="E1096" s="2776"/>
      <c r="F1096" s="2776"/>
      <c r="G1096" s="2776"/>
      <c r="H1096" s="2484"/>
      <c r="I1096" s="2485"/>
      <c r="J1096" s="2485"/>
      <c r="K1096" s="2485"/>
      <c r="L1096" s="2486"/>
      <c r="M1096" s="2486"/>
      <c r="N1096" s="2486"/>
      <c r="O1096" s="2486"/>
      <c r="P1096" s="2486"/>
      <c r="Q1096" s="2486"/>
    </row>
    <row r="1097" spans="1:17" ht="14">
      <c r="A1097" s="2483">
        <f>'Part VII-Threshold Criteria'!A254</f>
        <v>0</v>
      </c>
      <c r="B1097" s="2483"/>
      <c r="C1097" s="2483"/>
      <c r="D1097" s="2483"/>
      <c r="E1097" s="2483"/>
      <c r="F1097" s="2483"/>
      <c r="G1097" s="2483"/>
      <c r="H1097" s="2483"/>
      <c r="I1097" s="2483"/>
      <c r="J1097" s="2483"/>
      <c r="K1097" s="2483"/>
      <c r="L1097" s="2483"/>
      <c r="M1097" s="2483"/>
      <c r="N1097" s="2483"/>
      <c r="O1097" s="2483"/>
      <c r="P1097" s="2483"/>
      <c r="Q1097" s="2483"/>
    </row>
    <row r="1098" spans="1:17" ht="14.5">
      <c r="A1098" s="2483"/>
      <c r="B1098" s="2775" t="s">
        <v>1725</v>
      </c>
      <c r="C1098" s="2775"/>
      <c r="D1098" s="2484"/>
      <c r="E1098" s="2484"/>
      <c r="F1098" s="2484"/>
      <c r="G1098" s="2484"/>
      <c r="H1098" s="2484"/>
      <c r="I1098" s="2484"/>
      <c r="J1098" s="2484"/>
      <c r="K1098" s="2484"/>
      <c r="L1098" s="2484"/>
      <c r="M1098" s="2484"/>
      <c r="N1098" s="2484"/>
      <c r="O1098" s="2484"/>
      <c r="P1098" s="2484"/>
      <c r="Q1098" s="2484"/>
    </row>
    <row r="1099" spans="1:17" ht="14">
      <c r="A1099" s="2483"/>
      <c r="B1099" s="2483"/>
      <c r="C1099" s="2483"/>
      <c r="D1099" s="2483"/>
      <c r="E1099" s="2483"/>
      <c r="F1099" s="2483"/>
      <c r="G1099" s="2483"/>
      <c r="H1099" s="2483"/>
      <c r="I1099" s="2483"/>
      <c r="J1099" s="2483"/>
      <c r="K1099" s="2483"/>
      <c r="L1099" s="2483"/>
      <c r="M1099" s="2483"/>
      <c r="N1099" s="2483"/>
      <c r="O1099" s="2483"/>
      <c r="P1099" s="2483"/>
      <c r="Q1099" s="2483"/>
    </row>
    <row r="1100" spans="1:17" ht="14">
      <c r="A1100" s="2486"/>
      <c r="B1100" s="2485"/>
      <c r="C1100" s="2484"/>
      <c r="D1100" s="2484"/>
      <c r="E1100" s="2484"/>
      <c r="F1100" s="2484"/>
      <c r="G1100" s="2484"/>
      <c r="H1100" s="2484"/>
      <c r="I1100" s="2484"/>
      <c r="J1100" s="2484"/>
      <c r="K1100" s="2484"/>
      <c r="L1100" s="2484"/>
      <c r="M1100" s="2484"/>
      <c r="N1100" s="2484"/>
      <c r="O1100" s="2484"/>
      <c r="P1100" s="2484"/>
      <c r="Q1100" s="2486"/>
    </row>
    <row r="1101" spans="1:17" ht="14">
      <c r="A1101" s="2483"/>
      <c r="B1101" s="2485"/>
      <c r="C1101" s="2484"/>
      <c r="D1101" s="2484"/>
      <c r="E1101" s="2484"/>
      <c r="F1101" s="2484"/>
      <c r="G1101" s="2484"/>
      <c r="H1101" s="2484"/>
      <c r="I1101" s="2484"/>
      <c r="J1101" s="2484"/>
      <c r="K1101" s="2484"/>
      <c r="L1101" s="2484"/>
      <c r="M1101" s="2484"/>
      <c r="N1101" s="2484"/>
      <c r="O1101" s="2484"/>
      <c r="P1101" s="2484"/>
      <c r="Q1101" s="2486"/>
    </row>
    <row r="1102" spans="1:17" ht="14">
      <c r="A1102" s="2773" t="s">
        <v>3291</v>
      </c>
      <c r="B1102" s="2488" t="s">
        <v>3818</v>
      </c>
      <c r="C1102" s="2488"/>
      <c r="D1102" s="2488"/>
      <c r="E1102" s="2488"/>
      <c r="F1102" s="2488"/>
      <c r="G1102" s="2488"/>
      <c r="H1102" s="2484"/>
      <c r="I1102" s="2484"/>
      <c r="J1102" s="2484"/>
      <c r="K1102" s="2484"/>
      <c r="L1102" s="2484"/>
      <c r="M1102" s="2484"/>
      <c r="N1102" s="2483"/>
      <c r="O1102" s="2774" t="s">
        <v>1726</v>
      </c>
      <c r="P1102" s="2488"/>
      <c r="Q1102" s="2488"/>
    </row>
    <row r="1103" spans="1:17" ht="14">
      <c r="A1103" s="2483"/>
      <c r="B1103" s="2483" t="s">
        <v>4152</v>
      </c>
      <c r="C1103" s="2483"/>
      <c r="D1103" s="2483"/>
      <c r="E1103" s="2483"/>
      <c r="F1103" s="2483"/>
      <c r="G1103" s="2483"/>
      <c r="H1103" s="2483"/>
      <c r="I1103" s="2483"/>
      <c r="J1103" s="2483"/>
      <c r="K1103" s="2483"/>
      <c r="L1103" s="2483"/>
      <c r="M1103" s="2483"/>
      <c r="N1103" s="2483"/>
      <c r="O1103" s="2779"/>
      <c r="P1103" s="2488">
        <f>'Part VII-Threshold Criteria'!P260</f>
        <v>0</v>
      </c>
      <c r="Q1103" s="2488"/>
    </row>
    <row r="1104" spans="1:17" ht="14">
      <c r="A1104" s="2774"/>
      <c r="B1104" s="2483" t="s">
        <v>700</v>
      </c>
      <c r="C1104" s="2483"/>
      <c r="D1104" s="2483"/>
      <c r="E1104" s="2483"/>
      <c r="F1104" s="2483"/>
      <c r="G1104" s="2483"/>
      <c r="H1104" s="2483"/>
      <c r="I1104" s="2483"/>
      <c r="J1104" s="2483"/>
      <c r="K1104" s="2483"/>
      <c r="L1104" s="2483"/>
      <c r="M1104" s="2483"/>
      <c r="N1104" s="2483"/>
      <c r="O1104" s="2483"/>
      <c r="P1104" s="2488">
        <f>'Part VII-Threshold Criteria'!P261</f>
        <v>0</v>
      </c>
      <c r="Q1104" s="2488"/>
    </row>
    <row r="1105" spans="1:17" ht="14">
      <c r="A1105" s="2483"/>
      <c r="B1105" s="2483" t="s">
        <v>4820</v>
      </c>
      <c r="C1105" s="2483"/>
      <c r="D1105" s="2483"/>
      <c r="E1105" s="2483"/>
      <c r="F1105" s="2483"/>
      <c r="G1105" s="2483"/>
      <c r="H1105" s="2483"/>
      <c r="I1105" s="2483"/>
      <c r="J1105" s="2483"/>
      <c r="K1105" s="2483"/>
      <c r="L1105" s="2483"/>
      <c r="M1105" s="2483"/>
      <c r="N1105" s="2483"/>
      <c r="O1105" s="2483"/>
      <c r="P1105" s="2488">
        <f>'Part VII-Threshold Criteria'!P262</f>
        <v>0</v>
      </c>
      <c r="Q1105" s="2488"/>
    </row>
    <row r="1106" spans="1:17" ht="14.15" customHeight="1">
      <c r="A1106" s="2774"/>
      <c r="B1106" s="2483" t="s">
        <v>4819</v>
      </c>
      <c r="C1106" s="2483"/>
      <c r="D1106" s="2483"/>
      <c r="E1106" s="2483"/>
      <c r="F1106" s="2483"/>
      <c r="G1106" s="2483"/>
      <c r="H1106" s="2483"/>
      <c r="I1106" s="2483"/>
      <c r="J1106" s="2483"/>
      <c r="K1106" s="2483"/>
      <c r="L1106" s="2483"/>
      <c r="M1106" s="2483"/>
      <c r="N1106" s="2483"/>
      <c r="O1106" s="2483"/>
      <c r="P1106" s="2488">
        <f>'Part VII-Threshold Criteria'!P263</f>
        <v>0</v>
      </c>
      <c r="Q1106" s="2488"/>
    </row>
    <row r="1107" spans="1:17" ht="14.5">
      <c r="A1107" s="2483"/>
      <c r="B1107" s="2776" t="s">
        <v>3158</v>
      </c>
      <c r="C1107" s="2483"/>
      <c r="D1107" s="2776"/>
      <c r="E1107" s="2776"/>
      <c r="F1107" s="2776"/>
      <c r="G1107" s="2776"/>
      <c r="H1107" s="2484"/>
      <c r="I1107" s="2485"/>
      <c r="J1107" s="2485"/>
      <c r="K1107" s="2485"/>
      <c r="L1107" s="2483"/>
      <c r="M1107" s="2483"/>
      <c r="N1107" s="2483"/>
      <c r="O1107" s="2483"/>
      <c r="P1107" s="2483"/>
      <c r="Q1107" s="2483"/>
    </row>
    <row r="1108" spans="1:17" ht="14">
      <c r="A1108" s="2483">
        <f>'Part VII-Threshold Criteria'!A265</f>
        <v>0</v>
      </c>
      <c r="B1108" s="2483"/>
      <c r="C1108" s="2483"/>
      <c r="D1108" s="2483"/>
      <c r="E1108" s="2483"/>
      <c r="F1108" s="2483"/>
      <c r="G1108" s="2483"/>
      <c r="H1108" s="2483"/>
      <c r="I1108" s="2483"/>
      <c r="J1108" s="2483"/>
      <c r="K1108" s="2483"/>
      <c r="L1108" s="2483"/>
      <c r="M1108" s="2483"/>
      <c r="N1108" s="2483"/>
      <c r="O1108" s="2483"/>
      <c r="P1108" s="2483"/>
      <c r="Q1108" s="2483"/>
    </row>
    <row r="1109" spans="1:17" ht="14.5">
      <c r="A1109" s="2483"/>
      <c r="B1109" s="2775" t="s">
        <v>1725</v>
      </c>
      <c r="C1109" s="2775"/>
      <c r="D1109" s="2484"/>
      <c r="E1109" s="2484"/>
      <c r="F1109" s="2484"/>
      <c r="G1109" s="2484"/>
      <c r="H1109" s="2484"/>
      <c r="I1109" s="2484"/>
      <c r="J1109" s="2484"/>
      <c r="K1109" s="2484"/>
      <c r="L1109" s="2484"/>
      <c r="M1109" s="2484"/>
      <c r="N1109" s="2484"/>
      <c r="O1109" s="2484"/>
      <c r="P1109" s="2484"/>
      <c r="Q1109" s="2484"/>
    </row>
    <row r="1110" spans="1:17" ht="14">
      <c r="A1110" s="2483"/>
      <c r="B1110" s="2483"/>
      <c r="C1110" s="2483"/>
      <c r="D1110" s="2483"/>
      <c r="E1110" s="2483"/>
      <c r="F1110" s="2483"/>
      <c r="G1110" s="2483"/>
      <c r="H1110" s="2483"/>
      <c r="I1110" s="2483"/>
      <c r="J1110" s="2483"/>
      <c r="K1110" s="2483"/>
      <c r="L1110" s="2483"/>
      <c r="M1110" s="2483"/>
      <c r="N1110" s="2483"/>
      <c r="O1110" s="2483"/>
      <c r="P1110" s="2483"/>
      <c r="Q1110" s="2483"/>
    </row>
    <row r="1111" spans="1:17" ht="14">
      <c r="A1111" s="2486"/>
      <c r="B1111" s="2485"/>
      <c r="C1111" s="2484"/>
      <c r="D1111" s="2484"/>
      <c r="E1111" s="2484"/>
      <c r="F1111" s="2484"/>
      <c r="G1111" s="2484"/>
      <c r="H1111" s="2484"/>
      <c r="I1111" s="2484"/>
      <c r="J1111" s="2484"/>
      <c r="K1111" s="2484"/>
      <c r="L1111" s="2484"/>
      <c r="M1111" s="2484"/>
      <c r="N1111" s="2483"/>
      <c r="O1111" s="2483"/>
      <c r="P1111" s="2483"/>
      <c r="Q1111" s="2486"/>
    </row>
    <row r="1112" spans="1:17" ht="14">
      <c r="A1112" s="2483"/>
      <c r="B1112" s="2485"/>
      <c r="C1112" s="2484"/>
      <c r="D1112" s="2484"/>
      <c r="E1112" s="2484"/>
      <c r="F1112" s="2484"/>
      <c r="G1112" s="2484"/>
      <c r="H1112" s="2484"/>
      <c r="I1112" s="2484"/>
      <c r="J1112" s="2484"/>
      <c r="K1112" s="2484"/>
      <c r="L1112" s="2484"/>
      <c r="M1112" s="2484"/>
      <c r="N1112" s="2483"/>
      <c r="O1112" s="2483"/>
      <c r="P1112" s="2483"/>
      <c r="Q1112" s="2486"/>
    </row>
    <row r="1113" spans="1:17" ht="14">
      <c r="A1113" s="2773" t="s">
        <v>3292</v>
      </c>
      <c r="B1113" s="2488" t="s">
        <v>2502</v>
      </c>
      <c r="C1113" s="2488"/>
      <c r="D1113" s="2488"/>
      <c r="E1113" s="2484"/>
      <c r="F1113" s="2484"/>
      <c r="G1113" s="2484"/>
      <c r="H1113" s="2484"/>
      <c r="I1113" s="2483"/>
      <c r="J1113" s="2483"/>
      <c r="K1113" s="2483"/>
      <c r="L1113" s="2483"/>
      <c r="M1113" s="2483"/>
      <c r="N1113" s="2483"/>
      <c r="O1113" s="2774" t="s">
        <v>1726</v>
      </c>
      <c r="P1113" s="2488"/>
      <c r="Q1113" s="2488"/>
    </row>
    <row r="1114" spans="1:17" ht="14.15" customHeight="1">
      <c r="A1114" s="2483"/>
      <c r="B1114" s="2483" t="s">
        <v>5022</v>
      </c>
      <c r="C1114" s="2483"/>
      <c r="D1114" s="2483"/>
      <c r="E1114" s="2483"/>
      <c r="F1114" s="2483"/>
      <c r="G1114" s="2483"/>
      <c r="H1114" s="2483"/>
      <c r="I1114" s="2483"/>
      <c r="J1114" s="2483"/>
      <c r="K1114" s="2483"/>
      <c r="L1114" s="2483"/>
      <c r="M1114" s="2483"/>
      <c r="N1114" s="2483"/>
      <c r="O1114" s="2488"/>
      <c r="P1114" s="2488">
        <f>'Part VII-Threshold Criteria'!P271</f>
        <v>0</v>
      </c>
      <c r="Q1114" s="2488"/>
    </row>
    <row r="1115" spans="1:17" ht="14.15" customHeight="1">
      <c r="A1115" s="2515"/>
      <c r="B1115" s="2772" t="s">
        <v>4696</v>
      </c>
      <c r="C1115" s="2772"/>
      <c r="D1115" s="2772"/>
      <c r="E1115" s="2772"/>
      <c r="F1115" s="2772"/>
      <c r="G1115" s="2772"/>
      <c r="H1115" s="2772"/>
      <c r="I1115" s="2772"/>
      <c r="J1115" s="2772"/>
      <c r="K1115" s="2772"/>
      <c r="L1115" s="2772"/>
      <c r="M1115" s="2772"/>
      <c r="N1115" s="2772"/>
      <c r="O1115" s="2772"/>
      <c r="P1115" s="2488">
        <f>'Part VII-Threshold Criteria'!P272</f>
        <v>0</v>
      </c>
      <c r="Q1115" s="2488"/>
    </row>
    <row r="1116" spans="1:17" ht="14.5">
      <c r="A1116" s="2483"/>
      <c r="B1116" s="2776" t="s">
        <v>3158</v>
      </c>
      <c r="C1116" s="2483"/>
      <c r="D1116" s="2776"/>
      <c r="E1116" s="2776"/>
      <c r="F1116" s="2776"/>
      <c r="G1116" s="2776"/>
      <c r="H1116" s="2484"/>
      <c r="I1116" s="2485"/>
      <c r="J1116" s="2485"/>
      <c r="K1116" s="2485"/>
      <c r="L1116" s="2486"/>
      <c r="M1116" s="2486"/>
      <c r="N1116" s="2486"/>
      <c r="O1116" s="2486"/>
      <c r="P1116" s="2486"/>
      <c r="Q1116" s="2486"/>
    </row>
    <row r="1117" spans="1:17" ht="14">
      <c r="A1117" s="2483">
        <f>'Part VII-Threshold Criteria'!A274</f>
        <v>0</v>
      </c>
      <c r="B1117" s="2483"/>
      <c r="C1117" s="2483"/>
      <c r="D1117" s="2483"/>
      <c r="E1117" s="2483"/>
      <c r="F1117" s="2483"/>
      <c r="G1117" s="2483"/>
      <c r="H1117" s="2483"/>
      <c r="I1117" s="2483"/>
      <c r="J1117" s="2483"/>
      <c r="K1117" s="2483"/>
      <c r="L1117" s="2483"/>
      <c r="M1117" s="2483"/>
      <c r="N1117" s="2483"/>
      <c r="O1117" s="2483"/>
      <c r="P1117" s="2483"/>
      <c r="Q1117" s="2483"/>
    </row>
    <row r="1118" spans="1:17" ht="14.5">
      <c r="A1118" s="2483"/>
      <c r="B1118" s="2775" t="s">
        <v>1725</v>
      </c>
      <c r="C1118" s="2775"/>
      <c r="D1118" s="2484"/>
      <c r="E1118" s="2484"/>
      <c r="F1118" s="2484"/>
      <c r="G1118" s="2484"/>
      <c r="H1118" s="2484"/>
      <c r="I1118" s="2484"/>
      <c r="J1118" s="2484"/>
      <c r="K1118" s="2484"/>
      <c r="L1118" s="2484"/>
      <c r="M1118" s="2484"/>
      <c r="N1118" s="2484"/>
      <c r="O1118" s="2484"/>
      <c r="P1118" s="2484"/>
      <c r="Q1118" s="2484"/>
    </row>
    <row r="1119" spans="1:17" ht="14">
      <c r="A1119" s="2483"/>
      <c r="B1119" s="2483"/>
      <c r="C1119" s="2483"/>
      <c r="D1119" s="2483"/>
      <c r="E1119" s="2483"/>
      <c r="F1119" s="2483"/>
      <c r="G1119" s="2483"/>
      <c r="H1119" s="2483"/>
      <c r="I1119" s="2483"/>
      <c r="J1119" s="2483"/>
      <c r="K1119" s="2483"/>
      <c r="L1119" s="2483"/>
      <c r="M1119" s="2483"/>
      <c r="N1119" s="2483"/>
      <c r="O1119" s="2483"/>
      <c r="P1119" s="2483"/>
      <c r="Q1119" s="2483"/>
    </row>
    <row r="1120" spans="1:17" ht="14">
      <c r="A1120" s="2486"/>
      <c r="B1120" s="2485"/>
      <c r="C1120" s="2484"/>
      <c r="D1120" s="2484"/>
      <c r="E1120" s="2484"/>
      <c r="F1120" s="2484"/>
      <c r="G1120" s="2484"/>
      <c r="H1120" s="2484"/>
      <c r="I1120" s="2484"/>
      <c r="J1120" s="2484"/>
      <c r="K1120" s="2484"/>
      <c r="L1120" s="2484"/>
      <c r="M1120" s="2484"/>
      <c r="N1120" s="2483"/>
      <c r="O1120" s="2483"/>
      <c r="P1120" s="2483"/>
      <c r="Q1120" s="2486"/>
    </row>
    <row r="1121" spans="1:17" ht="14">
      <c r="A1121" s="2486"/>
      <c r="B1121" s="2485"/>
      <c r="C1121" s="2484"/>
      <c r="D1121" s="2484"/>
      <c r="E1121" s="2484"/>
      <c r="F1121" s="2484"/>
      <c r="G1121" s="2484"/>
      <c r="H1121" s="2484"/>
      <c r="I1121" s="2484"/>
      <c r="J1121" s="2484"/>
      <c r="K1121" s="2484"/>
      <c r="L1121" s="2484"/>
      <c r="M1121" s="2484"/>
      <c r="N1121" s="2483"/>
      <c r="O1121" s="2483"/>
      <c r="P1121" s="2483"/>
      <c r="Q1121" s="2486"/>
    </row>
    <row r="1122" spans="1:17" ht="14">
      <c r="A1122" s="2773" t="s">
        <v>3293</v>
      </c>
      <c r="B1122" s="2773" t="s">
        <v>4821</v>
      </c>
      <c r="C1122" s="2484"/>
      <c r="D1122" s="2484"/>
      <c r="E1122" s="2484"/>
      <c r="F1122" s="2484"/>
      <c r="G1122" s="2484"/>
      <c r="H1122" s="2484"/>
      <c r="I1122" s="2484"/>
      <c r="J1122" s="2484"/>
      <c r="K1122" s="2484"/>
      <c r="L1122" s="2484"/>
      <c r="M1122" s="2484"/>
      <c r="N1122" s="2483"/>
      <c r="O1122" s="2774" t="s">
        <v>1726</v>
      </c>
      <c r="P1122" s="2488"/>
      <c r="Q1122" s="2488"/>
    </row>
    <row r="1123" spans="1:17" ht="14">
      <c r="A1123" s="2515" t="s">
        <v>1836</v>
      </c>
      <c r="B1123" s="2773" t="s">
        <v>4822</v>
      </c>
      <c r="C1123" s="2773"/>
      <c r="D1123" s="2484"/>
      <c r="E1123" s="2484"/>
      <c r="F1123" s="2484"/>
      <c r="G1123" s="2484"/>
      <c r="H1123" s="2484"/>
      <c r="I1123" s="2484"/>
      <c r="J1123" s="2484"/>
      <c r="K1123" s="2484"/>
      <c r="L1123" s="2484"/>
      <c r="M1123" s="2484"/>
      <c r="N1123" s="2483"/>
      <c r="O1123" s="2483"/>
      <c r="P1123" s="2483"/>
      <c r="Q1123" s="2486"/>
    </row>
    <row r="1124" spans="1:17" ht="14.15" customHeight="1">
      <c r="A1124" s="2484"/>
      <c r="B1124" s="2772" t="s">
        <v>5012</v>
      </c>
      <c r="C1124" s="2772"/>
      <c r="D1124" s="2772"/>
      <c r="E1124" s="2772"/>
      <c r="F1124" s="2772"/>
      <c r="G1124" s="2772"/>
      <c r="H1124" s="2772"/>
      <c r="I1124" s="2772"/>
      <c r="J1124" s="2772"/>
      <c r="K1124" s="2772"/>
      <c r="L1124" s="2772"/>
      <c r="M1124" s="2772"/>
      <c r="N1124" s="2772"/>
      <c r="O1124" s="2772"/>
      <c r="P1124" s="2782">
        <f>'Part VII-Threshold Criteria'!P281</f>
        <v>0</v>
      </c>
      <c r="Q1124" s="2782"/>
    </row>
    <row r="1125" spans="1:17" ht="14">
      <c r="A1125" s="2515" t="s">
        <v>1838</v>
      </c>
      <c r="B1125" s="2773" t="s">
        <v>4823</v>
      </c>
      <c r="C1125" s="2483"/>
      <c r="D1125" s="2484"/>
      <c r="E1125" s="2484"/>
      <c r="F1125" s="2484"/>
      <c r="G1125" s="2484"/>
      <c r="H1125" s="2484"/>
      <c r="I1125" s="2484"/>
      <c r="J1125" s="2484"/>
      <c r="K1125" s="2484"/>
      <c r="L1125" s="2484"/>
      <c r="M1125" s="2484"/>
      <c r="N1125" s="2483"/>
      <c r="O1125" s="2483"/>
      <c r="P1125" s="2483"/>
      <c r="Q1125" s="2486"/>
    </row>
    <row r="1126" spans="1:17" ht="14.15" customHeight="1">
      <c r="A1126" s="2484"/>
      <c r="B1126" s="2772" t="s">
        <v>5019</v>
      </c>
      <c r="C1126" s="2772"/>
      <c r="D1126" s="2772"/>
      <c r="E1126" s="2772"/>
      <c r="F1126" s="2772"/>
      <c r="G1126" s="2772"/>
      <c r="H1126" s="2772"/>
      <c r="I1126" s="2772"/>
      <c r="J1126" s="2772"/>
      <c r="K1126" s="2772"/>
      <c r="L1126" s="2772"/>
      <c r="M1126" s="2772"/>
      <c r="N1126" s="2772"/>
      <c r="O1126" s="2772"/>
      <c r="P1126" s="2782">
        <f>'Part VII-Threshold Criteria'!P283</f>
        <v>0</v>
      </c>
      <c r="Q1126" s="2782"/>
    </row>
    <row r="1127" spans="1:17" ht="14.5">
      <c r="A1127" s="2773"/>
      <c r="B1127" s="2776" t="s">
        <v>3158</v>
      </c>
      <c r="C1127" s="2483"/>
      <c r="D1127" s="2776"/>
      <c r="E1127" s="2776"/>
      <c r="F1127" s="2776"/>
      <c r="G1127" s="2776"/>
      <c r="H1127" s="2484"/>
      <c r="I1127" s="2485"/>
      <c r="J1127" s="2485"/>
      <c r="K1127" s="2485"/>
      <c r="L1127" s="2486"/>
      <c r="M1127" s="2486"/>
      <c r="N1127" s="2486"/>
      <c r="O1127" s="2486"/>
      <c r="P1127" s="2486"/>
      <c r="Q1127" s="2486"/>
    </row>
    <row r="1128" spans="1:17" ht="14">
      <c r="A1128" s="2483">
        <f>'Part VII-Threshold Criteria'!A285</f>
        <v>0</v>
      </c>
      <c r="B1128" s="2483"/>
      <c r="C1128" s="2483"/>
      <c r="D1128" s="2483"/>
      <c r="E1128" s="2483"/>
      <c r="F1128" s="2483"/>
      <c r="G1128" s="2483"/>
      <c r="H1128" s="2483"/>
      <c r="I1128" s="2483"/>
      <c r="J1128" s="2483"/>
      <c r="K1128" s="2483"/>
      <c r="L1128" s="2483"/>
      <c r="M1128" s="2483"/>
      <c r="N1128" s="2483"/>
      <c r="O1128" s="2483"/>
      <c r="P1128" s="2483"/>
      <c r="Q1128" s="2483"/>
    </row>
    <row r="1129" spans="1:17" ht="14.5">
      <c r="A1129" s="2483"/>
      <c r="B1129" s="2775" t="s">
        <v>1725</v>
      </c>
      <c r="C1129" s="2775"/>
      <c r="D1129" s="2484"/>
      <c r="E1129" s="2484"/>
      <c r="F1129" s="2484"/>
      <c r="G1129" s="2484"/>
      <c r="H1129" s="2484"/>
      <c r="I1129" s="2484"/>
      <c r="J1129" s="2484"/>
      <c r="K1129" s="2484"/>
      <c r="L1129" s="2484"/>
      <c r="M1129" s="2484"/>
      <c r="N1129" s="2484"/>
      <c r="O1129" s="2484"/>
      <c r="P1129" s="2484"/>
      <c r="Q1129" s="2484"/>
    </row>
    <row r="1130" spans="1:17" ht="14">
      <c r="A1130" s="2483"/>
      <c r="B1130" s="2483"/>
      <c r="C1130" s="2483"/>
      <c r="D1130" s="2483"/>
      <c r="E1130" s="2483"/>
      <c r="F1130" s="2483"/>
      <c r="G1130" s="2483"/>
      <c r="H1130" s="2483"/>
      <c r="I1130" s="2483"/>
      <c r="J1130" s="2483"/>
      <c r="K1130" s="2483"/>
      <c r="L1130" s="2483"/>
      <c r="M1130" s="2483"/>
      <c r="N1130" s="2483"/>
      <c r="O1130" s="2483"/>
      <c r="P1130" s="2483"/>
      <c r="Q1130" s="2483"/>
    </row>
    <row r="1131" spans="1:17" ht="14">
      <c r="A1131" s="2773"/>
      <c r="B1131" s="2485"/>
      <c r="C1131" s="2484"/>
      <c r="D1131" s="2484"/>
      <c r="E1131" s="2484"/>
      <c r="F1131" s="2484"/>
      <c r="G1131" s="2484"/>
      <c r="H1131" s="2484"/>
      <c r="I1131" s="2484"/>
      <c r="J1131" s="2484"/>
      <c r="K1131" s="2484"/>
      <c r="L1131" s="2484"/>
      <c r="M1131" s="2484"/>
      <c r="N1131" s="2483"/>
      <c r="O1131" s="2483"/>
      <c r="P1131" s="2483"/>
      <c r="Q1131" s="2486"/>
    </row>
    <row r="1132" spans="1:17" ht="14">
      <c r="A1132" s="2773"/>
      <c r="B1132" s="2485"/>
      <c r="C1132" s="2484"/>
      <c r="D1132" s="2484"/>
      <c r="E1132" s="2484"/>
      <c r="F1132" s="2484"/>
      <c r="G1132" s="2484"/>
      <c r="H1132" s="2484"/>
      <c r="I1132" s="2484"/>
      <c r="J1132" s="2484"/>
      <c r="K1132" s="2484"/>
      <c r="L1132" s="2484"/>
      <c r="M1132" s="2484"/>
      <c r="N1132" s="2483"/>
      <c r="O1132" s="2483"/>
      <c r="P1132" s="2483"/>
      <c r="Q1132" s="2486"/>
    </row>
    <row r="1133" spans="1:17" ht="14">
      <c r="A1133" s="2773" t="s">
        <v>3294</v>
      </c>
      <c r="B1133" s="2773" t="s">
        <v>4824</v>
      </c>
      <c r="C1133" s="2484"/>
      <c r="D1133" s="2484"/>
      <c r="E1133" s="2484"/>
      <c r="F1133" s="2484"/>
      <c r="G1133" s="2484"/>
      <c r="H1133" s="2484"/>
      <c r="I1133" s="2484"/>
      <c r="J1133" s="2484"/>
      <c r="K1133" s="2484"/>
      <c r="L1133" s="2484"/>
      <c r="M1133" s="2484"/>
      <c r="N1133" s="2483"/>
      <c r="O1133" s="2774" t="s">
        <v>1726</v>
      </c>
      <c r="P1133" s="2488"/>
      <c r="Q1133" s="2488"/>
    </row>
    <row r="1134" spans="1:17" ht="14.15" customHeight="1">
      <c r="A1134" s="2773"/>
      <c r="B1134" s="2483" t="s">
        <v>5013</v>
      </c>
      <c r="C1134" s="2483"/>
      <c r="D1134" s="2483"/>
      <c r="E1134" s="2483"/>
      <c r="F1134" s="2483"/>
      <c r="G1134" s="2483"/>
      <c r="H1134" s="2483"/>
      <c r="I1134" s="2483"/>
      <c r="J1134" s="2483"/>
      <c r="K1134" s="2483"/>
      <c r="L1134" s="2483"/>
      <c r="M1134" s="2483"/>
      <c r="N1134" s="2483"/>
      <c r="O1134" s="2483"/>
      <c r="P1134" s="2488">
        <f>'Part VII-Threshold Criteria'!P291</f>
        <v>0</v>
      </c>
      <c r="Q1134" s="2488"/>
    </row>
    <row r="1135" spans="1:17" ht="14.5">
      <c r="A1135" s="2773"/>
      <c r="B1135" s="2776" t="s">
        <v>3158</v>
      </c>
      <c r="C1135" s="2483"/>
      <c r="D1135" s="2776"/>
      <c r="E1135" s="2776"/>
      <c r="F1135" s="2776"/>
      <c r="G1135" s="2776"/>
      <c r="H1135" s="2484"/>
      <c r="I1135" s="2485"/>
      <c r="J1135" s="2485"/>
      <c r="K1135" s="2485"/>
      <c r="L1135" s="2486"/>
      <c r="M1135" s="2486"/>
      <c r="N1135" s="2486"/>
      <c r="O1135" s="2486"/>
      <c r="P1135" s="2486"/>
      <c r="Q1135" s="2486"/>
    </row>
    <row r="1136" spans="1:17" ht="14">
      <c r="A1136" s="2483">
        <f>'Part VII-Threshold Criteria'!A293</f>
        <v>0</v>
      </c>
      <c r="B1136" s="2483"/>
      <c r="C1136" s="2483"/>
      <c r="D1136" s="2483"/>
      <c r="E1136" s="2483"/>
      <c r="F1136" s="2483"/>
      <c r="G1136" s="2483"/>
      <c r="H1136" s="2483"/>
      <c r="I1136" s="2483"/>
      <c r="J1136" s="2483"/>
      <c r="K1136" s="2483"/>
      <c r="L1136" s="2483"/>
      <c r="M1136" s="2483"/>
      <c r="N1136" s="2483"/>
      <c r="O1136" s="2483"/>
      <c r="P1136" s="2483"/>
      <c r="Q1136" s="2483"/>
    </row>
    <row r="1137" spans="1:17" ht="14.5">
      <c r="A1137" s="2483"/>
      <c r="B1137" s="2775" t="s">
        <v>1725</v>
      </c>
      <c r="C1137" s="2775"/>
      <c r="D1137" s="2484"/>
      <c r="E1137" s="2484"/>
      <c r="F1137" s="2484"/>
      <c r="G1137" s="2484"/>
      <c r="H1137" s="2484"/>
      <c r="I1137" s="2484"/>
      <c r="J1137" s="2484"/>
      <c r="K1137" s="2484"/>
      <c r="L1137" s="2484"/>
      <c r="M1137" s="2484"/>
      <c r="N1137" s="2484"/>
      <c r="O1137" s="2484"/>
      <c r="P1137" s="2484"/>
      <c r="Q1137" s="2484"/>
    </row>
    <row r="1138" spans="1:17" ht="14">
      <c r="A1138" s="2483"/>
      <c r="B1138" s="2483"/>
      <c r="C1138" s="2483"/>
      <c r="D1138" s="2483"/>
      <c r="E1138" s="2483"/>
      <c r="F1138" s="2483"/>
      <c r="G1138" s="2483"/>
      <c r="H1138" s="2483"/>
      <c r="I1138" s="2483"/>
      <c r="J1138" s="2483"/>
      <c r="K1138" s="2483"/>
      <c r="L1138" s="2483"/>
      <c r="M1138" s="2483"/>
      <c r="N1138" s="2483"/>
      <c r="O1138" s="2483"/>
      <c r="P1138" s="2483"/>
      <c r="Q1138" s="2483"/>
    </row>
    <row r="1139" spans="1:17" ht="14">
      <c r="A1139" s="2773"/>
      <c r="B1139" s="2485"/>
      <c r="C1139" s="2484"/>
      <c r="D1139" s="2484"/>
      <c r="E1139" s="2484"/>
      <c r="F1139" s="2484"/>
      <c r="G1139" s="2484"/>
      <c r="H1139" s="2484"/>
      <c r="I1139" s="2484"/>
      <c r="J1139" s="2484"/>
      <c r="K1139" s="2484"/>
      <c r="L1139" s="2484"/>
      <c r="M1139" s="2484"/>
      <c r="N1139" s="2483"/>
      <c r="O1139" s="2483"/>
      <c r="P1139" s="2483"/>
      <c r="Q1139" s="2486"/>
    </row>
    <row r="1140" spans="1:17" ht="14">
      <c r="A1140" s="2773"/>
      <c r="B1140" s="2485"/>
      <c r="C1140" s="2484"/>
      <c r="D1140" s="2484"/>
      <c r="E1140" s="2484"/>
      <c r="F1140" s="2484"/>
      <c r="G1140" s="2484"/>
      <c r="H1140" s="2484"/>
      <c r="I1140" s="2484"/>
      <c r="J1140" s="2484"/>
      <c r="K1140" s="2484"/>
      <c r="L1140" s="2484"/>
      <c r="M1140" s="2484"/>
      <c r="N1140" s="2483"/>
      <c r="O1140" s="2483"/>
      <c r="P1140" s="2483"/>
      <c r="Q1140" s="2486"/>
    </row>
    <row r="1141" spans="1:17" ht="14">
      <c r="A1141" s="2773" t="s">
        <v>3295</v>
      </c>
      <c r="B1141" s="2488" t="s">
        <v>4826</v>
      </c>
      <c r="C1141" s="2483"/>
      <c r="D1141" s="2488"/>
      <c r="E1141" s="2484"/>
      <c r="F1141" s="2484"/>
      <c r="G1141" s="2484"/>
      <c r="H1141" s="2484"/>
      <c r="I1141" s="2483"/>
      <c r="J1141" s="2484"/>
      <c r="K1141" s="2484"/>
      <c r="L1141" s="2484"/>
      <c r="M1141" s="2484"/>
      <c r="N1141" s="2483"/>
      <c r="O1141" s="2774" t="s">
        <v>1726</v>
      </c>
      <c r="P1141" s="2488"/>
      <c r="Q1141" s="2488"/>
    </row>
    <row r="1142" spans="1:17" ht="14.15" customHeight="1">
      <c r="A1142" s="2773"/>
      <c r="B1142" s="2483" t="s">
        <v>5023</v>
      </c>
      <c r="C1142" s="2483"/>
      <c r="D1142" s="2483"/>
      <c r="E1142" s="2483"/>
      <c r="F1142" s="2483"/>
      <c r="G1142" s="2483"/>
      <c r="H1142" s="2483"/>
      <c r="I1142" s="2483"/>
      <c r="J1142" s="2483"/>
      <c r="K1142" s="2483"/>
      <c r="L1142" s="2483"/>
      <c r="M1142" s="2483"/>
      <c r="N1142" s="2483"/>
      <c r="O1142" s="2483"/>
      <c r="P1142" s="2488">
        <f>'Part VII-Threshold Criteria'!P299</f>
        <v>0</v>
      </c>
      <c r="Q1142" s="2488"/>
    </row>
    <row r="1143" spans="1:17" ht="14.15" customHeight="1">
      <c r="A1143" s="2773"/>
      <c r="B1143" s="2772" t="s">
        <v>4827</v>
      </c>
      <c r="C1143" s="2772"/>
      <c r="D1143" s="2772"/>
      <c r="E1143" s="2772"/>
      <c r="F1143" s="2772"/>
      <c r="G1143" s="2772"/>
      <c r="H1143" s="2772"/>
      <c r="I1143" s="2772"/>
      <c r="J1143" s="2772"/>
      <c r="K1143" s="2772"/>
      <c r="L1143" s="2772"/>
      <c r="M1143" s="2772"/>
      <c r="N1143" s="2772"/>
      <c r="O1143" s="2772"/>
      <c r="P1143" s="2488">
        <f>'Part VII-Threshold Criteria'!P300</f>
        <v>0</v>
      </c>
      <c r="Q1143" s="2488"/>
    </row>
    <row r="1144" spans="1:17" ht="14.5">
      <c r="A1144" s="2773"/>
      <c r="B1144" s="2776" t="s">
        <v>3158</v>
      </c>
      <c r="C1144" s="2483"/>
      <c r="D1144" s="2776"/>
      <c r="E1144" s="2776"/>
      <c r="F1144" s="2776"/>
      <c r="G1144" s="2776"/>
      <c r="H1144" s="2484"/>
      <c r="I1144" s="2485"/>
      <c r="J1144" s="2485"/>
      <c r="K1144" s="2485"/>
      <c r="L1144" s="2486"/>
      <c r="M1144" s="2486"/>
      <c r="N1144" s="2486"/>
      <c r="O1144" s="2486"/>
      <c r="P1144" s="2486"/>
      <c r="Q1144" s="2486"/>
    </row>
    <row r="1145" spans="1:17" ht="14">
      <c r="A1145" s="2483">
        <f>'Part VII-Threshold Criteria'!A302</f>
        <v>0</v>
      </c>
      <c r="B1145" s="2483"/>
      <c r="C1145" s="2483"/>
      <c r="D1145" s="2483"/>
      <c r="E1145" s="2483"/>
      <c r="F1145" s="2483"/>
      <c r="G1145" s="2483"/>
      <c r="H1145" s="2483"/>
      <c r="I1145" s="2483"/>
      <c r="J1145" s="2483"/>
      <c r="K1145" s="2483"/>
      <c r="L1145" s="2483"/>
      <c r="M1145" s="2483"/>
      <c r="N1145" s="2483"/>
      <c r="O1145" s="2483"/>
      <c r="P1145" s="2483"/>
      <c r="Q1145" s="2483"/>
    </row>
    <row r="1146" spans="1:17" ht="14.5">
      <c r="A1146" s="2483"/>
      <c r="B1146" s="2775" t="s">
        <v>1725</v>
      </c>
      <c r="C1146" s="2775"/>
      <c r="D1146" s="2484"/>
      <c r="E1146" s="2484"/>
      <c r="F1146" s="2484"/>
      <c r="G1146" s="2484"/>
      <c r="H1146" s="2484"/>
      <c r="I1146" s="2484"/>
      <c r="J1146" s="2484"/>
      <c r="K1146" s="2484"/>
      <c r="L1146" s="2484"/>
      <c r="M1146" s="2484"/>
      <c r="N1146" s="2484"/>
      <c r="O1146" s="2484"/>
      <c r="P1146" s="2484"/>
      <c r="Q1146" s="2484"/>
    </row>
    <row r="1147" spans="1:17" ht="14">
      <c r="A1147" s="2483"/>
      <c r="B1147" s="2483"/>
      <c r="C1147" s="2483"/>
      <c r="D1147" s="2483"/>
      <c r="E1147" s="2483"/>
      <c r="F1147" s="2483"/>
      <c r="G1147" s="2483"/>
      <c r="H1147" s="2483"/>
      <c r="I1147" s="2483"/>
      <c r="J1147" s="2483"/>
      <c r="K1147" s="2483"/>
      <c r="L1147" s="2483"/>
      <c r="M1147" s="2483"/>
      <c r="N1147" s="2483"/>
      <c r="O1147" s="2483"/>
      <c r="P1147" s="2483"/>
      <c r="Q1147" s="2483"/>
    </row>
    <row r="1148" spans="1:17" ht="14">
      <c r="A1148" s="2486"/>
      <c r="B1148" s="2485"/>
      <c r="C1148" s="2484"/>
      <c r="D1148" s="2484"/>
      <c r="E1148" s="2484"/>
      <c r="F1148" s="2484"/>
      <c r="G1148" s="2484"/>
      <c r="H1148" s="2484"/>
      <c r="I1148" s="2484"/>
      <c r="J1148" s="2484"/>
      <c r="K1148" s="2484"/>
      <c r="L1148" s="2484"/>
      <c r="M1148" s="2484"/>
      <c r="N1148" s="2484"/>
      <c r="O1148" s="2484"/>
      <c r="P1148" s="2484"/>
      <c r="Q1148" s="2486"/>
    </row>
    <row r="1149" spans="1:17" ht="14">
      <c r="A1149" s="2773"/>
      <c r="B1149" s="2485"/>
      <c r="C1149" s="2484"/>
      <c r="D1149" s="2484"/>
      <c r="E1149" s="2484"/>
      <c r="F1149" s="2484"/>
      <c r="G1149" s="2484"/>
      <c r="H1149" s="2484"/>
      <c r="I1149" s="2484"/>
      <c r="J1149" s="2484"/>
      <c r="K1149" s="2484"/>
      <c r="L1149" s="2484"/>
      <c r="M1149" s="2484"/>
      <c r="N1149" s="2483"/>
      <c r="O1149" s="2483"/>
      <c r="P1149" s="2483"/>
      <c r="Q1149" s="2486"/>
    </row>
    <row r="1150" spans="1:17" ht="14">
      <c r="A1150" s="2773" t="s">
        <v>3682</v>
      </c>
      <c r="B1150" s="2488" t="s">
        <v>2429</v>
      </c>
      <c r="C1150" s="2483"/>
      <c r="D1150" s="2488"/>
      <c r="E1150" s="2484"/>
      <c r="F1150" s="2484"/>
      <c r="G1150" s="2484"/>
      <c r="H1150" s="2484"/>
      <c r="I1150" s="2483"/>
      <c r="J1150" s="2484"/>
      <c r="K1150" s="2484"/>
      <c r="L1150" s="2484"/>
      <c r="M1150" s="2484"/>
      <c r="N1150" s="2483"/>
      <c r="O1150" s="2774" t="s">
        <v>1726</v>
      </c>
      <c r="P1150" s="2488"/>
      <c r="Q1150" s="2488"/>
    </row>
    <row r="1151" spans="1:17" ht="14.5">
      <c r="A1151" s="2773"/>
      <c r="B1151" s="2776" t="s">
        <v>3158</v>
      </c>
      <c r="C1151" s="2483"/>
      <c r="D1151" s="2776"/>
      <c r="E1151" s="2776"/>
      <c r="F1151" s="2776"/>
      <c r="G1151" s="2776"/>
      <c r="H1151" s="2484"/>
      <c r="I1151" s="2485"/>
      <c r="J1151" s="2485"/>
      <c r="K1151" s="2485"/>
      <c r="L1151" s="2486"/>
      <c r="M1151" s="2486"/>
      <c r="N1151" s="2486"/>
      <c r="O1151" s="2486"/>
      <c r="P1151" s="2486"/>
      <c r="Q1151" s="2486"/>
    </row>
    <row r="1152" spans="1:17" ht="14">
      <c r="A1152" s="2483">
        <f>'Part VII-Threshold Criteria'!A309</f>
        <v>0</v>
      </c>
      <c r="B1152" s="2483"/>
      <c r="C1152" s="2483"/>
      <c r="D1152" s="2483"/>
      <c r="E1152" s="2483"/>
      <c r="F1152" s="2483"/>
      <c r="G1152" s="2483"/>
      <c r="H1152" s="2483"/>
      <c r="I1152" s="2483"/>
      <c r="J1152" s="2483"/>
      <c r="K1152" s="2483"/>
      <c r="L1152" s="2483"/>
      <c r="M1152" s="2483"/>
      <c r="N1152" s="2483"/>
      <c r="O1152" s="2483"/>
      <c r="P1152" s="2483"/>
      <c r="Q1152" s="2483"/>
    </row>
    <row r="1153" spans="1:32" ht="14.5">
      <c r="A1153" s="2483"/>
      <c r="B1153" s="2775" t="s">
        <v>1725</v>
      </c>
      <c r="C1153" s="2775"/>
      <c r="D1153" s="2484"/>
      <c r="E1153" s="2484"/>
      <c r="F1153" s="2484"/>
      <c r="G1153" s="2484"/>
      <c r="H1153" s="2484"/>
      <c r="I1153" s="2484"/>
      <c r="J1153" s="2484"/>
      <c r="K1153" s="2484"/>
      <c r="L1153" s="2484"/>
      <c r="M1153" s="2484"/>
      <c r="N1153" s="2484"/>
      <c r="O1153" s="2484"/>
      <c r="P1153" s="2484"/>
      <c r="Q1153" s="2484"/>
    </row>
    <row r="1154" spans="1:32" ht="14">
      <c r="A1154" s="2483"/>
      <c r="B1154" s="2483"/>
      <c r="C1154" s="2483"/>
      <c r="D1154" s="2483"/>
      <c r="E1154" s="2483"/>
      <c r="F1154" s="2483"/>
      <c r="G1154" s="2483"/>
      <c r="H1154" s="2483"/>
      <c r="I1154" s="2483"/>
      <c r="J1154" s="2483"/>
      <c r="K1154" s="2483"/>
      <c r="L1154" s="2483"/>
      <c r="M1154" s="2483"/>
      <c r="N1154" s="2483"/>
      <c r="O1154" s="2483"/>
      <c r="P1154" s="2483"/>
      <c r="Q1154" s="2483"/>
    </row>
    <row r="1158" spans="1:32" ht="14">
      <c r="A1158" s="1997" t="str">
        <f>CONCATENATE("PART EIGHT - SCORING CRITERIA","  -  ",'Part I-Project Identification'!$O$7," ",'Part I-Project Identification'!$F$26,", ",'Part I-Project Identification'!F1100,", ",'Part I-Project Identification'!J1100," County")</f>
        <v>PART EIGHT - SCORING CRITERIA  -  2024-5 ,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4">
      <c r="A1159" s="1998"/>
      <c r="B1159" s="1998"/>
      <c r="C1159" s="2803"/>
      <c r="D1159" s="1998"/>
      <c r="E1159" s="1998"/>
      <c r="F1159" s="1998"/>
      <c r="G1159" s="1998"/>
      <c r="H1159" s="1998"/>
      <c r="I1159" s="1998"/>
      <c r="J1159" s="1998"/>
      <c r="K1159" s="1998"/>
      <c r="L1159" s="1998"/>
      <c r="M1159" s="2012"/>
      <c r="N1159" s="2012"/>
      <c r="O1159" s="2467"/>
      <c r="P1159" s="2467"/>
      <c r="Q1159" s="1997"/>
      <c r="R1159" s="1997"/>
      <c r="S1159" s="1997"/>
      <c r="T1159" s="1997"/>
      <c r="U1159" s="1997"/>
      <c r="V1159" s="1997"/>
      <c r="W1159" s="1997"/>
      <c r="X1159" s="2802"/>
      <c r="Y1159" s="2028"/>
      <c r="Z1159" s="2028"/>
      <c r="AA1159" s="2028"/>
      <c r="AB1159" s="2028"/>
      <c r="AC1159" s="2028"/>
      <c r="AD1159" s="2028"/>
      <c r="AE1159" s="2028"/>
      <c r="AF1159" s="2028"/>
    </row>
    <row r="1160" spans="1:32" ht="14.15" customHeight="1">
      <c r="A1160" s="2804" t="s">
        <v>5021</v>
      </c>
      <c r="B1160" s="2804"/>
      <c r="C1160" s="2804"/>
      <c r="D1160" s="2804"/>
      <c r="E1160" s="2804"/>
      <c r="F1160" s="2804"/>
      <c r="G1160" s="2804"/>
      <c r="H1160" s="2804"/>
      <c r="I1160" s="2804"/>
      <c r="J1160" s="2804"/>
      <c r="K1160" s="2804"/>
      <c r="L1160" s="2804"/>
      <c r="M1160" s="2467" t="s">
        <v>4736</v>
      </c>
      <c r="N1160" s="2012"/>
      <c r="O1160" s="2467" t="s">
        <v>2045</v>
      </c>
      <c r="P1160" s="2467"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5" customHeight="1">
      <c r="A1161" s="2804"/>
      <c r="B1161" s="2804"/>
      <c r="C1161" s="2804"/>
      <c r="D1161" s="2804"/>
      <c r="E1161" s="2804"/>
      <c r="F1161" s="2804"/>
      <c r="G1161" s="2804"/>
      <c r="H1161" s="2804"/>
      <c r="I1161" s="2804"/>
      <c r="J1161" s="2804"/>
      <c r="K1161" s="2804"/>
      <c r="L1161" s="2804"/>
      <c r="M1161" s="2467" t="s">
        <v>2046</v>
      </c>
      <c r="N1161" s="1997"/>
      <c r="O1161" s="2467" t="s">
        <v>2046</v>
      </c>
      <c r="P1161" s="2467"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4">
      <c r="A1162" s="1998"/>
      <c r="B1162" s="1998"/>
      <c r="C1162" s="1998"/>
      <c r="D1162" s="1998"/>
      <c r="E1162" s="1998"/>
      <c r="F1162" s="1998"/>
      <c r="G1162" s="1998"/>
      <c r="H1162" s="1998"/>
      <c r="I1162" s="1998"/>
      <c r="J1162" s="1998"/>
      <c r="K1162" s="1998"/>
      <c r="L1162" s="1998"/>
      <c r="M1162" s="2030"/>
      <c r="N1162" s="1997"/>
      <c r="O1162" s="2467"/>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4">
      <c r="A1163" s="1998"/>
      <c r="B1163" s="2805" t="str">
        <f>'Part I-Project Identification'!$A$6</f>
        <v>4% Credit Core
Sept 26, 2024</v>
      </c>
      <c r="C1163" s="2805"/>
      <c r="D1163" s="2805"/>
      <c r="E1163" s="2805"/>
      <c r="F1163" s="2805"/>
      <c r="G1163" s="1998"/>
      <c r="H1163" s="1998"/>
      <c r="I1163" s="1998"/>
      <c r="J1163" s="1998"/>
      <c r="K1163" s="1998"/>
      <c r="L1163" s="2467" t="s">
        <v>1151</v>
      </c>
      <c r="M1163" s="2027"/>
      <c r="N1163" s="2806"/>
      <c r="O1163" s="2807">
        <f>O1556</f>
        <v>0</v>
      </c>
      <c r="P1163" s="2807">
        <f>P1556</f>
        <v>0</v>
      </c>
      <c r="Q1163" s="1997" t="s">
        <v>4698</v>
      </c>
      <c r="R1163" s="1998"/>
      <c r="S1163" s="1998"/>
      <c r="T1163" s="1998"/>
      <c r="U1163" s="1998"/>
      <c r="V1163" s="1998"/>
      <c r="W1163" s="1998"/>
      <c r="X1163" s="1998"/>
      <c r="Y1163" s="1998"/>
      <c r="Z1163" s="1998"/>
      <c r="AA1163" s="1998"/>
      <c r="AB1163" s="1998"/>
      <c r="AC1163" s="1998"/>
      <c r="AD1163" s="1998"/>
      <c r="AE1163" s="1998"/>
      <c r="AF1163" s="1998"/>
    </row>
    <row r="1164" spans="1:32" ht="14">
      <c r="A1164" s="1998"/>
      <c r="B1164" s="2470"/>
      <c r="C1164" s="1998"/>
      <c r="D1164" s="1998"/>
      <c r="E1164" s="1998"/>
      <c r="F1164" s="1998"/>
      <c r="G1164" s="1998"/>
      <c r="H1164" s="1998"/>
      <c r="I1164" s="1998"/>
      <c r="J1164" s="1998"/>
      <c r="K1164" s="1998"/>
      <c r="L1164" s="1998"/>
      <c r="M1164" s="2012"/>
      <c r="N1164" s="2017"/>
      <c r="O1164" s="2027"/>
      <c r="P1164" s="2467"/>
      <c r="Q1164" s="1998"/>
      <c r="R1164" s="1998"/>
      <c r="S1164" s="1998"/>
      <c r="T1164" s="1998"/>
      <c r="U1164" s="1998"/>
      <c r="V1164" s="1998"/>
      <c r="W1164" s="1998"/>
      <c r="X1164" s="1998"/>
      <c r="Y1164" s="1998"/>
      <c r="Z1164" s="2028"/>
      <c r="AA1164" s="2028"/>
      <c r="AB1164" s="2028"/>
      <c r="AC1164" s="2028"/>
      <c r="AD1164" s="2028"/>
      <c r="AE1164" s="2028"/>
      <c r="AF1164" s="2028"/>
    </row>
    <row r="1165" spans="1:32" ht="14.5">
      <c r="A1165" s="2462" t="s">
        <v>688</v>
      </c>
      <c r="B1165" s="2463" t="s">
        <v>4042</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4">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5" customHeight="1">
      <c r="A1167" s="2028" t="s">
        <v>4755</v>
      </c>
      <c r="B1167" s="2028"/>
      <c r="C1167" s="2028"/>
      <c r="D1167" s="2028"/>
      <c r="E1167" s="2809" t="str">
        <f>IF(OR((C1169-A1169&gt;0),(D1169-A1169&gt;0)),"Points Exceed Max!","")</f>
        <v/>
      </c>
      <c r="F1167" s="1997" t="s">
        <v>4719</v>
      </c>
      <c r="G1167" s="1997"/>
      <c r="H1167" s="1997"/>
      <c r="I1167" s="1997"/>
      <c r="J1167" s="1997" t="s">
        <v>4045</v>
      </c>
      <c r="K1167" s="1997"/>
      <c r="L1167" s="1997"/>
      <c r="M1167" s="1997"/>
      <c r="N1167" s="2017"/>
      <c r="O1167" s="1998" t="s">
        <v>4720</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4">
      <c r="A1168" s="1998" t="s">
        <v>4736</v>
      </c>
      <c r="B1168" s="1998"/>
      <c r="C1168" s="2012" t="s">
        <v>2881</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4">
      <c r="A1169" s="1997">
        <v>33</v>
      </c>
      <c r="B1169" s="1997"/>
      <c r="C1169" s="1997">
        <f>'Part VIII Scoring Criteria'!C12</f>
        <v>0</v>
      </c>
      <c r="D1169" s="1997">
        <f>'Part VIII Scoring Criteria'!D12</f>
        <v>0</v>
      </c>
      <c r="E1169" s="2809"/>
      <c r="F1169" s="1997" t="str">
        <f>'Part VIII Scoring Criteria'!F12</f>
        <v>&lt;&lt; Select Activity Type &gt;&gt;</v>
      </c>
      <c r="G1169" s="1997"/>
      <c r="H1169" s="1997" t="s">
        <v>4610</v>
      </c>
      <c r="I1169" s="1997"/>
      <c r="J1169" s="1997" t="str">
        <f>'Part VIII Scoring Criteria'!J12</f>
        <v>&lt;&lt; Select Pool &gt;&gt;</v>
      </c>
      <c r="K1169" s="1997"/>
      <c r="L1169" s="1997" t="s">
        <v>4611</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4">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4">
      <c r="A1171" s="1998"/>
      <c r="B1171" s="2470"/>
      <c r="C1171" s="1998"/>
      <c r="D1171" s="1997"/>
      <c r="E1171" s="1998"/>
      <c r="F1171" s="1998"/>
      <c r="G1171" s="2471"/>
      <c r="H1171" s="2471"/>
      <c r="I1171" s="2471"/>
      <c r="J1171" s="2471"/>
      <c r="K1171" s="2471"/>
      <c r="L1171" s="2471"/>
      <c r="M1171" s="2012"/>
      <c r="N1171" s="2017"/>
      <c r="O1171" s="2027"/>
      <c r="P1171" s="2467"/>
      <c r="Q1171" s="2028"/>
      <c r="R1171" s="1998"/>
      <c r="S1171" s="1998"/>
      <c r="T1171" s="1998"/>
      <c r="U1171" s="1998"/>
      <c r="V1171" s="1998"/>
      <c r="W1171" s="1998"/>
      <c r="X1171" s="2472"/>
      <c r="Y1171" s="2472"/>
      <c r="Z1171" s="2472"/>
      <c r="AA1171" s="2472"/>
      <c r="AB1171" s="2472"/>
      <c r="AC1171" s="2472"/>
      <c r="AD1171" s="2472"/>
      <c r="AE1171" s="2472"/>
      <c r="AF1171" s="2472"/>
    </row>
    <row r="1172" spans="1:32" ht="14">
      <c r="A1172" s="1998"/>
      <c r="B1172" s="2470"/>
      <c r="C1172" s="1997" t="s">
        <v>4955</v>
      </c>
      <c r="D1172" s="1997"/>
      <c r="E1172" s="1997"/>
      <c r="F1172" s="1997"/>
      <c r="G1172" s="1997"/>
      <c r="H1172" s="1997"/>
      <c r="I1172" s="1997"/>
      <c r="J1172" s="1997"/>
      <c r="K1172" s="1997"/>
      <c r="L1172" s="1997"/>
      <c r="M1172" s="2012"/>
      <c r="N1172" s="2017"/>
      <c r="O1172" s="2027"/>
      <c r="P1172" s="2467"/>
      <c r="Q1172" s="1998"/>
      <c r="R1172" s="1998"/>
      <c r="S1172" s="1998"/>
      <c r="T1172" s="1998"/>
      <c r="U1172" s="1998"/>
      <c r="V1172" s="1998"/>
      <c r="W1172" s="1998"/>
      <c r="X1172" s="1998"/>
      <c r="Y1172" s="1998"/>
      <c r="Z1172" s="1998"/>
      <c r="AA1172" s="1998"/>
      <c r="AB1172" s="1998"/>
      <c r="AC1172" s="1998"/>
      <c r="AD1172" s="1998"/>
      <c r="AE1172" s="1998"/>
      <c r="AF1172" s="2472"/>
    </row>
    <row r="1173" spans="1:32" ht="14">
      <c r="A1173" s="1998"/>
      <c r="B1173" s="2470"/>
      <c r="C1173" s="1997" t="str">
        <f>'Part VIII Scoring Criteria'!C16</f>
        <v>Community Designations</v>
      </c>
      <c r="D1173" s="1997"/>
      <c r="E1173" s="1997"/>
      <c r="F1173" s="1997"/>
      <c r="G1173" s="1997"/>
      <c r="H1173" s="1997" t="s">
        <v>4956</v>
      </c>
      <c r="I1173" s="1997"/>
      <c r="J1173" s="1997"/>
      <c r="K1173" s="1997"/>
      <c r="L1173" s="1997"/>
      <c r="M1173" s="2012"/>
      <c r="N1173" s="2017"/>
      <c r="O1173" s="2027"/>
      <c r="P1173" s="2467"/>
      <c r="Q1173" s="1998"/>
      <c r="R1173" s="1998"/>
      <c r="S1173" s="1998"/>
      <c r="T1173" s="1998"/>
      <c r="U1173" s="1998"/>
      <c r="V1173" s="1998"/>
      <c r="W1173" s="1998"/>
      <c r="X1173" s="1998"/>
      <c r="Y1173" s="1998"/>
      <c r="Z1173" s="1998"/>
      <c r="AA1173" s="1998"/>
      <c r="AB1173" s="1998"/>
      <c r="AC1173" s="1998"/>
      <c r="AD1173" s="1998"/>
      <c r="AE1173" s="1998"/>
      <c r="AF1173" s="2472"/>
    </row>
    <row r="1174" spans="1:32" ht="14">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5" customHeight="1">
      <c r="A1175" s="2028"/>
      <c r="B1175" s="2028"/>
      <c r="C1175" s="1998" t="s">
        <v>5120</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4">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4">
      <c r="A1177" s="2462" t="s">
        <v>690</v>
      </c>
      <c r="B1177" s="2463" t="s">
        <v>2509</v>
      </c>
      <c r="C1177" s="2028"/>
      <c r="D1177" s="2028"/>
      <c r="E1177" s="2028"/>
      <c r="F1177" s="2028"/>
      <c r="G1177" s="2028"/>
      <c r="H1177" s="2031"/>
      <c r="I1177" s="2028"/>
      <c r="J1177" s="2012"/>
      <c r="K1177" s="1998"/>
      <c r="L1177" s="2810" t="s">
        <v>4899</v>
      </c>
      <c r="M1177" s="2467">
        <v>6</v>
      </c>
      <c r="N1177" s="2012"/>
      <c r="O1177" s="2027">
        <f>'Part VIII Scoring Criteria'!O20</f>
        <v>0</v>
      </c>
      <c r="P1177" s="2027">
        <f>'Part VIII Scoring Criteria'!P20</f>
        <v>0</v>
      </c>
      <c r="Q1177" s="2467" t="s">
        <v>415</v>
      </c>
      <c r="R1177" s="2028"/>
      <c r="S1177" s="2028"/>
      <c r="T1177" s="2463"/>
      <c r="U1177" s="2463"/>
      <c r="V1177" s="2028"/>
      <c r="W1177" s="2028"/>
      <c r="X1177" s="2028"/>
      <c r="Y1177" s="2028"/>
      <c r="Z1177" s="2028"/>
      <c r="AA1177" s="2028"/>
      <c r="AB1177" s="2028"/>
      <c r="AC1177" s="2028"/>
      <c r="AD1177" s="2028"/>
      <c r="AE1177" s="2028"/>
      <c r="AF1177" s="2028"/>
    </row>
    <row r="1178" spans="1:32" ht="14">
      <c r="A1178" s="2467" t="s">
        <v>1836</v>
      </c>
      <c r="B1178" s="1997" t="s">
        <v>2060</v>
      </c>
      <c r="C1178" s="1998"/>
      <c r="D1178" s="2811"/>
      <c r="E1178" s="2811"/>
      <c r="F1178" s="1998"/>
      <c r="G1178" s="2028"/>
      <c r="H1178" s="1998"/>
      <c r="I1178" s="1998"/>
      <c r="J1178" s="1998"/>
      <c r="K1178" s="1998"/>
      <c r="L1178" s="2812"/>
      <c r="M1178" s="2012">
        <v>5</v>
      </c>
      <c r="N1178" s="2465"/>
      <c r="O1178" s="2027">
        <f>'Part VIII Scoring Criteria'!O21</f>
        <v>0</v>
      </c>
      <c r="P1178" s="2027">
        <f>'Part VIII Scoring Criteria'!P21</f>
        <v>0</v>
      </c>
      <c r="Q1178" s="2813"/>
      <c r="R1178" s="2814"/>
      <c r="S1178" s="1998"/>
      <c r="T1178" s="2463"/>
      <c r="U1178" s="2463"/>
      <c r="V1178" s="1998"/>
      <c r="W1178" s="1998"/>
      <c r="X1178" s="1998"/>
      <c r="Y1178" s="1998"/>
      <c r="Z1178" s="1998"/>
      <c r="AA1178" s="1998"/>
      <c r="AB1178" s="1998"/>
      <c r="AC1178" s="1998"/>
      <c r="AD1178" s="1998"/>
      <c r="AE1178" s="1998"/>
      <c r="AF1178" s="1998"/>
    </row>
    <row r="1179" spans="1:32" ht="14">
      <c r="A1179" s="2467"/>
      <c r="B1179" s="2815" t="s">
        <v>1839</v>
      </c>
      <c r="C1179" s="2031" t="s">
        <v>4957</v>
      </c>
      <c r="D1179" s="2811"/>
      <c r="E1179" s="2811"/>
      <c r="F1179" s="1998"/>
      <c r="G1179" s="2028"/>
      <c r="H1179" s="1998"/>
      <c r="I1179" s="1998"/>
      <c r="J1179" s="1998"/>
      <c r="K1179" s="1998"/>
      <c r="L1179" s="2812"/>
      <c r="M1179" s="2012">
        <v>5</v>
      </c>
      <c r="N1179" s="2816"/>
      <c r="O1179" s="2467">
        <f>'Part VIII Scoring Criteria'!O22</f>
        <v>0</v>
      </c>
      <c r="P1179" s="2467"/>
      <c r="Q1179" s="2813"/>
      <c r="R1179" s="2814"/>
      <c r="S1179" s="1998"/>
      <c r="T1179" s="2463"/>
      <c r="U1179" s="2463"/>
      <c r="V1179" s="1998"/>
      <c r="W1179" s="1998"/>
      <c r="X1179" s="1998"/>
      <c r="Y1179" s="1998"/>
      <c r="Z1179" s="1998"/>
      <c r="AA1179" s="1998"/>
      <c r="AB1179" s="1998"/>
      <c r="AC1179" s="1998"/>
      <c r="AD1179" s="1998"/>
      <c r="AE1179" s="1998"/>
      <c r="AF1179" s="1998"/>
    </row>
    <row r="1180" spans="1:32" ht="14">
      <c r="A1180" s="2467"/>
      <c r="B1180" s="2817" t="s">
        <v>1841</v>
      </c>
      <c r="C1180" s="2031" t="s">
        <v>4958</v>
      </c>
      <c r="D1180" s="2811"/>
      <c r="E1180" s="2811"/>
      <c r="F1180" s="1998"/>
      <c r="G1180" s="2028"/>
      <c r="H1180" s="1998"/>
      <c r="I1180" s="1998"/>
      <c r="J1180" s="1998"/>
      <c r="K1180" s="1998"/>
      <c r="L1180" s="2812"/>
      <c r="M1180" s="2012">
        <v>3</v>
      </c>
      <c r="N1180" s="2816"/>
      <c r="O1180" s="2467">
        <f>'Part VIII Scoring Criteria'!O23</f>
        <v>0</v>
      </c>
      <c r="P1180" s="2467"/>
      <c r="Q1180" s="2813"/>
      <c r="R1180" s="2814"/>
      <c r="S1180" s="1998"/>
      <c r="T1180" s="2463"/>
      <c r="U1180" s="2463"/>
      <c r="V1180" s="1998"/>
      <c r="W1180" s="1998"/>
      <c r="X1180" s="1998"/>
      <c r="Y1180" s="1998"/>
      <c r="Z1180" s="1998"/>
      <c r="AA1180" s="1998"/>
      <c r="AB1180" s="1998"/>
      <c r="AC1180" s="1998"/>
      <c r="AD1180" s="1998"/>
      <c r="AE1180" s="1998"/>
      <c r="AF1180" s="1998"/>
    </row>
    <row r="1181" spans="1:32" ht="14">
      <c r="A1181" s="2467"/>
      <c r="B1181" s="2817" t="s">
        <v>2326</v>
      </c>
      <c r="C1181" s="2031" t="s">
        <v>4959</v>
      </c>
      <c r="D1181" s="2811"/>
      <c r="E1181" s="2811"/>
      <c r="F1181" s="1998"/>
      <c r="G1181" s="2028"/>
      <c r="H1181" s="1998"/>
      <c r="I1181" s="1998"/>
      <c r="J1181" s="1998"/>
      <c r="K1181" s="2465"/>
      <c r="L1181" s="1998"/>
      <c r="M1181" s="2012">
        <v>1</v>
      </c>
      <c r="N1181" s="2816"/>
      <c r="O1181" s="2467">
        <f>'Part VIII Scoring Criteria'!O24</f>
        <v>0</v>
      </c>
      <c r="P1181" s="2467"/>
      <c r="Q1181" s="1998"/>
      <c r="R1181" s="2028"/>
      <c r="S1181" s="1998"/>
      <c r="T1181" s="2463"/>
      <c r="U1181" s="2463"/>
      <c r="V1181" s="1998"/>
      <c r="W1181" s="1998"/>
      <c r="X1181" s="1998"/>
      <c r="Y1181" s="1998"/>
      <c r="Z1181" s="1998"/>
      <c r="AA1181" s="1998"/>
      <c r="AB1181" s="1998"/>
      <c r="AC1181" s="1998"/>
      <c r="AD1181" s="1998"/>
      <c r="AE1181" s="1998"/>
      <c r="AF1181" s="1998"/>
    </row>
    <row r="1182" spans="1:32" ht="14">
      <c r="A1182" s="2467" t="s">
        <v>1838</v>
      </c>
      <c r="B1182" s="1997" t="s">
        <v>3832</v>
      </c>
      <c r="C1182" s="2028"/>
      <c r="D1182" s="1998"/>
      <c r="E1182" s="2028"/>
      <c r="F1182" s="2028"/>
      <c r="G1182" s="2028"/>
      <c r="H1182" s="2028"/>
      <c r="I1182" s="2028"/>
      <c r="J1182" s="2028"/>
      <c r="K1182" s="1998"/>
      <c r="L1182" s="2812" t="str">
        <f>IF(OR($O1182=$M1182,$O1182=0,$O1182=""),"","* * Check Score! * *")</f>
        <v/>
      </c>
      <c r="M1182" s="2012">
        <v>1</v>
      </c>
      <c r="N1182" s="2465"/>
      <c r="O1182" s="2027">
        <f>'Part VIII Scoring Criteria'!O25</f>
        <v>0</v>
      </c>
      <c r="P1182" s="2027">
        <f>'Part VIII Scoring Criteria'!P25</f>
        <v>0</v>
      </c>
      <c r="Q1182" s="2813" t="str">
        <f>IF(OR($O1182=$M1182,$O1182=0,$O1182=""),"","*CHECK!*")</f>
        <v/>
      </c>
      <c r="R1182" s="2814"/>
      <c r="S1182" s="2028"/>
      <c r="T1182" s="2463"/>
      <c r="U1182" s="2463"/>
      <c r="V1182" s="2028"/>
      <c r="W1182" s="2028"/>
      <c r="X1182" s="2028"/>
      <c r="Y1182" s="2028"/>
      <c r="Z1182" s="2028"/>
      <c r="AA1182" s="2028"/>
      <c r="AB1182" s="2028"/>
      <c r="AC1182" s="2028"/>
      <c r="AD1182" s="2028"/>
      <c r="AE1182" s="2028"/>
      <c r="AF1182" s="2028"/>
    </row>
    <row r="1183" spans="1:32" ht="14.5" customHeight="1">
      <c r="A1183" s="2818"/>
      <c r="B1183" s="1998" t="s">
        <v>4960</v>
      </c>
      <c r="C1183" s="1998"/>
      <c r="D1183" s="1998"/>
      <c r="E1183" s="1998"/>
      <c r="F1183" s="1998"/>
      <c r="G1183" s="1998"/>
      <c r="H1183" s="1998"/>
      <c r="I1183" s="1998"/>
      <c r="J1183" s="1998"/>
      <c r="K1183" s="1998"/>
      <c r="L1183" s="1998"/>
      <c r="M1183" s="2012"/>
      <c r="N1183" s="2465"/>
      <c r="O1183" s="2467">
        <f>'Part VIII Scoring Criteria'!O26</f>
        <v>0</v>
      </c>
      <c r="P1183" s="2819"/>
      <c r="Q1183" s="2028"/>
      <c r="R1183" s="2812"/>
      <c r="S1183" s="2028"/>
      <c r="T1183" s="2463"/>
      <c r="U1183" s="2463"/>
      <c r="V1183" s="2028"/>
      <c r="W1183" s="2028"/>
      <c r="X1183" s="2028"/>
      <c r="Y1183" s="2028"/>
      <c r="Z1183" s="2028"/>
      <c r="AA1183" s="2028"/>
      <c r="AB1183" s="2028"/>
      <c r="AC1183" s="2028"/>
      <c r="AD1183" s="2028"/>
      <c r="AE1183" s="2028"/>
      <c r="AF1183" s="2028"/>
    </row>
    <row r="1184" spans="1:32" ht="14">
      <c r="A1184" s="2467" t="s">
        <v>697</v>
      </c>
      <c r="B1184" s="1997" t="s">
        <v>5121</v>
      </c>
      <c r="C1184" s="2028"/>
      <c r="D1184" s="1998"/>
      <c r="E1184" s="2028"/>
      <c r="F1184" s="2028"/>
      <c r="G1184" s="2028"/>
      <c r="H1184" s="1998"/>
      <c r="I1184" s="2028"/>
      <c r="J1184" s="2028"/>
      <c r="K1184" s="1998"/>
      <c r="L1184" s="2812"/>
      <c r="M1184" s="2012">
        <v>1</v>
      </c>
      <c r="N1184" s="2465"/>
      <c r="O1184" s="2027">
        <f>'Part VIII Scoring Criteria'!O27</f>
        <v>0</v>
      </c>
      <c r="P1184" s="2027">
        <f>'Part VIII Scoring Criteria'!P27</f>
        <v>0</v>
      </c>
      <c r="Q1184" s="2813" t="str">
        <f>IF(OR($O1184=$M1184,$O1184=0,$O1184=""),"","*CHECK!*")</f>
        <v/>
      </c>
      <c r="R1184" s="2814"/>
      <c r="S1184" s="2028"/>
      <c r="T1184" s="2463"/>
      <c r="U1184" s="2463"/>
      <c r="V1184" s="2028"/>
      <c r="W1184" s="2028"/>
      <c r="X1184" s="2028"/>
      <c r="Y1184" s="2028"/>
      <c r="Z1184" s="2028"/>
      <c r="AA1184" s="2028"/>
      <c r="AB1184" s="2028"/>
      <c r="AC1184" s="2028"/>
      <c r="AD1184" s="2028"/>
      <c r="AE1184" s="2028"/>
      <c r="AF1184" s="2028"/>
    </row>
    <row r="1185" spans="1:32" ht="14.15" customHeight="1">
      <c r="A1185" s="2028"/>
      <c r="B1185" s="2034" t="s">
        <v>5122</v>
      </c>
      <c r="C1185" s="2034"/>
      <c r="D1185" s="2034"/>
      <c r="E1185" s="2034"/>
      <c r="F1185" s="2034"/>
      <c r="G1185" s="2034"/>
      <c r="H1185" s="2034"/>
      <c r="I1185" s="2034"/>
      <c r="J1185" s="2034"/>
      <c r="K1185" s="2034"/>
      <c r="L1185" s="2034"/>
      <c r="M1185" s="2012"/>
      <c r="N1185" s="2012"/>
      <c r="O1185" s="2012"/>
      <c r="P1185" s="2012"/>
      <c r="Q1185" s="2028"/>
      <c r="R1185" s="2812"/>
      <c r="S1185" s="2028"/>
      <c r="T1185" s="2463"/>
      <c r="U1185" s="2463"/>
      <c r="V1185" s="2028"/>
      <c r="W1185" s="2028"/>
      <c r="X1185" s="2028"/>
      <c r="Y1185" s="2028"/>
      <c r="Z1185" s="2028"/>
      <c r="AA1185" s="2028"/>
      <c r="AB1185" s="2028"/>
      <c r="AC1185" s="2028"/>
      <c r="AD1185" s="2028"/>
      <c r="AE1185" s="2028"/>
      <c r="AF1185" s="2028"/>
    </row>
    <row r="1186" spans="1:32" ht="14">
      <c r="A1186" s="2034"/>
      <c r="B1186" s="2817" t="s">
        <v>1839</v>
      </c>
      <c r="C1186" s="2035" t="s">
        <v>4962</v>
      </c>
      <c r="D1186" s="2035"/>
      <c r="E1186" s="2035"/>
      <c r="F1186" s="2035"/>
      <c r="G1186" s="2035"/>
      <c r="H1186" s="2035"/>
      <c r="I1186" s="2035"/>
      <c r="J1186" s="2035"/>
      <c r="K1186" s="2035"/>
      <c r="L1186" s="2035"/>
      <c r="M1186" s="2033"/>
      <c r="N1186" s="2820"/>
      <c r="O1186" s="2467">
        <f>'Part VIII Scoring Criteria'!O29</f>
        <v>0</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4">
      <c r="A1187" s="2034"/>
      <c r="B1187" s="2817" t="s">
        <v>1841</v>
      </c>
      <c r="C1187" s="2035" t="s">
        <v>4963</v>
      </c>
      <c r="D1187" s="2035"/>
      <c r="E1187" s="2035"/>
      <c r="F1187" s="2035"/>
      <c r="G1187" s="2035"/>
      <c r="H1187" s="2035"/>
      <c r="I1187" s="2035"/>
      <c r="J1187" s="2035"/>
      <c r="K1187" s="2035"/>
      <c r="L1187" s="2035"/>
      <c r="M1187" s="2033"/>
      <c r="N1187" s="2820"/>
      <c r="O1187" s="2467">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4">
      <c r="A1188" s="2034"/>
      <c r="B1188" s="2035" t="s">
        <v>4964</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5" customHeight="1">
      <c r="A1189" s="2034"/>
      <c r="B1189" s="2817" t="s">
        <v>2326</v>
      </c>
      <c r="C1189" s="2034" t="s">
        <v>4965</v>
      </c>
      <c r="D1189" s="2034"/>
      <c r="E1189" s="2034"/>
      <c r="F1189" s="2034"/>
      <c r="G1189" s="2034"/>
      <c r="H1189" s="2034"/>
      <c r="I1189" s="2034"/>
      <c r="J1189" s="2034"/>
      <c r="K1189" s="2034"/>
      <c r="L1189" s="2034"/>
      <c r="M1189" s="2033"/>
      <c r="N1189" s="2820"/>
      <c r="O1189" s="2467">
        <f>'Part VIII Scoring Criteria'!O32</f>
        <v>0</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5">
      <c r="A1190" s="1998"/>
      <c r="B1190" s="2823" t="s">
        <v>1725</v>
      </c>
      <c r="C1190" s="1998"/>
      <c r="D1190" s="2823"/>
      <c r="E1190" s="2035"/>
      <c r="F1190" s="2035"/>
      <c r="G1190" s="2035"/>
      <c r="H1190" s="2035"/>
      <c r="I1190" s="2035"/>
      <c r="J1190" s="2035"/>
      <c r="K1190" s="2035"/>
      <c r="L1190" s="2035"/>
      <c r="M1190" s="2035"/>
      <c r="N1190" s="2033"/>
      <c r="O1190" s="2819"/>
      <c r="P1190" s="2467"/>
      <c r="Q1190" s="2028"/>
      <c r="R1190" s="2028"/>
      <c r="S1190" s="2028"/>
      <c r="T1190" s="2028"/>
      <c r="U1190" s="2028"/>
      <c r="V1190" s="2028"/>
      <c r="W1190" s="2028"/>
      <c r="X1190" s="2028"/>
      <c r="Y1190" s="2028"/>
      <c r="Z1190" s="2028"/>
      <c r="AA1190" s="2028"/>
      <c r="AB1190" s="2028"/>
      <c r="AC1190" s="2028"/>
      <c r="AD1190" s="2028"/>
      <c r="AE1190" s="2028"/>
      <c r="AF1190" s="2028"/>
    </row>
    <row r="1191" spans="1:32" ht="14">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4">
      <c r="A1192" s="1998"/>
      <c r="B1192" s="2470"/>
      <c r="C1192" s="1998"/>
      <c r="D1192" s="1997"/>
      <c r="E1192" s="1998"/>
      <c r="F1192" s="1998"/>
      <c r="G1192" s="2471"/>
      <c r="H1192" s="2471"/>
      <c r="I1192" s="2471"/>
      <c r="J1192" s="2471"/>
      <c r="K1192" s="2471"/>
      <c r="L1192" s="2471"/>
      <c r="M1192" s="2012"/>
      <c r="N1192" s="2017"/>
      <c r="O1192" s="2027"/>
      <c r="P1192" s="2467"/>
      <c r="Q1192" s="2028"/>
      <c r="R1192" s="1998"/>
      <c r="S1192" s="1998"/>
      <c r="T1192" s="1998"/>
      <c r="U1192" s="1998"/>
      <c r="V1192" s="1998"/>
      <c r="W1192" s="1998"/>
      <c r="X1192" s="2472"/>
      <c r="Y1192" s="2472"/>
      <c r="Z1192" s="2472"/>
      <c r="AA1192" s="2472"/>
      <c r="AB1192" s="2472"/>
      <c r="AC1192" s="2472"/>
      <c r="AD1192" s="2472"/>
      <c r="AE1192" s="2472"/>
      <c r="AF1192" s="2472"/>
    </row>
    <row r="1193" spans="1:32" ht="14">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3"/>
      <c r="U1193" s="2463"/>
      <c r="V1193" s="2028"/>
      <c r="W1193" s="2028"/>
      <c r="X1193" s="2028"/>
      <c r="Y1193" s="2028"/>
      <c r="Z1193" s="2028"/>
      <c r="AA1193" s="2028"/>
      <c r="AB1193" s="2028"/>
      <c r="AC1193" s="2028"/>
      <c r="AD1193" s="2028"/>
      <c r="AE1193" s="2028"/>
      <c r="AF1193" s="2028"/>
    </row>
    <row r="1194" spans="1:32" ht="14.5">
      <c r="A1194" s="2462" t="s">
        <v>1661</v>
      </c>
      <c r="B1194" s="2463" t="s">
        <v>4477</v>
      </c>
      <c r="C1194" s="1998"/>
      <c r="D1194" s="2463"/>
      <c r="E1194" s="2463"/>
      <c r="F1194" s="1998"/>
      <c r="G1194" s="2824"/>
      <c r="H1194" s="1998"/>
      <c r="I1194" s="1998"/>
      <c r="J1194" s="1998"/>
      <c r="K1194" s="1998"/>
      <c r="L1194" s="2470" t="str">
        <f>IF(AND(O1201&gt;0,O1203&gt;0), "Choose only one option!","")</f>
        <v/>
      </c>
      <c r="M1194" s="2467">
        <v>2</v>
      </c>
      <c r="N1194" s="2012"/>
      <c r="O1194" s="2027">
        <f>'Part VIII Scoring Criteria'!O37</f>
        <v>0</v>
      </c>
      <c r="P1194" s="2027">
        <f>'Part VIII Scoring Criteria'!P37</f>
        <v>0</v>
      </c>
      <c r="Q1194" s="2467" t="s">
        <v>415</v>
      </c>
      <c r="R1194" s="1997"/>
      <c r="S1194" s="1997"/>
      <c r="T1194" s="1997"/>
      <c r="U1194" s="1997"/>
      <c r="V1194" s="1997"/>
      <c r="W1194" s="1998"/>
      <c r="X1194" s="1998"/>
      <c r="Y1194" s="1998"/>
      <c r="Z1194" s="1998"/>
      <c r="AA1194" s="1998"/>
      <c r="AB1194" s="1998"/>
      <c r="AC1194" s="1998"/>
      <c r="AD1194" s="1998"/>
      <c r="AE1194" s="1998"/>
      <c r="AF1194" s="1998"/>
    </row>
    <row r="1195" spans="1:32" ht="14.15" customHeight="1">
      <c r="A1195" s="2462"/>
      <c r="B1195" s="1998" t="s">
        <v>4729</v>
      </c>
      <c r="C1195" s="1998"/>
      <c r="D1195" s="2463"/>
      <c r="E1195" s="2463"/>
      <c r="F1195" s="1998"/>
      <c r="G1195" s="1998"/>
      <c r="H1195" s="1998"/>
      <c r="I1195" s="1998"/>
      <c r="J1195" s="2825"/>
      <c r="K1195" s="1998"/>
      <c r="L1195" s="1998"/>
      <c r="M1195" s="2467"/>
      <c r="N1195" s="1998"/>
      <c r="O1195" s="2826" t="s">
        <v>4730</v>
      </c>
      <c r="P1195" s="2826" t="s">
        <v>3067</v>
      </c>
      <c r="Q1195" s="2467"/>
      <c r="R1195" s="1997"/>
      <c r="S1195" s="1997"/>
      <c r="T1195" s="1997"/>
      <c r="U1195" s="1997"/>
      <c r="V1195" s="1997"/>
      <c r="W1195" s="2028"/>
      <c r="X1195" s="2028"/>
      <c r="Y1195" s="1998"/>
      <c r="Z1195" s="1998"/>
      <c r="AA1195" s="1998"/>
      <c r="AB1195" s="1998"/>
      <c r="AC1195" s="1998"/>
      <c r="AD1195" s="1998"/>
      <c r="AE1195" s="1998"/>
      <c r="AF1195" s="1998"/>
    </row>
    <row r="1196" spans="1:32" ht="14">
      <c r="A1196" s="2462"/>
      <c r="B1196" s="1998"/>
      <c r="C1196" s="1998" t="s">
        <v>4591</v>
      </c>
      <c r="D1196" s="1998"/>
      <c r="E1196" s="1998"/>
      <c r="F1196" s="1998"/>
      <c r="G1196" s="1998">
        <f>'Part VIII Scoring Criteria'!G39</f>
        <v>0</v>
      </c>
      <c r="H1196" s="1998"/>
      <c r="I1196" s="1998"/>
      <c r="J1196" s="1998"/>
      <c r="K1196" s="1998"/>
      <c r="L1196" s="1998"/>
      <c r="M1196" s="2467"/>
      <c r="N1196" s="1998"/>
      <c r="O1196" s="2826"/>
      <c r="P1196" s="2826"/>
      <c r="Q1196" s="2467"/>
      <c r="R1196" s="1998"/>
      <c r="S1196" s="1998"/>
      <c r="T1196" s="1998"/>
      <c r="U1196" s="1998"/>
      <c r="V1196" s="1997"/>
      <c r="W1196" s="2028"/>
      <c r="X1196" s="2028"/>
      <c r="Y1196" s="1998"/>
      <c r="Z1196" s="1998"/>
      <c r="AA1196" s="1998"/>
      <c r="AB1196" s="1998"/>
      <c r="AC1196" s="1998"/>
      <c r="AD1196" s="1998"/>
      <c r="AE1196" s="1998"/>
      <c r="AF1196" s="1998"/>
    </row>
    <row r="1197" spans="1:32" ht="14">
      <c r="A1197" s="2462"/>
      <c r="B1197" s="1998"/>
      <c r="C1197" s="1998" t="s">
        <v>4966</v>
      </c>
      <c r="D1197" s="1998"/>
      <c r="E1197" s="1998"/>
      <c r="F1197" s="1998"/>
      <c r="G1197" s="1998" t="str">
        <f>'Part VIII Scoring Criteria'!G40</f>
        <v>&lt;&lt;Select&gt;&gt;</v>
      </c>
      <c r="H1197" s="1998"/>
      <c r="I1197" s="1998"/>
      <c r="J1197" s="1998"/>
      <c r="K1197" s="1998"/>
      <c r="L1197" s="1998"/>
      <c r="M1197" s="2467"/>
      <c r="N1197" s="1998"/>
      <c r="O1197" s="2826"/>
      <c r="P1197" s="2826"/>
      <c r="Q1197" s="2467"/>
      <c r="R1197" s="1998"/>
      <c r="S1197" s="1998"/>
      <c r="T1197" s="1998"/>
      <c r="U1197" s="1998"/>
      <c r="V1197" s="1997"/>
      <c r="W1197" s="2028"/>
      <c r="X1197" s="2028"/>
      <c r="Y1197" s="1998"/>
      <c r="Z1197" s="1998"/>
      <c r="AA1197" s="1998"/>
      <c r="AB1197" s="1998"/>
      <c r="AC1197" s="1998"/>
      <c r="AD1197" s="1998"/>
      <c r="AE1197" s="1998"/>
      <c r="AF1197" s="1998"/>
    </row>
    <row r="1198" spans="1:32" ht="14">
      <c r="A1198" s="2462"/>
      <c r="B1198" s="1998"/>
      <c r="C1198" s="1998" t="s">
        <v>4590</v>
      </c>
      <c r="D1198" s="1998"/>
      <c r="E1198" s="1998"/>
      <c r="F1198" s="1998"/>
      <c r="G1198" s="1998">
        <f>'Part VIII Scoring Criteria'!G41</f>
        <v>0</v>
      </c>
      <c r="H1198" s="1998"/>
      <c r="I1198" s="1998"/>
      <c r="J1198" s="1998"/>
      <c r="K1198" s="1998"/>
      <c r="L1198" s="1998"/>
      <c r="M1198" s="2467"/>
      <c r="N1198" s="1998"/>
      <c r="O1198" s="2826"/>
      <c r="P1198" s="2826"/>
      <c r="Q1198" s="2467"/>
      <c r="R1198" s="1998"/>
      <c r="S1198" s="1998"/>
      <c r="T1198" s="1998"/>
      <c r="U1198" s="1998"/>
      <c r="V1198" s="1997"/>
      <c r="W1198" s="2028"/>
      <c r="X1198" s="2028"/>
      <c r="Y1198" s="1998"/>
      <c r="Z1198" s="1998"/>
      <c r="AA1198" s="1998"/>
      <c r="AB1198" s="1998"/>
      <c r="AC1198" s="1998"/>
      <c r="AD1198" s="1998"/>
      <c r="AE1198" s="1998"/>
      <c r="AF1198" s="1998"/>
    </row>
    <row r="1199" spans="1:32" ht="14.15" customHeight="1">
      <c r="A1199" s="2827"/>
      <c r="B1199" s="2465"/>
      <c r="C1199" s="1998" t="s">
        <v>4860</v>
      </c>
      <c r="D1199" s="1998"/>
      <c r="E1199" s="1998"/>
      <c r="F1199" s="1998"/>
      <c r="G1199" s="1998"/>
      <c r="H1199" s="1998"/>
      <c r="I1199" s="1998"/>
      <c r="J1199" s="1998"/>
      <c r="K1199" s="1998"/>
      <c r="L1199" s="1998"/>
      <c r="M1199" s="1998"/>
      <c r="N1199" s="2465"/>
      <c r="O1199" s="2012">
        <f>'Part VIII Scoring Criteria'!O42</f>
        <v>0</v>
      </c>
      <c r="P1199" s="2012"/>
      <c r="Q1199" s="2467"/>
      <c r="R1199" s="1998"/>
      <c r="S1199" s="1998"/>
      <c r="T1199" s="1998"/>
      <c r="U1199" s="1998"/>
      <c r="V1199" s="2028"/>
      <c r="W1199" s="2028"/>
      <c r="X1199" s="2028"/>
      <c r="Y1199" s="2028"/>
      <c r="Z1199" s="2028"/>
      <c r="AA1199" s="2028"/>
      <c r="AB1199" s="2028"/>
      <c r="AC1199" s="2028"/>
      <c r="AD1199" s="2028"/>
      <c r="AE1199" s="2028"/>
      <c r="AF1199" s="2028"/>
    </row>
    <row r="1200" spans="1:32" ht="14">
      <c r="A1200" s="1998"/>
      <c r="B1200" s="2028"/>
      <c r="C1200" s="2028"/>
      <c r="D1200" s="1998"/>
      <c r="E1200" s="1998"/>
      <c r="F1200" s="2467"/>
      <c r="G1200" s="2467"/>
      <c r="H1200" s="2467"/>
      <c r="I1200" s="2467"/>
      <c r="J1200" s="2031"/>
      <c r="K1200" s="2031"/>
      <c r="L1200" s="2031"/>
      <c r="M1200" s="2012"/>
      <c r="N1200" s="2467"/>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4">
      <c r="A1201" s="2467" t="s">
        <v>1836</v>
      </c>
      <c r="B1201" s="2828" t="s">
        <v>4478</v>
      </c>
      <c r="C1201" s="2028"/>
      <c r="D1201" s="2035"/>
      <c r="E1201" s="2035"/>
      <c r="F1201" s="2028"/>
      <c r="G1201" s="2028"/>
      <c r="H1201" s="2035"/>
      <c r="I1201" s="2028"/>
      <c r="J1201" s="2028"/>
      <c r="K1201" s="2028"/>
      <c r="L1201" s="2035"/>
      <c r="M1201" s="2017">
        <v>2</v>
      </c>
      <c r="N1201" s="2465"/>
      <c r="O1201" s="2027">
        <f>'Part VIII Scoring Criteria'!O44</f>
        <v>0</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4">
      <c r="A1202" s="2829"/>
      <c r="B1202" s="2035" t="s">
        <v>4967</v>
      </c>
      <c r="C1202" s="2034"/>
      <c r="D1202" s="2034"/>
      <c r="E1202" s="2034"/>
      <c r="F1202" s="2034"/>
      <c r="G1202" s="2034"/>
      <c r="H1202" s="2034"/>
      <c r="I1202" s="2034"/>
      <c r="J1202" s="2034"/>
      <c r="K1202" s="2034"/>
      <c r="L1202" s="2034"/>
      <c r="M1202" s="2034"/>
      <c r="N1202" s="2816"/>
      <c r="O1202" s="2012">
        <f>'Part VIII Scoring Criteria'!O45</f>
        <v>0</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4">
      <c r="A1203" s="2467" t="s">
        <v>1838</v>
      </c>
      <c r="B1203" s="2828" t="s">
        <v>4479</v>
      </c>
      <c r="C1203" s="2028"/>
      <c r="D1203" s="2035"/>
      <c r="E1203" s="2028"/>
      <c r="F1203" s="2028"/>
      <c r="G1203" s="2028"/>
      <c r="H1203" s="2028"/>
      <c r="I1203" s="2028"/>
      <c r="J1203" s="2028"/>
      <c r="K1203" s="2028"/>
      <c r="L1203" s="2035"/>
      <c r="M1203" s="2017">
        <v>2</v>
      </c>
      <c r="N1203" s="2465"/>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4">
      <c r="A1204" s="2467"/>
      <c r="B1204" s="1998" t="s">
        <v>4968</v>
      </c>
      <c r="C1204" s="2028"/>
      <c r="D1204" s="2035"/>
      <c r="E1204" s="2028"/>
      <c r="F1204" s="2028"/>
      <c r="G1204" s="2028"/>
      <c r="H1204" s="2028"/>
      <c r="I1204" s="2028"/>
      <c r="J1204" s="2028"/>
      <c r="K1204" s="2028"/>
      <c r="L1204" s="2035"/>
      <c r="M1204" s="2017"/>
      <c r="N1204" s="2465"/>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5" customHeight="1">
      <c r="A1205" s="2467"/>
      <c r="B1205" s="2034" t="s">
        <v>4861</v>
      </c>
      <c r="C1205" s="2034"/>
      <c r="D1205" s="2034"/>
      <c r="E1205" s="2034"/>
      <c r="F1205" s="2034"/>
      <c r="G1205" s="2034"/>
      <c r="H1205" s="2034"/>
      <c r="I1205" s="2034"/>
      <c r="J1205" s="2034"/>
      <c r="K1205" s="2034"/>
      <c r="L1205" s="2034"/>
      <c r="M1205" s="2034"/>
      <c r="N1205" s="2465"/>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5">
      <c r="A1206" s="1998"/>
      <c r="B1206" s="2808" t="s">
        <v>5123</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5">
      <c r="A1207" s="2823">
        <f>'Part VIII Scoring Criteria'!A50</f>
        <v>0</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5">
      <c r="A1208" s="1998"/>
      <c r="B1208" s="2823" t="s">
        <v>1725</v>
      </c>
      <c r="C1208" s="1998"/>
      <c r="D1208" s="2823"/>
      <c r="E1208" s="2035"/>
      <c r="F1208" s="2035"/>
      <c r="G1208" s="2035"/>
      <c r="H1208" s="2035"/>
      <c r="I1208" s="2035"/>
      <c r="J1208" s="2035"/>
      <c r="K1208" s="2035"/>
      <c r="L1208" s="2035"/>
      <c r="M1208" s="2035"/>
      <c r="N1208" s="2033"/>
      <c r="O1208" s="2819"/>
      <c r="P1208" s="2467"/>
      <c r="Q1208" s="2028"/>
      <c r="R1208" s="2028"/>
      <c r="S1208" s="2028"/>
      <c r="T1208" s="2028"/>
      <c r="U1208" s="2028"/>
      <c r="V1208" s="2028"/>
      <c r="W1208" s="2028"/>
      <c r="X1208" s="2028"/>
      <c r="Y1208" s="2028"/>
      <c r="Z1208" s="2028"/>
      <c r="AA1208" s="2028"/>
      <c r="AB1208" s="2028"/>
      <c r="AC1208" s="2028"/>
      <c r="AD1208" s="2028"/>
      <c r="AE1208" s="2028"/>
      <c r="AF1208" s="2028"/>
    </row>
    <row r="1209" spans="1:32" ht="14">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4">
      <c r="A1210" s="1998"/>
      <c r="B1210" s="2470"/>
      <c r="C1210" s="1998"/>
      <c r="D1210" s="1997"/>
      <c r="E1210" s="1998"/>
      <c r="F1210" s="1998"/>
      <c r="G1210" s="2471"/>
      <c r="H1210" s="2471"/>
      <c r="I1210" s="2471"/>
      <c r="J1210" s="2471"/>
      <c r="K1210" s="2471"/>
      <c r="L1210" s="2471"/>
      <c r="M1210" s="2012"/>
      <c r="N1210" s="2017"/>
      <c r="O1210" s="2027"/>
      <c r="P1210" s="2467"/>
      <c r="Q1210" s="2028"/>
      <c r="R1210" s="1998"/>
      <c r="S1210" s="1998"/>
      <c r="T1210" s="1998"/>
      <c r="U1210" s="1998"/>
      <c r="V1210" s="1998"/>
      <c r="W1210" s="1998"/>
      <c r="X1210" s="2472"/>
      <c r="Y1210" s="2472"/>
      <c r="Z1210" s="2472"/>
      <c r="AA1210" s="2472"/>
      <c r="AB1210" s="2472"/>
      <c r="AC1210" s="2472"/>
      <c r="AD1210" s="2472"/>
      <c r="AE1210" s="2472"/>
      <c r="AF1210" s="2472"/>
    </row>
    <row r="1211" spans="1:32" ht="14">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3"/>
      <c r="U1211" s="2463"/>
      <c r="V1211" s="2028"/>
      <c r="W1211" s="2028"/>
      <c r="X1211" s="2028"/>
      <c r="Y1211" s="2028"/>
      <c r="Z1211" s="2028"/>
      <c r="AA1211" s="2028"/>
      <c r="AB1211" s="2028"/>
      <c r="AC1211" s="2028"/>
      <c r="AD1211" s="2028"/>
      <c r="AE1211" s="2028"/>
      <c r="AF1211" s="2028"/>
    </row>
    <row r="1212" spans="1:32" ht="14">
      <c r="A1212" s="2462" t="s">
        <v>1663</v>
      </c>
      <c r="B1212" s="2463" t="s">
        <v>3261</v>
      </c>
      <c r="C1212" s="2028"/>
      <c r="D1212" s="2036"/>
      <c r="E1212" s="2036"/>
      <c r="F1212" s="1998"/>
      <c r="G1212" s="1998"/>
      <c r="H1212" s="1998"/>
      <c r="I1212" s="2028"/>
      <c r="J1212" s="2830"/>
      <c r="K1212" s="2467"/>
      <c r="L1212" s="2810" t="s">
        <v>4899</v>
      </c>
      <c r="M1212" s="2027">
        <v>5</v>
      </c>
      <c r="N1212" s="2012"/>
      <c r="O1212" s="2807">
        <f>'Part VIII Scoring Criteria'!O55</f>
        <v>0</v>
      </c>
      <c r="P1212" s="2807">
        <f>'Part VIII Scoring Criteria'!P55</f>
        <v>0</v>
      </c>
      <c r="Q1212" s="2467" t="s">
        <v>415</v>
      </c>
      <c r="R1212" s="2028"/>
      <c r="S1212" s="2028"/>
      <c r="T1212" s="2028"/>
      <c r="U1212" s="2028"/>
      <c r="V1212" s="2028"/>
      <c r="W1212" s="2028"/>
      <c r="X1212" s="2028"/>
      <c r="Y1212" s="2028"/>
      <c r="Z1212" s="2028"/>
      <c r="AA1212" s="2028"/>
      <c r="AB1212" s="2028"/>
      <c r="AC1212" s="2028"/>
      <c r="AD1212" s="2028"/>
      <c r="AE1212" s="2028"/>
      <c r="AF1212" s="2028"/>
    </row>
    <row r="1213" spans="1:32" ht="14">
      <c r="A1213" s="2831" t="s">
        <v>1836</v>
      </c>
      <c r="B1213" s="1997" t="s">
        <v>3262</v>
      </c>
      <c r="C1213" s="2028"/>
      <c r="D1213" s="2028"/>
      <c r="E1213" s="2028"/>
      <c r="F1213" s="2028"/>
      <c r="G1213" s="2028"/>
      <c r="H1213" s="2028"/>
      <c r="I1213" s="2028"/>
      <c r="J1213" s="2028"/>
      <c r="K1213" s="2028"/>
      <c r="L1213" s="2812" t="str">
        <f>IF(O1213&lt;=M1213,"","* * Check Score! * *")</f>
        <v/>
      </c>
      <c r="M1213" s="2012">
        <v>4</v>
      </c>
      <c r="N1213" s="2465"/>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5" customHeight="1">
      <c r="A1214" s="2831"/>
      <c r="B1214" s="2827" t="s">
        <v>4864</v>
      </c>
      <c r="C1214" s="2827"/>
      <c r="D1214" s="2827"/>
      <c r="E1214" s="2827"/>
      <c r="F1214" s="2827"/>
      <c r="G1214" s="2827"/>
      <c r="H1214" s="2827"/>
      <c r="I1214" s="2827"/>
      <c r="J1214" s="2827"/>
      <c r="K1214" s="2827"/>
      <c r="L1214" s="2827"/>
      <c r="M1214" s="2028"/>
      <c r="N1214" s="2028"/>
      <c r="O1214" s="2467">
        <f>'Part VIII Scoring Criteria'!O57</f>
        <v>0</v>
      </c>
      <c r="P1214" s="2467"/>
      <c r="Q1214" s="2028"/>
      <c r="R1214" s="1997"/>
      <c r="S1214" s="1997"/>
      <c r="T1214" s="2802"/>
      <c r="U1214" s="2028"/>
      <c r="V1214" s="2028"/>
      <c r="W1214" s="2028"/>
      <c r="X1214" s="2028"/>
      <c r="Y1214" s="2028"/>
      <c r="Z1214" s="2028"/>
      <c r="AA1214" s="2028"/>
      <c r="AB1214" s="2028"/>
      <c r="AC1214" s="2028"/>
      <c r="AD1214" s="2028"/>
      <c r="AE1214" s="2028"/>
      <c r="AF1214" s="2028"/>
    </row>
    <row r="1215" spans="1:32" ht="14.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4">
      <c r="A1216" s="2465"/>
      <c r="B1216" s="2815" t="s">
        <v>1839</v>
      </c>
      <c r="C1216" s="1998" t="s">
        <v>1386</v>
      </c>
      <c r="D1216" s="2028"/>
      <c r="E1216" s="2028"/>
      <c r="F1216" s="2028"/>
      <c r="G1216" s="2028"/>
      <c r="H1216" s="2028"/>
      <c r="I1216" s="2465"/>
      <c r="J1216" s="2834">
        <f>'Part VIII Scoring Criteria'!J59</f>
        <v>0</v>
      </c>
      <c r="K1216" s="2834"/>
      <c r="L1216" s="2465"/>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4">
      <c r="A1217" s="2810"/>
      <c r="B1217" s="2817" t="s">
        <v>1841</v>
      </c>
      <c r="C1217" s="1998" t="s">
        <v>3072</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4">
      <c r="A1218" s="2028"/>
      <c r="B1218" s="2815" t="s">
        <v>2326</v>
      </c>
      <c r="C1218" s="1998" t="s">
        <v>3833</v>
      </c>
      <c r="D1218" s="2028"/>
      <c r="E1218" s="2028"/>
      <c r="F1218" s="2028"/>
      <c r="G1218" s="2028"/>
      <c r="H1218" s="2028"/>
      <c r="I1218" s="2465"/>
      <c r="J1218" s="2834">
        <f>'Part VIII Scoring Criteria'!J61</f>
        <v>0</v>
      </c>
      <c r="K1218" s="2834"/>
      <c r="L1218" s="2465"/>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4">
      <c r="A1219" s="2028"/>
      <c r="B1219" s="2815" t="s">
        <v>1149</v>
      </c>
      <c r="C1219" s="1998" t="s">
        <v>4862</v>
      </c>
      <c r="D1219" s="2028"/>
      <c r="E1219" s="2028"/>
      <c r="F1219" s="2028"/>
      <c r="G1219" s="2028"/>
      <c r="H1219" s="2028"/>
      <c r="I1219" s="2465"/>
      <c r="J1219" s="2834">
        <f>'Part VIII Scoring Criteria'!J62</f>
        <v>0</v>
      </c>
      <c r="K1219" s="2834"/>
      <c r="L1219" s="2465"/>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4">
      <c r="A1220" s="2810"/>
      <c r="B1220" s="2817" t="s">
        <v>1150</v>
      </c>
      <c r="C1220" s="1998" t="s">
        <v>2988</v>
      </c>
      <c r="D1220" s="2028"/>
      <c r="E1220" s="2028"/>
      <c r="F1220" s="2028"/>
      <c r="G1220" s="2028"/>
      <c r="H1220" s="2028"/>
      <c r="I1220" s="2465"/>
      <c r="J1220" s="2834">
        <f>'Part VIII Scoring Criteria'!J63</f>
        <v>0</v>
      </c>
      <c r="K1220" s="2834"/>
      <c r="L1220" s="2465"/>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4">
      <c r="A1221" s="2465"/>
      <c r="B1221" s="2815" t="s">
        <v>1737</v>
      </c>
      <c r="C1221" s="1998" t="s">
        <v>2467</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4">
      <c r="A1222" s="2028"/>
      <c r="B1222" s="2815" t="s">
        <v>472</v>
      </c>
      <c r="C1222" s="1998" t="s">
        <v>1385</v>
      </c>
      <c r="D1222" s="2028"/>
      <c r="E1222" s="2028"/>
      <c r="F1222" s="2028"/>
      <c r="G1222" s="2028"/>
      <c r="H1222" s="2028"/>
      <c r="I1222" s="2465"/>
      <c r="J1222" s="2834">
        <f>'Part VIII Scoring Criteria'!J65</f>
        <v>0</v>
      </c>
      <c r="K1222" s="2834"/>
      <c r="L1222" s="2465"/>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4">
      <c r="A1223" s="2028"/>
      <c r="B1223" s="2815" t="s">
        <v>473</v>
      </c>
      <c r="C1223" s="1998" t="s">
        <v>4134</v>
      </c>
      <c r="D1223" s="2028"/>
      <c r="E1223" s="2028"/>
      <c r="F1223" s="2028"/>
      <c r="G1223" s="2028"/>
      <c r="H1223" s="2028"/>
      <c r="I1223" s="2465"/>
      <c r="J1223" s="2834">
        <f>'Part VIII Scoring Criteria'!J66</f>
        <v>0</v>
      </c>
      <c r="K1223" s="2834"/>
      <c r="L1223" s="2465"/>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4">
      <c r="A1224" s="2810"/>
      <c r="B1224" s="2815" t="s">
        <v>3768</v>
      </c>
      <c r="C1224" s="1998" t="s">
        <v>3071</v>
      </c>
      <c r="D1224" s="2028"/>
      <c r="E1224" s="2028"/>
      <c r="F1224" s="2028"/>
      <c r="G1224" s="2028"/>
      <c r="H1224" s="2028"/>
      <c r="I1224" s="2465"/>
      <c r="J1224" s="2834">
        <f>'Part VIII Scoring Criteria'!J67</f>
        <v>0</v>
      </c>
      <c r="K1224" s="2834"/>
      <c r="L1224" s="2465"/>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4">
      <c r="A1225" s="2028"/>
      <c r="B1225" s="2815" t="s">
        <v>4710</v>
      </c>
      <c r="C1225" s="1998" t="s">
        <v>4709</v>
      </c>
      <c r="D1225" s="2028"/>
      <c r="E1225" s="2028"/>
      <c r="F1225" s="2028"/>
      <c r="G1225" s="2028"/>
      <c r="H1225" s="2028"/>
      <c r="I1225" s="2465"/>
      <c r="J1225" s="2834">
        <f>'Part VIII Scoring Criteria'!J68</f>
        <v>0</v>
      </c>
      <c r="K1225" s="2834"/>
      <c r="L1225" s="2465"/>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4">
      <c r="A1226" s="2028"/>
      <c r="B1226" s="2815" t="s">
        <v>4711</v>
      </c>
      <c r="C1226" s="1998" t="s">
        <v>4731</v>
      </c>
      <c r="D1226" s="2028"/>
      <c r="E1226" s="2028"/>
      <c r="F1226" s="2028"/>
      <c r="G1226" s="2028"/>
      <c r="H1226" s="2028"/>
      <c r="I1226" s="2465"/>
      <c r="J1226" s="2834">
        <f>'Part VIII Scoring Criteria'!J69</f>
        <v>0</v>
      </c>
      <c r="K1226" s="2834"/>
      <c r="L1226" s="2465"/>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4">
      <c r="A1227" s="2028"/>
      <c r="B1227" s="2815" t="s">
        <v>4863</v>
      </c>
      <c r="C1227" s="1998" t="s">
        <v>4732</v>
      </c>
      <c r="D1227" s="2028"/>
      <c r="E1227" s="2028"/>
      <c r="F1227" s="2028"/>
      <c r="G1227" s="2028"/>
      <c r="H1227" s="2028"/>
      <c r="I1227" s="2465"/>
      <c r="J1227" s="2834">
        <f>'Part VIII Scoring Criteria'!J70</f>
        <v>0</v>
      </c>
      <c r="K1227" s="2834"/>
      <c r="L1227" s="2465"/>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4">
      <c r="A1228" s="2028"/>
      <c r="B1228" s="1998"/>
      <c r="C1228" s="2028"/>
      <c r="D1228" s="2028"/>
      <c r="E1228" s="2028"/>
      <c r="F1228" s="2028"/>
      <c r="G1228" s="2028"/>
      <c r="H1228" s="2028"/>
      <c r="I1228" s="2470" t="s">
        <v>2406</v>
      </c>
      <c r="J1228" s="2834">
        <f>SUM(J1216:K1227)</f>
        <v>0</v>
      </c>
      <c r="K1228" s="2834"/>
      <c r="L1228" s="2028"/>
      <c r="M1228" s="2834">
        <f>SUM($M1216:$M1227)</f>
        <v>0</v>
      </c>
      <c r="N1228" s="2834"/>
      <c r="O1228" s="2834"/>
      <c r="P1228" s="2834"/>
      <c r="Q1228" s="2028"/>
      <c r="R1228" s="2028"/>
      <c r="S1228" s="2028"/>
      <c r="T1228" s="2028"/>
      <c r="U1228" s="2028" t="s">
        <v>4737</v>
      </c>
      <c r="V1228" s="2028"/>
      <c r="W1228" s="2028"/>
      <c r="X1228" s="2028"/>
      <c r="Y1228" s="2028"/>
      <c r="Z1228" s="2028"/>
      <c r="AA1228" s="2028"/>
      <c r="AB1228" s="2028"/>
      <c r="AC1228" s="2028"/>
      <c r="AD1228" s="2028"/>
      <c r="AE1228" s="2028"/>
      <c r="AF1228" s="2028"/>
    </row>
    <row r="1229" spans="1:32" ht="14">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4735</v>
      </c>
      <c r="V1229" s="2835" t="s">
        <v>4736</v>
      </c>
      <c r="W1229" s="2835" t="s">
        <v>4735</v>
      </c>
      <c r="X1229" s="2835" t="s">
        <v>4736</v>
      </c>
      <c r="Y1229" s="2835" t="s">
        <v>4735</v>
      </c>
      <c r="Z1229" s="2835" t="s">
        <v>4736</v>
      </c>
      <c r="AA1229" s="2028"/>
      <c r="AB1229" s="2028"/>
      <c r="AC1229" s="2028"/>
      <c r="AD1229" s="2028"/>
      <c r="AE1229" s="2028"/>
      <c r="AF1229" s="2028"/>
    </row>
    <row r="1230" spans="1:32" ht="14">
      <c r="A1230" s="1998"/>
      <c r="B1230" s="2815"/>
      <c r="C1230" s="2036" t="s">
        <v>2405</v>
      </c>
      <c r="D1230" s="1998"/>
      <c r="E1230" s="1998"/>
      <c r="F1230" s="2028"/>
      <c r="G1230" s="2028"/>
      <c r="H1230" s="2028"/>
      <c r="I1230" s="2465" t="s">
        <v>4137</v>
      </c>
      <c r="J1230" s="2834">
        <f>'Part VIII Scoring Criteria'!J73</f>
        <v>0</v>
      </c>
      <c r="K1230" s="2834"/>
      <c r="L1230" s="1997"/>
      <c r="M1230" s="1997"/>
      <c r="N1230" s="1997"/>
      <c r="O1230" s="2028"/>
      <c r="P1230" s="1997"/>
      <c r="Q1230" s="2028"/>
      <c r="R1230" s="2836" t="s">
        <v>4733</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
      <c r="A1231" s="2028"/>
      <c r="B1231" s="2028"/>
      <c r="C1231" s="1998"/>
      <c r="D1231" s="1998"/>
      <c r="E1231" s="1998"/>
      <c r="F1231" s="2028"/>
      <c r="G1231" s="2028"/>
      <c r="H1231" s="2028"/>
      <c r="I1231" s="2810" t="s">
        <v>4138</v>
      </c>
      <c r="J1231" s="2839">
        <f>'Part VIII Scoring Criteria'!J74</f>
        <v>0</v>
      </c>
      <c r="K1231" s="2839"/>
      <c r="L1231" s="2028"/>
      <c r="M1231" s="2839">
        <f>IF(J1230=0,0,M1228/J1230)</f>
        <v>0</v>
      </c>
      <c r="N1231" s="2839"/>
      <c r="O1231" s="2839"/>
      <c r="P1231" s="2839"/>
      <c r="Q1231" s="2028"/>
      <c r="R1231" s="2836" t="s">
        <v>4734</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
      <c r="A1232" s="2028"/>
      <c r="B1232" s="2028"/>
      <c r="C1232" s="1998"/>
      <c r="D1232" s="1998"/>
      <c r="E1232" s="1998"/>
      <c r="F1232" s="2028"/>
      <c r="G1232" s="2028"/>
      <c r="H1232" s="2028"/>
      <c r="I1232" s="2810" t="s">
        <v>4712</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4865</v>
      </c>
      <c r="S1232" s="2028"/>
      <c r="T1232" s="2028"/>
      <c r="U1232" s="1998">
        <v>2</v>
      </c>
      <c r="V1232" s="1998"/>
      <c r="W1232" s="1998">
        <v>3</v>
      </c>
      <c r="X1232" s="1998"/>
      <c r="Y1232" s="1998">
        <v>4</v>
      </c>
      <c r="Z1232" s="1998"/>
      <c r="AA1232" s="2028"/>
      <c r="AB1232" s="2028"/>
      <c r="AC1232" s="2028"/>
      <c r="AD1232" s="2028"/>
      <c r="AE1232" s="2028"/>
      <c r="AF1232" s="2028"/>
    </row>
    <row r="1233" spans="1:32" ht="14">
      <c r="A1233" s="2028"/>
      <c r="B1233" s="2028"/>
      <c r="C1233" s="1998"/>
      <c r="D1233" s="1998"/>
      <c r="E1233" s="1998"/>
      <c r="F1233" s="2028"/>
      <c r="G1233" s="2028"/>
      <c r="H1233" s="2028"/>
      <c r="I1233" s="2810" t="s">
        <v>4139</v>
      </c>
      <c r="J1233" s="2840">
        <f>'Part VIII Scoring Criteria'!J76</f>
        <v>0</v>
      </c>
      <c r="K1233" s="2840"/>
      <c r="L1233" s="1997"/>
      <c r="M1233" s="2840">
        <f t="shared" ref="M1233" si="378">IF(AND(M1219+M1224&gt;0,$J$73&gt;=$Y$74),$Y$75, IF(AND(M1219+M1224=0,$J$73&gt;=$Y$74),$Y$76, IF(AND(M1219+M1224&gt;0,$J$73&gt;=$W$74),$W$75,IF(AND(M1219+M1224=0,$J$73&gt;=$W$74),$W$76, IF(AND(M1219+M1224&gt;0,$J$73&gt;=$U$74),$U$75,IF(AND(M1219+M1224=0,$J$73&gt;=$U$74),$U$76,0))))))</f>
        <v>0</v>
      </c>
      <c r="N1233" s="2840"/>
      <c r="O1233" s="2840">
        <f t="shared" ref="O1233" si="379">IF(AND(O1219+O1224&gt;0,$J$73&gt;=$Y$74),$Y$75, IF(AND(O1219+O1224=0,$J$73&gt;=$Y$74),$Y$76, IF(AND(O1219+O1224&gt;0,$J$73&gt;=$W$74),$W$75,IF(AND(O1219+O1224=0,$J$73&gt;=$W$74),$W$76, IF(AND(O1219+O1224&gt;0,$J$73&gt;=$U$74),$U$75,IF(AND(O1219+O1224=0,$J$73&gt;=$U$74),$U$76,0))))))</f>
        <v>0</v>
      </c>
      <c r="P1233" s="2840"/>
      <c r="Q1233" s="2028"/>
      <c r="R1233" s="2836" t="s">
        <v>4866</v>
      </c>
      <c r="S1233" s="2028"/>
      <c r="T1233" s="2028"/>
      <c r="U1233" s="1998">
        <v>1</v>
      </c>
      <c r="V1233" s="1998"/>
      <c r="W1233" s="1998">
        <v>2</v>
      </c>
      <c r="X1233" s="1998"/>
      <c r="Y1233" s="1998">
        <v>3</v>
      </c>
      <c r="Z1233" s="1998"/>
      <c r="AA1233" s="2028"/>
      <c r="AB1233" s="2028"/>
      <c r="AC1233" s="2028"/>
      <c r="AD1233" s="2028"/>
      <c r="AE1233" s="2028"/>
      <c r="AF1233" s="2028"/>
    </row>
    <row r="1234" spans="1:32" ht="14">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4">
      <c r="A1235" s="2467" t="s">
        <v>1838</v>
      </c>
      <c r="B1235" s="1997" t="s">
        <v>4867</v>
      </c>
      <c r="C1235" s="2028"/>
      <c r="D1235" s="1998"/>
      <c r="E1235" s="2028"/>
      <c r="F1235" s="2841" t="s">
        <v>4871</v>
      </c>
      <c r="G1235" s="2028"/>
      <c r="H1235" s="2028"/>
      <c r="I1235" s="2028"/>
      <c r="J1235" s="2028"/>
      <c r="K1235" s="1998"/>
      <c r="L1235" s="2842" t="s">
        <v>4870</v>
      </c>
      <c r="M1235" s="2012">
        <v>1</v>
      </c>
      <c r="N1235" s="2465"/>
      <c r="O1235" s="2807">
        <f>'Part VIII Scoring Criteria'!O78</f>
        <v>0</v>
      </c>
      <c r="P1235" s="2807">
        <f>'Part VIII Scoring Criteria'!P78</f>
        <v>0</v>
      </c>
      <c r="Q1235" s="2813"/>
      <c r="R1235" s="2814"/>
      <c r="S1235" s="2028"/>
      <c r="T1235" s="2463"/>
      <c r="U1235" s="2463"/>
      <c r="V1235" s="2028"/>
      <c r="W1235" s="2028"/>
      <c r="X1235" s="2028"/>
      <c r="Y1235" s="2028"/>
      <c r="Z1235" s="2028"/>
      <c r="AA1235" s="2028"/>
      <c r="AB1235" s="2028"/>
      <c r="AC1235" s="2028"/>
      <c r="AD1235" s="2028"/>
      <c r="AE1235" s="2028"/>
      <c r="AF1235" s="2028"/>
    </row>
    <row r="1236" spans="1:32" ht="14">
      <c r="A1236" s="2467"/>
      <c r="B1236" s="2815" t="s">
        <v>1839</v>
      </c>
      <c r="C1236" s="2031" t="s">
        <v>4868</v>
      </c>
      <c r="D1236" s="1998"/>
      <c r="E1236" s="1998"/>
      <c r="F1236" s="2843" t="s">
        <v>4869</v>
      </c>
      <c r="G1236" s="1998"/>
      <c r="H1236" s="1998"/>
      <c r="I1236" s="2467"/>
      <c r="J1236" s="2031"/>
      <c r="K1236" s="2031"/>
      <c r="L1236" s="2812" t="str">
        <f>IF(OR($O1236=$M1236,$O1236=0,$O1236=""),"","* * Check Score! * *")</f>
        <v/>
      </c>
      <c r="M1236" s="2844">
        <v>0.5</v>
      </c>
      <c r="N1236" s="2465"/>
      <c r="O1236" s="2807">
        <f>'Part VIII Scoring Criteria'!O79</f>
        <v>0</v>
      </c>
      <c r="P1236" s="2807"/>
      <c r="Q1236" s="2814"/>
      <c r="R1236" s="1998"/>
      <c r="S1236" s="1998"/>
      <c r="T1236" s="1998"/>
      <c r="U1236" s="1998"/>
      <c r="V1236" s="2463"/>
      <c r="W1236" s="1998"/>
      <c r="X1236" s="1998"/>
      <c r="Y1236" s="1998"/>
      <c r="Z1236" s="1998"/>
      <c r="AA1236" s="1998"/>
      <c r="AB1236" s="1998"/>
      <c r="AC1236" s="1998"/>
      <c r="AD1236" s="1998"/>
      <c r="AE1236" s="1998"/>
      <c r="AF1236" s="1998"/>
    </row>
    <row r="1237" spans="1:32" ht="14">
      <c r="A1237" s="2467"/>
      <c r="B1237" s="2817" t="s">
        <v>1841</v>
      </c>
      <c r="C1237" s="2031" t="s">
        <v>3074</v>
      </c>
      <c r="D1237" s="1998"/>
      <c r="E1237" s="1998"/>
      <c r="F1237" s="2467"/>
      <c r="G1237" s="1998"/>
      <c r="H1237" s="1998"/>
      <c r="I1237" s="2467"/>
      <c r="J1237" s="2031"/>
      <c r="K1237" s="2031"/>
      <c r="L1237" s="2812" t="str">
        <f>IF(OR($O1237=$M1237,$O1237=0,$O1237=""),"","* * Check Score! * *")</f>
        <v/>
      </c>
      <c r="M1237" s="2844">
        <v>1</v>
      </c>
      <c r="N1237" s="2465"/>
      <c r="O1237" s="2027">
        <f>'Part VIII Scoring Criteria'!O80</f>
        <v>0</v>
      </c>
      <c r="P1237" s="2027">
        <f>'Part VIII Scoring Criteria'!P80</f>
        <v>0</v>
      </c>
      <c r="Q1237" s="2814"/>
      <c r="R1237" s="1998"/>
      <c r="S1237" s="1998"/>
      <c r="T1237" s="1998"/>
      <c r="U1237" s="1998"/>
      <c r="V1237" s="2463"/>
      <c r="W1237" s="1998"/>
      <c r="X1237" s="1998"/>
      <c r="Y1237" s="1998"/>
      <c r="Z1237" s="1998"/>
      <c r="AA1237" s="1998"/>
      <c r="AB1237" s="1998"/>
      <c r="AC1237" s="1998"/>
      <c r="AD1237" s="1998"/>
      <c r="AE1237" s="1998"/>
      <c r="AF1237" s="1998"/>
    </row>
    <row r="1238" spans="1:32" ht="14">
      <c r="A1238" s="2470"/>
      <c r="B1238" s="2845"/>
      <c r="C1238" s="2035" t="s">
        <v>4967</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3"/>
      <c r="W1238" s="2028"/>
      <c r="X1238" s="2028"/>
      <c r="Y1238" s="2028"/>
      <c r="Z1238" s="2028"/>
      <c r="AA1238" s="2028"/>
      <c r="AB1238" s="2028"/>
      <c r="AC1238" s="2028"/>
      <c r="AD1238" s="2028"/>
      <c r="AE1238" s="2028"/>
      <c r="AF1238" s="2028"/>
    </row>
    <row r="1239" spans="1:32" ht="14">
      <c r="A1239" s="2470"/>
      <c r="B1239" s="2845"/>
      <c r="C1239" s="1998" t="s">
        <v>4713</v>
      </c>
      <c r="D1239" s="1998"/>
      <c r="E1239" s="1998"/>
      <c r="F1239" s="1998"/>
      <c r="G1239" s="1998"/>
      <c r="H1239" s="1998"/>
      <c r="I1239" s="1998"/>
      <c r="J1239" s="1998"/>
      <c r="K1239" s="1998"/>
      <c r="L1239" s="2028"/>
      <c r="M1239" s="1998"/>
      <c r="N1239" s="2847"/>
      <c r="O1239" s="2819">
        <f>'Part VIII Scoring Criteria'!O82</f>
        <v>0</v>
      </c>
      <c r="P1239" s="2467"/>
      <c r="Q1239" s="2028"/>
      <c r="R1239" s="2028"/>
      <c r="S1239" s="2028"/>
      <c r="T1239" s="2028"/>
      <c r="U1239" s="2028"/>
      <c r="V1239" s="2463"/>
      <c r="W1239" s="2028"/>
      <c r="X1239" s="2028"/>
      <c r="Y1239" s="2028"/>
      <c r="Z1239" s="2028"/>
      <c r="AA1239" s="2028"/>
      <c r="AB1239" s="2028"/>
      <c r="AC1239" s="2028"/>
      <c r="AD1239" s="2028"/>
      <c r="AE1239" s="2028"/>
      <c r="AF1239" s="2028"/>
    </row>
    <row r="1240" spans="1:32" ht="14.5">
      <c r="A1240" s="1998"/>
      <c r="B1240" s="2808" t="s">
        <v>5123</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5">
      <c r="A1241" s="2823">
        <f>'Part VIII Scoring Criteria'!A84</f>
        <v>0</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5">
      <c r="A1242" s="1998"/>
      <c r="B1242" s="2808" t="s">
        <v>1725</v>
      </c>
      <c r="C1242" s="1998"/>
      <c r="D1242" s="2808"/>
      <c r="E1242" s="2031"/>
      <c r="F1242" s="2031"/>
      <c r="G1242" s="2031"/>
      <c r="H1242" s="2031"/>
      <c r="I1242" s="2031"/>
      <c r="J1242" s="2031"/>
      <c r="K1242" s="2031"/>
      <c r="L1242" s="2031"/>
      <c r="M1242" s="2031"/>
      <c r="N1242" s="2012"/>
      <c r="O1242" s="2467"/>
      <c r="P1242" s="2467"/>
      <c r="Q1242" s="2028"/>
      <c r="R1242" s="1998"/>
      <c r="S1242" s="1998"/>
      <c r="T1242" s="1998"/>
      <c r="U1242" s="1998"/>
      <c r="V1242" s="1998"/>
      <c r="W1242" s="1998"/>
      <c r="X1242" s="1998"/>
      <c r="Y1242" s="1998"/>
      <c r="Z1242" s="1998"/>
      <c r="AA1242" s="1998"/>
      <c r="AB1242" s="1998"/>
      <c r="AC1242" s="1998"/>
      <c r="AD1242" s="1998"/>
      <c r="AE1242" s="1998"/>
      <c r="AF1242" s="1998"/>
    </row>
    <row r="1243" spans="1:32" ht="14">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4">
      <c r="A1244" s="1998"/>
      <c r="B1244" s="2470"/>
      <c r="C1244" s="1998"/>
      <c r="D1244" s="1997"/>
      <c r="E1244" s="1998"/>
      <c r="F1244" s="1998"/>
      <c r="G1244" s="2471"/>
      <c r="H1244" s="2471"/>
      <c r="I1244" s="2471"/>
      <c r="J1244" s="2471"/>
      <c r="K1244" s="2471"/>
      <c r="L1244" s="2471"/>
      <c r="M1244" s="2012"/>
      <c r="N1244" s="2017"/>
      <c r="O1244" s="2027"/>
      <c r="P1244" s="2467"/>
      <c r="Q1244" s="2028"/>
      <c r="R1244" s="1998"/>
      <c r="S1244" s="1998"/>
      <c r="T1244" s="1998"/>
      <c r="U1244" s="1998"/>
      <c r="V1244" s="1998"/>
      <c r="W1244" s="1998"/>
      <c r="X1244" s="2472"/>
      <c r="Y1244" s="2472"/>
      <c r="Z1244" s="2472"/>
      <c r="AA1244" s="2472"/>
      <c r="AB1244" s="2472"/>
      <c r="AC1244" s="2472"/>
      <c r="AD1244" s="2472"/>
      <c r="AE1244" s="2472"/>
      <c r="AF1244" s="2472"/>
    </row>
    <row r="1245" spans="1:32" ht="14">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3"/>
      <c r="U1245" s="2463"/>
      <c r="V1245" s="2028"/>
      <c r="W1245" s="2028"/>
      <c r="X1245" s="2028"/>
      <c r="Y1245" s="2028"/>
      <c r="Z1245" s="2028"/>
      <c r="AA1245" s="2028"/>
      <c r="AB1245" s="2028"/>
      <c r="AC1245" s="2028"/>
      <c r="AD1245" s="2028"/>
      <c r="AE1245" s="2028"/>
      <c r="AF1245" s="2028"/>
    </row>
    <row r="1246" spans="1:32" ht="14">
      <c r="A1246" s="2848" t="s">
        <v>495</v>
      </c>
      <c r="B1246" s="2463" t="s">
        <v>3911</v>
      </c>
      <c r="C1246" s="1998"/>
      <c r="D1246" s="2463"/>
      <c r="E1246" s="2463"/>
      <c r="F1246" s="1998"/>
      <c r="G1246" s="1998"/>
      <c r="H1246" s="1998"/>
      <c r="I1246" s="1998"/>
      <c r="J1246" s="1998"/>
      <c r="K1246" s="2812"/>
      <c r="L1246" s="2810" t="s">
        <v>4899</v>
      </c>
      <c r="M1246" s="2467">
        <v>10</v>
      </c>
      <c r="N1246" s="2012"/>
      <c r="O1246" s="2027">
        <f>'Part VIII Scoring Criteria'!O89</f>
        <v>10</v>
      </c>
      <c r="P1246" s="2027">
        <f>'Part VIII Scoring Criteria'!P89</f>
        <v>10</v>
      </c>
      <c r="Q1246" s="2467" t="s">
        <v>415</v>
      </c>
      <c r="R1246" s="1998"/>
      <c r="S1246" s="1998"/>
      <c r="T1246" s="1998"/>
      <c r="U1246" s="1998"/>
      <c r="V1246" s="1998"/>
      <c r="W1246" s="1998"/>
      <c r="X1246" s="1998"/>
      <c r="Y1246" s="1998"/>
      <c r="Z1246" s="1998"/>
      <c r="AA1246" s="1998"/>
      <c r="AB1246" s="1998"/>
      <c r="AC1246" s="1998"/>
      <c r="AD1246" s="1998"/>
      <c r="AE1246" s="1998"/>
      <c r="AF1246" s="1998"/>
    </row>
    <row r="1247" spans="1:32" ht="14">
      <c r="A1247" s="2848"/>
      <c r="B1247" s="2463"/>
      <c r="C1247" s="1998"/>
      <c r="D1247" s="2463"/>
      <c r="E1247" s="2463"/>
      <c r="F1247" s="1998"/>
      <c r="G1247" s="1998"/>
      <c r="H1247" s="1998"/>
      <c r="I1247" s="1998"/>
      <c r="J1247" s="1998"/>
      <c r="K1247" s="1998"/>
      <c r="L1247" s="2812"/>
      <c r="M1247" s="2467"/>
      <c r="N1247" s="2012"/>
      <c r="O1247" s="2012"/>
      <c r="P1247" s="2012"/>
      <c r="Q1247" s="2467"/>
      <c r="R1247" s="1998"/>
      <c r="S1247" s="1998"/>
      <c r="T1247" s="1998"/>
      <c r="U1247" s="1998"/>
      <c r="V1247" s="1998"/>
      <c r="W1247" s="1998"/>
      <c r="X1247" s="1998"/>
      <c r="Y1247" s="1998"/>
      <c r="Z1247" s="1998"/>
      <c r="AA1247" s="1998"/>
      <c r="AB1247" s="1998"/>
      <c r="AC1247" s="1998"/>
      <c r="AD1247" s="1998"/>
      <c r="AE1247" s="1998"/>
      <c r="AF1247" s="1998"/>
    </row>
    <row r="1248" spans="1:32" ht="14">
      <c r="A1248" s="2848"/>
      <c r="B1248" s="1997" t="s">
        <v>3094</v>
      </c>
      <c r="C1248" s="1998"/>
      <c r="D1248" s="2463"/>
      <c r="E1248" s="2463"/>
      <c r="F1248" s="1998"/>
      <c r="G1248" s="1998"/>
      <c r="H1248" s="1998"/>
      <c r="I1248" s="1998"/>
      <c r="J1248" s="1998"/>
      <c r="K1248" s="1998"/>
      <c r="L1248" s="2812"/>
      <c r="M1248" s="2467"/>
      <c r="N1248" s="2012"/>
      <c r="O1248" s="2027">
        <v>10</v>
      </c>
      <c r="P1248" s="2027">
        <v>10</v>
      </c>
      <c r="Q1248" s="2467"/>
      <c r="R1248" s="1998"/>
      <c r="S1248" s="1998"/>
      <c r="T1248" s="1998"/>
      <c r="U1248" s="1998"/>
      <c r="V1248" s="1998"/>
      <c r="W1248" s="1998"/>
      <c r="X1248" s="1998"/>
      <c r="Y1248" s="1998"/>
      <c r="Z1248" s="1998"/>
      <c r="AA1248" s="1998"/>
      <c r="AB1248" s="1998"/>
      <c r="AC1248" s="1998"/>
      <c r="AD1248" s="1998"/>
      <c r="AE1248" s="1998"/>
      <c r="AF1248" s="1998"/>
    </row>
    <row r="1249" spans="1:32" ht="14">
      <c r="A1249" s="2467" t="s">
        <v>1836</v>
      </c>
      <c r="B1249" s="1997" t="s">
        <v>4750</v>
      </c>
      <c r="C1249" s="1998"/>
      <c r="D1249" s="2463"/>
      <c r="E1249" s="2463"/>
      <c r="F1249" s="1998"/>
      <c r="G1249" s="1998"/>
      <c r="H1249" s="1998"/>
      <c r="I1249" s="1998"/>
      <c r="J1249" s="1998"/>
      <c r="K1249" s="1998"/>
      <c r="L1249" s="2812"/>
      <c r="M1249" s="2467"/>
      <c r="N1249" s="2012"/>
      <c r="O1249" s="2027">
        <f>'Part VIII Scoring Criteria'!O92</f>
        <v>0</v>
      </c>
      <c r="P1249" s="2027">
        <f>'Part VIII Scoring Criteria'!P92</f>
        <v>0</v>
      </c>
      <c r="Q1249" s="2467"/>
      <c r="R1249" s="1998"/>
      <c r="S1249" s="1998"/>
      <c r="T1249" s="1998"/>
      <c r="U1249" s="1998"/>
      <c r="V1249" s="1998"/>
      <c r="W1249" s="1998"/>
      <c r="X1249" s="1998"/>
      <c r="Y1249" s="1998"/>
      <c r="Z1249" s="1998"/>
      <c r="AA1249" s="1998"/>
      <c r="AB1249" s="1998"/>
      <c r="AC1249" s="1998"/>
      <c r="AD1249" s="1998"/>
      <c r="AE1249" s="1998"/>
      <c r="AF1249" s="1998"/>
    </row>
    <row r="1250" spans="1:32" ht="14">
      <c r="A1250" s="2467"/>
      <c r="B1250" s="2815" t="s">
        <v>1839</v>
      </c>
      <c r="C1250" s="1998" t="s">
        <v>4944</v>
      </c>
      <c r="D1250" s="2463"/>
      <c r="E1250" s="2463"/>
      <c r="F1250" s="1998"/>
      <c r="G1250" s="1998"/>
      <c r="H1250" s="1998"/>
      <c r="I1250" s="1998"/>
      <c r="J1250" s="1998"/>
      <c r="K1250" s="1998"/>
      <c r="L1250" s="2812"/>
      <c r="M1250" s="2849"/>
      <c r="N1250" s="2012"/>
      <c r="O1250" s="2027">
        <f>'Part VIII Scoring Criteria'!O93</f>
        <v>0</v>
      </c>
      <c r="P1250" s="2027">
        <f>'Part VIII Scoring Criteria'!P93</f>
        <v>0</v>
      </c>
      <c r="Q1250" s="2467"/>
      <c r="R1250" s="1998"/>
      <c r="S1250" s="1998"/>
      <c r="T1250" s="1998"/>
      <c r="U1250" s="1998"/>
      <c r="V1250" s="1998"/>
      <c r="W1250" s="1998"/>
      <c r="X1250" s="1998"/>
      <c r="Y1250" s="1998"/>
      <c r="Z1250" s="1998"/>
      <c r="AA1250" s="1998"/>
      <c r="AB1250" s="1998"/>
      <c r="AC1250" s="1998"/>
      <c r="AD1250" s="1998"/>
      <c r="AE1250" s="1998"/>
      <c r="AF1250" s="1998"/>
    </row>
    <row r="1251" spans="1:32" ht="14">
      <c r="A1251" s="2467"/>
      <c r="B1251" s="2817" t="s">
        <v>1841</v>
      </c>
      <c r="C1251" s="1998" t="s">
        <v>4945</v>
      </c>
      <c r="D1251" s="2463"/>
      <c r="E1251" s="2463"/>
      <c r="F1251" s="1998"/>
      <c r="G1251" s="1998"/>
      <c r="H1251" s="1998"/>
      <c r="I1251" s="1998"/>
      <c r="J1251" s="1998"/>
      <c r="K1251" s="1998"/>
      <c r="L1251" s="2812"/>
      <c r="M1251" s="2849"/>
      <c r="N1251" s="2012"/>
      <c r="O1251" s="2027">
        <f>'Part VIII Scoring Criteria'!O94</f>
        <v>0</v>
      </c>
      <c r="P1251" s="2027">
        <f>'Part VIII Scoring Criteria'!P94</f>
        <v>0</v>
      </c>
      <c r="Q1251" s="2467"/>
      <c r="R1251" s="1998"/>
      <c r="S1251" s="1998"/>
      <c r="T1251" s="1998"/>
      <c r="U1251" s="1998"/>
      <c r="V1251" s="1998"/>
      <c r="W1251" s="1998"/>
      <c r="X1251" s="1998"/>
      <c r="Y1251" s="1998"/>
      <c r="Z1251" s="1998"/>
      <c r="AA1251" s="1998"/>
      <c r="AB1251" s="1998"/>
      <c r="AC1251" s="1998"/>
      <c r="AD1251" s="1998"/>
      <c r="AE1251" s="1998"/>
      <c r="AF1251" s="1998"/>
    </row>
    <row r="1252" spans="1:32" ht="14">
      <c r="A1252" s="2467" t="s">
        <v>1838</v>
      </c>
      <c r="B1252" s="1997" t="s">
        <v>4751</v>
      </c>
      <c r="C1252" s="1998"/>
      <c r="D1252" s="2463"/>
      <c r="E1252" s="2463"/>
      <c r="F1252" s="1998"/>
      <c r="G1252" s="1998"/>
      <c r="H1252" s="1998"/>
      <c r="I1252" s="1998"/>
      <c r="J1252" s="1998"/>
      <c r="K1252" s="1998"/>
      <c r="L1252" s="2812"/>
      <c r="M1252" s="2467"/>
      <c r="N1252" s="2012"/>
      <c r="O1252" s="2027">
        <f>'Part VIII Scoring Criteria'!O95</f>
        <v>0</v>
      </c>
      <c r="P1252" s="2027">
        <f>'Part VIII Scoring Criteria'!P95</f>
        <v>0</v>
      </c>
      <c r="Q1252" s="2467"/>
      <c r="R1252" s="1998"/>
      <c r="S1252" s="1998"/>
      <c r="T1252" s="1998"/>
      <c r="U1252" s="1998"/>
      <c r="V1252" s="1998"/>
      <c r="W1252" s="1998"/>
      <c r="X1252" s="1998"/>
      <c r="Y1252" s="1998"/>
      <c r="Z1252" s="1998"/>
      <c r="AA1252" s="1998"/>
      <c r="AB1252" s="1998"/>
      <c r="AC1252" s="1998"/>
      <c r="AD1252" s="1998"/>
      <c r="AE1252" s="1998"/>
      <c r="AF1252" s="1998"/>
    </row>
    <row r="1253" spans="1:32" ht="14.5">
      <c r="A1253" s="2808"/>
      <c r="B1253" s="2808" t="s">
        <v>1725</v>
      </c>
      <c r="C1253" s="1998"/>
      <c r="D1253" s="2808"/>
      <c r="E1253" s="2031"/>
      <c r="F1253" s="2031"/>
      <c r="G1253" s="2031"/>
      <c r="H1253" s="2031"/>
      <c r="I1253" s="2031"/>
      <c r="J1253" s="1998" t="s">
        <v>5062</v>
      </c>
      <c r="K1253" s="2031"/>
      <c r="L1253" s="2031"/>
      <c r="M1253" s="2031"/>
      <c r="N1253" s="2012"/>
      <c r="O1253" s="2467"/>
      <c r="P1253" s="2027">
        <f>'Part VIII Scoring Criteria'!P96</f>
        <v>0</v>
      </c>
      <c r="Q1253" s="1998"/>
      <c r="R1253" s="1998"/>
      <c r="S1253" s="1998"/>
      <c r="T1253" s="1998"/>
      <c r="U1253" s="1998"/>
      <c r="V1253" s="1998"/>
      <c r="W1253" s="1998"/>
      <c r="X1253" s="1998"/>
      <c r="Y1253" s="1998"/>
      <c r="Z1253" s="1998"/>
      <c r="AA1253" s="1998"/>
      <c r="AB1253" s="1998"/>
      <c r="AC1253" s="1998"/>
      <c r="AD1253" s="1998"/>
      <c r="AE1253" s="1998"/>
      <c r="AF1253" s="1998"/>
    </row>
    <row r="1254" spans="1:32" ht="14">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4">
      <c r="A1255" s="1998"/>
      <c r="B1255" s="2470"/>
      <c r="C1255" s="1998"/>
      <c r="D1255" s="1997"/>
      <c r="E1255" s="1998"/>
      <c r="F1255" s="1998"/>
      <c r="G1255" s="2471"/>
      <c r="H1255" s="2471"/>
      <c r="I1255" s="2471"/>
      <c r="J1255" s="2471"/>
      <c r="K1255" s="2471"/>
      <c r="L1255" s="2471"/>
      <c r="M1255" s="2012"/>
      <c r="N1255" s="2017"/>
      <c r="O1255" s="2027"/>
      <c r="P1255" s="2467"/>
      <c r="Q1255" s="2028"/>
      <c r="R1255" s="1998"/>
      <c r="S1255" s="1998"/>
      <c r="T1255" s="1998"/>
      <c r="U1255" s="1998"/>
      <c r="V1255" s="1998"/>
      <c r="W1255" s="1998"/>
      <c r="X1255" s="2472"/>
      <c r="Y1255" s="2472"/>
      <c r="Z1255" s="2472"/>
      <c r="AA1255" s="2472"/>
      <c r="AB1255" s="2472"/>
      <c r="AC1255" s="2472"/>
      <c r="AD1255" s="2472"/>
      <c r="AE1255" s="2472"/>
      <c r="AF1255" s="2472"/>
    </row>
    <row r="1256" spans="1:32" ht="14">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3"/>
      <c r="U1256" s="2463"/>
      <c r="V1256" s="2028"/>
      <c r="W1256" s="2028"/>
      <c r="X1256" s="2028"/>
      <c r="Y1256" s="2028"/>
      <c r="Z1256" s="2028"/>
      <c r="AA1256" s="2028"/>
      <c r="AB1256" s="2028"/>
      <c r="AC1256" s="2028"/>
      <c r="AD1256" s="2028"/>
      <c r="AE1256" s="2028"/>
      <c r="AF1256" s="2028"/>
    </row>
    <row r="1257" spans="1:32" ht="14">
      <c r="A1257" s="2848" t="s">
        <v>719</v>
      </c>
      <c r="B1257" s="2463" t="s">
        <v>4504</v>
      </c>
      <c r="C1257" s="2035"/>
      <c r="D1257" s="2035"/>
      <c r="E1257" s="2035"/>
      <c r="F1257" s="2035"/>
      <c r="G1257" s="2809" t="s">
        <v>4876</v>
      </c>
      <c r="H1257" s="2035"/>
      <c r="I1257" s="2028"/>
      <c r="J1257" s="2028"/>
      <c r="K1257" s="2035"/>
      <c r="L1257" s="2810" t="s">
        <v>4899</v>
      </c>
      <c r="M1257" s="2467">
        <v>5</v>
      </c>
      <c r="N1257" s="2033"/>
      <c r="O1257" s="2027">
        <f>'Part VIII Scoring Criteria'!O100</f>
        <v>2</v>
      </c>
      <c r="P1257" s="2027">
        <f>'Part VIII Scoring Criteria'!P100</f>
        <v>2</v>
      </c>
      <c r="Q1257" s="2467" t="s">
        <v>415</v>
      </c>
      <c r="R1257" s="2814"/>
      <c r="S1257" s="2028"/>
      <c r="T1257" s="2028"/>
      <c r="U1257" s="2028"/>
      <c r="V1257" s="2028"/>
      <c r="W1257" s="2028"/>
      <c r="X1257" s="2028"/>
      <c r="Y1257" s="2028"/>
      <c r="Z1257" s="2028"/>
      <c r="AA1257" s="2028"/>
      <c r="AB1257" s="2028"/>
      <c r="AC1257" s="2028"/>
      <c r="AD1257" s="2028"/>
      <c r="AE1257" s="2028"/>
      <c r="AF1257" s="2028"/>
    </row>
    <row r="1258" spans="1:32" ht="14">
      <c r="A1258" s="2467" t="s">
        <v>1836</v>
      </c>
      <c r="B1258" s="1997" t="s">
        <v>4873</v>
      </c>
      <c r="C1258" s="1998"/>
      <c r="D1258" s="1998"/>
      <c r="E1258" s="1997"/>
      <c r="F1258" s="1998"/>
      <c r="G1258" s="2841"/>
      <c r="H1258" s="1998"/>
      <c r="I1258" s="1998"/>
      <c r="J1258" s="1998"/>
      <c r="K1258" s="2012"/>
      <c r="L1258" s="2465"/>
      <c r="M1258" s="2012">
        <v>3</v>
      </c>
      <c r="N1258" s="2465"/>
      <c r="O1258" s="2027">
        <f>'Part VIII Scoring Criteria'!O101</f>
        <v>0</v>
      </c>
      <c r="P1258" s="2027">
        <f>'Part VIII Scoring Criteria'!P101</f>
        <v>0</v>
      </c>
      <c r="Q1258" s="2813" t="str">
        <f>IF(OR($O1258=$M1258,$O1258=0,$O1258=""),"","*CHECK!*")</f>
        <v/>
      </c>
      <c r="R1258" s="2814"/>
      <c r="S1258" s="2028"/>
      <c r="T1258" s="2028"/>
      <c r="U1258" s="2028"/>
      <c r="V1258" s="2028"/>
      <c r="W1258" s="2028"/>
      <c r="X1258" s="2028"/>
      <c r="Y1258" s="2028"/>
      <c r="Z1258" s="2028"/>
      <c r="AA1258" s="2028"/>
      <c r="AB1258" s="2028"/>
      <c r="AC1258" s="2028"/>
      <c r="AD1258" s="2028"/>
      <c r="AE1258" s="2028"/>
      <c r="AF1258" s="2028"/>
    </row>
    <row r="1259" spans="1:32" ht="14.15" customHeight="1">
      <c r="A1259" s="2467"/>
      <c r="B1259" s="1998" t="s">
        <v>5028</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4">
      <c r="A1260" s="2467"/>
      <c r="B1260" s="2815" t="s">
        <v>1839</v>
      </c>
      <c r="C1260" s="1998" t="s">
        <v>4874</v>
      </c>
      <c r="D1260" s="1998"/>
      <c r="E1260" s="1998"/>
      <c r="F1260" s="1998"/>
      <c r="G1260" s="1998"/>
      <c r="H1260" s="1998"/>
      <c r="I1260" s="1998"/>
      <c r="J1260" s="2850" t="s">
        <v>4685</v>
      </c>
      <c r="K1260" s="2850"/>
      <c r="L1260" s="1998"/>
      <c r="M1260" s="2844">
        <v>2</v>
      </c>
      <c r="N1260" s="2849"/>
      <c r="O1260" s="2027">
        <f>'Part VIII Scoring Criteria'!O103</f>
        <v>0</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4">
      <c r="A1261" s="2467"/>
      <c r="B1261" s="2817" t="s">
        <v>1841</v>
      </c>
      <c r="C1261" s="1998" t="s">
        <v>4875</v>
      </c>
      <c r="D1261" s="1998"/>
      <c r="E1261" s="1998"/>
      <c r="F1261" s="1998"/>
      <c r="G1261" s="1998"/>
      <c r="H1261" s="1998"/>
      <c r="I1261" s="2034"/>
      <c r="J1261" s="2851" t="s">
        <v>4686</v>
      </c>
      <c r="K1261" s="2033" t="s">
        <v>4687</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4">
      <c r="A1262" s="2028"/>
      <c r="B1262" s="2028" t="s">
        <v>5027</v>
      </c>
      <c r="C1262" s="2028"/>
      <c r="D1262" s="2028"/>
      <c r="E1262" s="2028"/>
      <c r="F1262" s="2028"/>
      <c r="G1262" s="2028"/>
      <c r="H1262" s="2810"/>
      <c r="I1262" s="2028"/>
      <c r="J1262" s="2030">
        <f>'Part VIII Scoring Criteria'!J105</f>
        <v>0</v>
      </c>
      <c r="K1262" s="2851">
        <v>0.1</v>
      </c>
      <c r="L1262" s="2028"/>
      <c r="M1262" s="2810" t="s">
        <v>5046</v>
      </c>
      <c r="N1262" s="2017"/>
      <c r="O1262" s="2027">
        <f>'Part VIII Scoring Criteria'!O105</f>
        <v>0</v>
      </c>
      <c r="P1262" s="2027"/>
      <c r="Q1262" s="2028"/>
      <c r="R1262" s="2028"/>
      <c r="S1262" s="2028"/>
      <c r="T1262" s="2463"/>
      <c r="U1262" s="2463"/>
      <c r="V1262" s="2028"/>
      <c r="W1262" s="2028"/>
      <c r="X1262" s="2028"/>
      <c r="Y1262" s="2028"/>
      <c r="Z1262" s="2028"/>
      <c r="AA1262" s="2028"/>
      <c r="AB1262" s="2028"/>
      <c r="AC1262" s="2028"/>
      <c r="AD1262" s="2028"/>
      <c r="AE1262" s="2028"/>
      <c r="AF1262" s="2028"/>
    </row>
    <row r="1263" spans="1:32" ht="14.15" customHeight="1">
      <c r="A1263" s="2028"/>
      <c r="B1263" s="2028" t="s">
        <v>5124</v>
      </c>
      <c r="C1263" s="2028"/>
      <c r="D1263" s="2028"/>
      <c r="E1263" s="2028"/>
      <c r="F1263" s="2028"/>
      <c r="G1263" s="2028"/>
      <c r="H1263" s="2028"/>
      <c r="I1263" s="2028"/>
      <c r="J1263" s="2028"/>
      <c r="K1263" s="2028"/>
      <c r="L1263" s="2028"/>
      <c r="M1263" s="2028"/>
      <c r="N1263" s="2017"/>
      <c r="O1263" s="2819">
        <f>'Part VIII Scoring Criteria'!O106</f>
        <v>0</v>
      </c>
      <c r="P1263" s="2819">
        <f>'Part VIII Scoring Criteria'!P106</f>
        <v>0</v>
      </c>
      <c r="Q1263" s="2028"/>
      <c r="R1263" s="2028"/>
      <c r="S1263" s="2028"/>
      <c r="T1263" s="2463"/>
      <c r="U1263" s="2463"/>
      <c r="V1263" s="2028"/>
      <c r="W1263" s="2028"/>
      <c r="X1263" s="2028"/>
      <c r="Y1263" s="2028"/>
      <c r="Z1263" s="2028"/>
      <c r="AA1263" s="2028"/>
      <c r="AB1263" s="2028"/>
      <c r="AC1263" s="2028"/>
      <c r="AD1263" s="2028"/>
      <c r="AE1263" s="2028"/>
      <c r="AF1263" s="2028"/>
    </row>
    <row r="1264" spans="1:32" ht="14">
      <c r="A1264" s="2467" t="s">
        <v>1838</v>
      </c>
      <c r="B1264" s="1997" t="s">
        <v>4140</v>
      </c>
      <c r="C1264" s="1998"/>
      <c r="D1264" s="1998"/>
      <c r="E1264" s="1998"/>
      <c r="F1264" s="1998"/>
      <c r="G1264" s="1998"/>
      <c r="H1264" s="1998"/>
      <c r="I1264" s="1998"/>
      <c r="J1264" s="1998"/>
      <c r="K1264" s="1998"/>
      <c r="L1264" s="1998"/>
      <c r="M1264" s="2012">
        <v>1</v>
      </c>
      <c r="N1264" s="2465"/>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4">
      <c r="A1265" s="2467" t="s">
        <v>697</v>
      </c>
      <c r="B1265" s="1997" t="s">
        <v>4872</v>
      </c>
      <c r="C1265" s="1998"/>
      <c r="D1265" s="1998"/>
      <c r="E1265" s="1998"/>
      <c r="F1265" s="1998"/>
      <c r="G1265" s="2852" t="s">
        <v>4877</v>
      </c>
      <c r="H1265" s="1998"/>
      <c r="I1265" s="1998"/>
      <c r="J1265" s="1998"/>
      <c r="K1265" s="1998"/>
      <c r="L1265" s="1998"/>
      <c r="M1265" s="2012">
        <v>2</v>
      </c>
      <c r="N1265" s="2465"/>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4">
      <c r="A1266" s="2848"/>
      <c r="B1266" s="1998"/>
      <c r="C1266" s="1997" t="s">
        <v>3094</v>
      </c>
      <c r="D1266" s="2463"/>
      <c r="E1266" s="2463"/>
      <c r="F1266" s="1998"/>
      <c r="G1266" s="1998"/>
      <c r="H1266" s="1998"/>
      <c r="I1266" s="1998"/>
      <c r="J1266" s="1998"/>
      <c r="K1266" s="1998"/>
      <c r="L1266" s="2812"/>
      <c r="M1266" s="2467"/>
      <c r="N1266" s="2012"/>
      <c r="O1266" s="2027">
        <v>2</v>
      </c>
      <c r="P1266" s="2027">
        <v>2</v>
      </c>
      <c r="Q1266" s="2467"/>
      <c r="R1266" s="1998"/>
      <c r="S1266" s="1998"/>
      <c r="T1266" s="1998"/>
      <c r="U1266" s="1998"/>
      <c r="V1266" s="1998"/>
      <c r="W1266" s="1998"/>
      <c r="X1266" s="1998"/>
      <c r="Y1266" s="1998"/>
      <c r="Z1266" s="1998"/>
      <c r="AA1266" s="1998"/>
      <c r="AB1266" s="1998"/>
      <c r="AC1266" s="1998"/>
      <c r="AD1266" s="1998"/>
      <c r="AE1266" s="1998"/>
      <c r="AF1266" s="1998"/>
    </row>
    <row r="1267" spans="1:32" ht="14">
      <c r="A1267" s="2848"/>
      <c r="B1267" s="1998"/>
      <c r="C1267" s="1997" t="s">
        <v>3095</v>
      </c>
      <c r="D1267" s="2463"/>
      <c r="E1267" s="2463"/>
      <c r="F1267" s="1998"/>
      <c r="G1267" s="1998"/>
      <c r="H1267" s="1998"/>
      <c r="I1267" s="1998"/>
      <c r="J1267" s="1998"/>
      <c r="K1267" s="1998"/>
      <c r="L1267" s="2812"/>
      <c r="M1267" s="2467"/>
      <c r="N1267" s="2012"/>
      <c r="O1267" s="2027">
        <f>'Part VIII Scoring Criteria'!O110</f>
        <v>0</v>
      </c>
      <c r="P1267" s="2027"/>
      <c r="Q1267" s="2467"/>
      <c r="R1267" s="2814"/>
      <c r="S1267" s="1998"/>
      <c r="T1267" s="1998"/>
      <c r="U1267" s="1998"/>
      <c r="V1267" s="1998"/>
      <c r="W1267" s="1998"/>
      <c r="X1267" s="1998"/>
      <c r="Y1267" s="1998"/>
      <c r="Z1267" s="1998"/>
      <c r="AA1267" s="1998"/>
      <c r="AB1267" s="1998"/>
      <c r="AC1267" s="1998"/>
      <c r="AD1267" s="1998"/>
      <c r="AE1267" s="1998"/>
      <c r="AF1267" s="1998"/>
    </row>
    <row r="1268" spans="1:32" ht="14.5">
      <c r="A1268" s="1998"/>
      <c r="B1268" s="2808" t="s">
        <v>5123</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5">
      <c r="A1269" s="2823">
        <f>'Part VIII Scoring Criteria'!A112</f>
        <v>0</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5">
      <c r="A1270" s="2028"/>
      <c r="B1270" s="2823" t="s">
        <v>1725</v>
      </c>
      <c r="C1270" s="1998"/>
      <c r="D1270" s="2823"/>
      <c r="E1270" s="2035"/>
      <c r="F1270" s="2035"/>
      <c r="G1270" s="2035"/>
      <c r="H1270" s="2035"/>
      <c r="I1270" s="2035"/>
      <c r="J1270" s="2035"/>
      <c r="K1270" s="2035"/>
      <c r="L1270" s="2035"/>
      <c r="M1270" s="2035"/>
      <c r="N1270" s="2033"/>
      <c r="O1270" s="2819"/>
      <c r="P1270" s="2467"/>
      <c r="Q1270" s="2028"/>
      <c r="R1270" s="2028"/>
      <c r="S1270" s="2028"/>
      <c r="T1270" s="2028"/>
      <c r="U1270" s="2028"/>
      <c r="V1270" s="2028"/>
      <c r="W1270" s="2028"/>
      <c r="X1270" s="2028"/>
      <c r="Y1270" s="2028"/>
      <c r="Z1270" s="2028"/>
      <c r="AA1270" s="2028"/>
      <c r="AB1270" s="2028"/>
      <c r="AC1270" s="2028"/>
      <c r="AD1270" s="2028"/>
      <c r="AE1270" s="2028"/>
      <c r="AF1270" s="2028"/>
    </row>
    <row r="1271" spans="1:32" ht="14">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4">
      <c r="A1272" s="2848"/>
      <c r="B1272" s="1998"/>
      <c r="C1272" s="2035"/>
      <c r="D1272" s="2035"/>
      <c r="E1272" s="2035"/>
      <c r="F1272" s="2035"/>
      <c r="G1272" s="2035"/>
      <c r="H1272" s="2035"/>
      <c r="I1272" s="2035"/>
      <c r="J1272" s="2035"/>
      <c r="K1272" s="2035"/>
      <c r="L1272" s="2035"/>
      <c r="M1272" s="2035"/>
      <c r="N1272" s="2033"/>
      <c r="O1272" s="2819"/>
      <c r="P1272" s="2467"/>
      <c r="Q1272" s="2028"/>
      <c r="R1272" s="2028"/>
      <c r="S1272" s="2028"/>
      <c r="T1272" s="2028"/>
      <c r="U1272" s="2028"/>
      <c r="V1272" s="2028"/>
      <c r="W1272" s="2028"/>
      <c r="X1272" s="2028"/>
      <c r="Y1272" s="2028"/>
      <c r="Z1272" s="2028"/>
      <c r="AA1272" s="2028"/>
      <c r="AB1272" s="2028"/>
      <c r="AC1272" s="2028"/>
      <c r="AD1272" s="2028"/>
      <c r="AE1272" s="2028"/>
      <c r="AF1272" s="2028"/>
    </row>
    <row r="1273" spans="1:32" ht="14">
      <c r="A1273" s="2848"/>
      <c r="B1273" s="1998"/>
      <c r="C1273" s="2035"/>
      <c r="D1273" s="2035"/>
      <c r="E1273" s="2035"/>
      <c r="F1273" s="2035"/>
      <c r="G1273" s="2035"/>
      <c r="H1273" s="2035"/>
      <c r="I1273" s="2035"/>
      <c r="J1273" s="2035"/>
      <c r="K1273" s="2035"/>
      <c r="L1273" s="2035"/>
      <c r="M1273" s="2035"/>
      <c r="N1273" s="2033"/>
      <c r="O1273" s="2819"/>
      <c r="P1273" s="2467"/>
      <c r="Q1273" s="2028"/>
      <c r="R1273" s="2028"/>
      <c r="S1273" s="2028"/>
      <c r="T1273" s="2028"/>
      <c r="U1273" s="2028"/>
      <c r="V1273" s="2028"/>
      <c r="W1273" s="2028"/>
      <c r="X1273" s="2028"/>
      <c r="Y1273" s="2028"/>
      <c r="Z1273" s="2028"/>
      <c r="AA1273" s="2028"/>
      <c r="AB1273" s="2028"/>
      <c r="AC1273" s="2028"/>
      <c r="AD1273" s="2028"/>
      <c r="AE1273" s="2028"/>
      <c r="AF1273" s="2028"/>
    </row>
    <row r="1274" spans="1:32" ht="14">
      <c r="A1274" s="2848" t="s">
        <v>280</v>
      </c>
      <c r="B1274" s="2463" t="s">
        <v>4851</v>
      </c>
      <c r="C1274" s="1998"/>
      <c r="D1274" s="2463"/>
      <c r="E1274" s="2463"/>
      <c r="F1274" s="1998"/>
      <c r="G1274" s="1998"/>
      <c r="H1274" s="1998"/>
      <c r="I1274" s="1998"/>
      <c r="J1274" s="1998"/>
      <c r="K1274" s="1998"/>
      <c r="L1274" s="2810" t="s">
        <v>4899</v>
      </c>
      <c r="M1274" s="2467">
        <v>13</v>
      </c>
      <c r="N1274" s="2012"/>
      <c r="O1274" s="2027">
        <f>'Part VIII Scoring Criteria'!O117</f>
        <v>0</v>
      </c>
      <c r="P1274" s="2027">
        <f>'Part VIII Scoring Criteria'!P117</f>
        <v>0</v>
      </c>
      <c r="Q1274" s="2467" t="s">
        <v>415</v>
      </c>
      <c r="R1274" s="2814"/>
      <c r="S1274" s="1998"/>
      <c r="T1274" s="1998"/>
      <c r="U1274" s="1998"/>
      <c r="V1274" s="1998"/>
      <c r="W1274" s="1998"/>
      <c r="X1274" s="1998"/>
      <c r="Y1274" s="1998"/>
      <c r="Z1274" s="1998"/>
      <c r="AA1274" s="1998"/>
      <c r="AB1274" s="1998"/>
      <c r="AC1274" s="1998"/>
      <c r="AD1274" s="1998"/>
      <c r="AE1274" s="1998"/>
      <c r="AF1274" s="1998"/>
    </row>
    <row r="1275" spans="1:32" ht="14">
      <c r="A1275" s="2467" t="s">
        <v>1836</v>
      </c>
      <c r="B1275" s="1997" t="s">
        <v>4894</v>
      </c>
      <c r="C1275" s="1997"/>
      <c r="D1275" s="1997"/>
      <c r="E1275" s="1998"/>
      <c r="F1275" s="2853"/>
      <c r="G1275" s="1998"/>
      <c r="H1275" s="2465"/>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4">
      <c r="A1276" s="2467"/>
      <c r="B1276" s="1998" t="s">
        <v>4971</v>
      </c>
      <c r="C1276" s="1997"/>
      <c r="D1276" s="1997"/>
      <c r="E1276" s="1998"/>
      <c r="F1276" s="2853"/>
      <c r="G1276" s="1998"/>
      <c r="H1276" s="2465"/>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4">
      <c r="A1277" s="2467"/>
      <c r="B1277" s="1998"/>
      <c r="C1277" s="1997" t="s">
        <v>4975</v>
      </c>
      <c r="D1277" s="1997"/>
      <c r="E1277" s="1998"/>
      <c r="F1277" s="2853"/>
      <c r="G1277" s="1998"/>
      <c r="H1277" s="2465"/>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4">
      <c r="A1278" s="2467"/>
      <c r="B1278" s="2815"/>
      <c r="C1278" s="2031" t="s">
        <v>4969</v>
      </c>
      <c r="D1278" s="1998"/>
      <c r="E1278" s="1998"/>
      <c r="F1278" s="2467"/>
      <c r="G1278" s="1998"/>
      <c r="H1278" s="1998"/>
      <c r="I1278" s="2467"/>
      <c r="J1278" s="2012" t="s">
        <v>4970</v>
      </c>
      <c r="K1278" s="1998"/>
      <c r="L1278" s="2812"/>
      <c r="M1278" s="2844">
        <v>5</v>
      </c>
      <c r="N1278" s="2465"/>
      <c r="O1278" s="2027">
        <f>'Part VIII Scoring Criteria'!O121</f>
        <v>0</v>
      </c>
      <c r="P1278" s="2027">
        <f>'Part VIII Scoring Criteria'!P121</f>
        <v>0</v>
      </c>
      <c r="Q1278" s="2814"/>
      <c r="R1278" s="1998"/>
      <c r="S1278" s="1998"/>
      <c r="T1278" s="1998"/>
      <c r="U1278" s="1998"/>
      <c r="V1278" s="2463"/>
      <c r="W1278" s="1998"/>
      <c r="X1278" s="1998"/>
      <c r="Y1278" s="1998"/>
      <c r="Z1278" s="1998"/>
      <c r="AA1278" s="1998"/>
      <c r="AB1278" s="1998"/>
      <c r="AC1278" s="1998"/>
      <c r="AD1278" s="1998"/>
      <c r="AE1278" s="1998"/>
      <c r="AF1278" s="1998"/>
    </row>
    <row r="1279" spans="1:32" ht="14">
      <c r="A1279" s="2467"/>
      <c r="B1279" s="2816"/>
      <c r="C1279" s="1997"/>
      <c r="D1279" s="2031" t="s">
        <v>4972</v>
      </c>
      <c r="E1279" s="1998"/>
      <c r="F1279" s="2467"/>
      <c r="G1279" s="1998"/>
      <c r="H1279" s="1998"/>
      <c r="I1279" s="2467"/>
      <c r="J1279" s="2819">
        <f>'Part VIII Scoring Criteria'!J122</f>
        <v>0</v>
      </c>
      <c r="K1279" s="1998"/>
      <c r="L1279" s="1998"/>
      <c r="M1279" s="2844"/>
      <c r="N1279" s="2465"/>
      <c r="O1279" s="2467" t="str">
        <f>IF($J1279="Submitted", "Yes","")</f>
        <v/>
      </c>
      <c r="P1279" s="2467"/>
      <c r="Q1279" s="2465"/>
      <c r="R1279" s="1998"/>
      <c r="S1279" s="1998"/>
      <c r="T1279" s="1998"/>
      <c r="U1279" s="1998"/>
      <c r="V1279" s="2463"/>
      <c r="W1279" s="1998"/>
      <c r="X1279" s="1998"/>
      <c r="Y1279" s="1998"/>
      <c r="Z1279" s="1998"/>
      <c r="AA1279" s="1998"/>
      <c r="AB1279" s="1998"/>
      <c r="AC1279" s="1998"/>
      <c r="AD1279" s="1998"/>
      <c r="AE1279" s="1998"/>
      <c r="AF1279" s="1998"/>
    </row>
    <row r="1280" spans="1:32" ht="14">
      <c r="A1280" s="2467"/>
      <c r="B1280" s="2816"/>
      <c r="C1280" s="1997"/>
      <c r="D1280" s="2031" t="s">
        <v>4973</v>
      </c>
      <c r="E1280" s="1998"/>
      <c r="F1280" s="2467"/>
      <c r="G1280" s="1998"/>
      <c r="H1280" s="1998"/>
      <c r="I1280" s="2467"/>
      <c r="J1280" s="2819">
        <f>'Part VIII Scoring Criteria'!J123</f>
        <v>0</v>
      </c>
      <c r="K1280" s="2465"/>
      <c r="L1280" s="1998"/>
      <c r="M1280" s="2844"/>
      <c r="N1280" s="2465"/>
      <c r="O1280" s="2467" t="str">
        <f>IF($J1280="Submitted", "Yes","")</f>
        <v/>
      </c>
      <c r="P1280" s="2819"/>
      <c r="Q1280" s="2465"/>
      <c r="R1280" s="1998"/>
      <c r="S1280" s="1998"/>
      <c r="T1280" s="1998"/>
      <c r="U1280" s="1998"/>
      <c r="V1280" s="2463"/>
      <c r="W1280" s="1998"/>
      <c r="X1280" s="1998"/>
      <c r="Y1280" s="1998"/>
      <c r="Z1280" s="1998"/>
      <c r="AA1280" s="1998"/>
      <c r="AB1280" s="1998"/>
      <c r="AC1280" s="1998"/>
      <c r="AD1280" s="1998"/>
      <c r="AE1280" s="1998"/>
      <c r="AF1280" s="1998"/>
    </row>
    <row r="1281" spans="1:32" ht="14">
      <c r="A1281" s="2467"/>
      <c r="B1281" s="2816"/>
      <c r="C1281" s="2031" t="s">
        <v>4896</v>
      </c>
      <c r="D1281" s="1997"/>
      <c r="E1281" s="1998"/>
      <c r="F1281" s="2467"/>
      <c r="G1281" s="1998"/>
      <c r="H1281" s="1998"/>
      <c r="I1281" s="2467"/>
      <c r="J1281" s="2819">
        <f>'Part VIII Scoring Criteria'!J124</f>
        <v>0</v>
      </c>
      <c r="K1281" s="2031"/>
      <c r="L1281" s="2812" t="str">
        <f t="shared" ref="L1281:L1289" si="380">IF(OR($O1281=$M1281,$O1281=0,$O1281=""),"","* * Check Score! * *")</f>
        <v/>
      </c>
      <c r="M1281" s="2844">
        <v>1</v>
      </c>
      <c r="N1281" s="2465"/>
      <c r="O1281" s="2027">
        <f>'Part VIII Scoring Criteria'!O124</f>
        <v>0</v>
      </c>
      <c r="P1281" s="2027"/>
      <c r="Q1281" s="2465"/>
      <c r="R1281" s="1998"/>
      <c r="S1281" s="1998"/>
      <c r="T1281" s="1998"/>
      <c r="U1281" s="1998"/>
      <c r="V1281" s="2463"/>
      <c r="W1281" s="1998"/>
      <c r="X1281" s="1998"/>
      <c r="Y1281" s="1998"/>
      <c r="Z1281" s="1998"/>
      <c r="AA1281" s="1998"/>
      <c r="AB1281" s="1998"/>
      <c r="AC1281" s="1998"/>
      <c r="AD1281" s="1998"/>
      <c r="AE1281" s="1998"/>
      <c r="AF1281" s="1998"/>
    </row>
    <row r="1282" spans="1:32" ht="14">
      <c r="A1282" s="2467"/>
      <c r="B1282" s="2816"/>
      <c r="C1282" s="2031" t="s">
        <v>4897</v>
      </c>
      <c r="D1282" s="1997"/>
      <c r="E1282" s="1998"/>
      <c r="F1282" s="2467"/>
      <c r="G1282" s="1998"/>
      <c r="H1282" s="1998"/>
      <c r="I1282" s="2467"/>
      <c r="J1282" s="2819">
        <f>'Part VIII Scoring Criteria'!J125</f>
        <v>0</v>
      </c>
      <c r="K1282" s="2031"/>
      <c r="L1282" s="2821" t="str">
        <f t="shared" si="380"/>
        <v/>
      </c>
      <c r="M1282" s="2844">
        <v>1</v>
      </c>
      <c r="N1282" s="2465"/>
      <c r="O1282" s="2027">
        <f>'Part VIII Scoring Criteria'!O125</f>
        <v>0</v>
      </c>
      <c r="P1282" s="2027"/>
      <c r="Q1282" s="2814"/>
      <c r="R1282" s="1998"/>
      <c r="S1282" s="1998"/>
      <c r="T1282" s="1998"/>
      <c r="U1282" s="1998"/>
      <c r="V1282" s="2463"/>
      <c r="W1282" s="1998"/>
      <c r="X1282" s="1998"/>
      <c r="Y1282" s="1998"/>
      <c r="Z1282" s="1998"/>
      <c r="AA1282" s="1998"/>
      <c r="AB1282" s="1998"/>
      <c r="AC1282" s="1998"/>
      <c r="AD1282" s="1998"/>
      <c r="AE1282" s="1998"/>
      <c r="AF1282" s="1998"/>
    </row>
    <row r="1283" spans="1:32" ht="14">
      <c r="A1283" s="2467"/>
      <c r="B1283" s="2815"/>
      <c r="C1283" s="2031" t="s">
        <v>4974</v>
      </c>
      <c r="D1283" s="1997"/>
      <c r="E1283" s="1998"/>
      <c r="F1283" s="2467"/>
      <c r="G1283" s="1998"/>
      <c r="H1283" s="1998"/>
      <c r="I1283" s="2467"/>
      <c r="J1283" s="2819">
        <f>'Part VIII Scoring Criteria'!J126</f>
        <v>0</v>
      </c>
      <c r="K1283" s="2031"/>
      <c r="L1283" s="2812" t="str">
        <f t="shared" si="380"/>
        <v/>
      </c>
      <c r="M1283" s="2844">
        <v>1</v>
      </c>
      <c r="N1283" s="2465"/>
      <c r="O1283" s="2027">
        <f>'Part VIII Scoring Criteria'!O126</f>
        <v>0</v>
      </c>
      <c r="P1283" s="2027"/>
      <c r="Q1283" s="2814"/>
      <c r="R1283" s="1998"/>
      <c r="S1283" s="1998"/>
      <c r="T1283" s="1998"/>
      <c r="U1283" s="1998"/>
      <c r="V1283" s="2463"/>
      <c r="W1283" s="1998"/>
      <c r="X1283" s="1998"/>
      <c r="Y1283" s="1998"/>
      <c r="Z1283" s="1998"/>
      <c r="AA1283" s="1998"/>
      <c r="AB1283" s="1998"/>
      <c r="AC1283" s="1998"/>
      <c r="AD1283" s="1998"/>
      <c r="AE1283" s="1998"/>
      <c r="AF1283" s="1998"/>
    </row>
    <row r="1284" spans="1:32" ht="14">
      <c r="A1284" s="2467"/>
      <c r="B1284" s="2815"/>
      <c r="C1284" s="2814" t="s">
        <v>5016</v>
      </c>
      <c r="D1284" s="1997"/>
      <c r="E1284" s="1998"/>
      <c r="F1284" s="2467"/>
      <c r="G1284" s="1998"/>
      <c r="H1284" s="1998"/>
      <c r="I1284" s="1998"/>
      <c r="J1284" s="1998"/>
      <c r="K1284" s="1998"/>
      <c r="L1284" s="1998"/>
      <c r="M1284" s="1998"/>
      <c r="N1284" s="1998"/>
      <c r="O1284" s="1998"/>
      <c r="P1284" s="1998"/>
      <c r="Q1284" s="1998"/>
      <c r="R1284" s="1998"/>
      <c r="S1284" s="1998"/>
      <c r="T1284" s="1998"/>
      <c r="U1284" s="1998"/>
      <c r="V1284" s="2463"/>
      <c r="W1284" s="1998"/>
      <c r="X1284" s="1998"/>
      <c r="Y1284" s="1998"/>
      <c r="Z1284" s="1998"/>
      <c r="AA1284" s="1998"/>
      <c r="AB1284" s="1998"/>
      <c r="AC1284" s="1998"/>
      <c r="AD1284" s="1998"/>
      <c r="AE1284" s="1998"/>
      <c r="AF1284" s="1998"/>
    </row>
    <row r="1285" spans="1:32" ht="14">
      <c r="A1285" s="2467"/>
      <c r="B1285" s="2817"/>
      <c r="C1285" s="2031" t="s">
        <v>5017</v>
      </c>
      <c r="D1285" s="1998"/>
      <c r="E1285" s="1998"/>
      <c r="F1285" s="2012"/>
      <c r="G1285" s="1998"/>
      <c r="H1285" s="1998"/>
      <c r="I1285" s="2012"/>
      <c r="J1285" s="2819">
        <f>'Part VIII Scoring Criteria'!J128</f>
        <v>0</v>
      </c>
      <c r="K1285" s="2031"/>
      <c r="L1285" s="2812" t="str">
        <f t="shared" si="380"/>
        <v/>
      </c>
      <c r="M1285" s="2844">
        <v>1</v>
      </c>
      <c r="N1285" s="2465"/>
      <c r="O1285" s="2027">
        <f>'Part VIII Scoring Criteria'!O128</f>
        <v>0</v>
      </c>
      <c r="P1285" s="2027"/>
      <c r="Q1285" s="2814"/>
      <c r="R1285" s="1998"/>
      <c r="S1285" s="1998"/>
      <c r="T1285" s="1998"/>
      <c r="U1285" s="1998"/>
      <c r="V1285" s="2463"/>
      <c r="W1285" s="1998"/>
      <c r="X1285" s="1998"/>
      <c r="Y1285" s="1998"/>
      <c r="Z1285" s="1998"/>
      <c r="AA1285" s="1998"/>
      <c r="AB1285" s="1998"/>
      <c r="AC1285" s="1998"/>
      <c r="AD1285" s="1998"/>
      <c r="AE1285" s="1998"/>
      <c r="AF1285" s="1998"/>
    </row>
    <row r="1286" spans="1:32" ht="14">
      <c r="A1286" s="2467"/>
      <c r="B1286" s="2817"/>
      <c r="C1286" s="2034" t="s">
        <v>4976</v>
      </c>
      <c r="D1286" s="2034"/>
      <c r="E1286" s="2034"/>
      <c r="F1286" s="2034"/>
      <c r="G1286" s="2034"/>
      <c r="H1286" s="2034"/>
      <c r="I1286" s="2034"/>
      <c r="J1286" s="2819">
        <f>'Part VIII Scoring Criteria'!J129</f>
        <v>0</v>
      </c>
      <c r="K1286" s="2034"/>
      <c r="L1286" s="2812" t="str">
        <f t="shared" si="380"/>
        <v/>
      </c>
      <c r="M1286" s="2854">
        <v>1</v>
      </c>
      <c r="N1286" s="2820"/>
      <c r="O1286" s="2027">
        <f>'Part VIII Scoring Criteria'!O129</f>
        <v>0</v>
      </c>
      <c r="P1286" s="2855"/>
      <c r="Q1286" s="2814"/>
      <c r="R1286" s="1998"/>
      <c r="S1286" s="1998"/>
      <c r="T1286" s="1998"/>
      <c r="U1286" s="1998"/>
      <c r="V1286" s="2463"/>
      <c r="W1286" s="1998"/>
      <c r="X1286" s="1998"/>
      <c r="Y1286" s="1998"/>
      <c r="Z1286" s="1998"/>
      <c r="AA1286" s="1998"/>
      <c r="AB1286" s="1998"/>
      <c r="AC1286" s="1998"/>
      <c r="AD1286" s="1998"/>
      <c r="AE1286" s="1998"/>
      <c r="AF1286" s="1998"/>
    </row>
    <row r="1287" spans="1:32" ht="14">
      <c r="A1287" s="2467"/>
      <c r="B1287" s="2817"/>
      <c r="C1287" s="2031" t="s">
        <v>4977</v>
      </c>
      <c r="D1287" s="1998"/>
      <c r="E1287" s="1998"/>
      <c r="F1287" s="2467"/>
      <c r="G1287" s="1998"/>
      <c r="H1287" s="1998"/>
      <c r="I1287" s="2467"/>
      <c r="J1287" s="2819">
        <f>'Part VIII Scoring Criteria'!J130</f>
        <v>0</v>
      </c>
      <c r="K1287" s="2031"/>
      <c r="L1287" s="2812" t="str">
        <f t="shared" si="380"/>
        <v/>
      </c>
      <c r="M1287" s="2844">
        <v>1</v>
      </c>
      <c r="N1287" s="2465"/>
      <c r="O1287" s="2027">
        <f>'Part VIII Scoring Criteria'!O130</f>
        <v>0</v>
      </c>
      <c r="P1287" s="2027"/>
      <c r="Q1287" s="2814"/>
      <c r="R1287" s="1998"/>
      <c r="S1287" s="1998"/>
      <c r="T1287" s="1998"/>
      <c r="U1287" s="1998"/>
      <c r="V1287" s="2463"/>
      <c r="W1287" s="1998"/>
      <c r="X1287" s="1998"/>
      <c r="Y1287" s="1998"/>
      <c r="Z1287" s="1998"/>
      <c r="AA1287" s="1998"/>
      <c r="AB1287" s="1998"/>
      <c r="AC1287" s="1998"/>
      <c r="AD1287" s="1998"/>
      <c r="AE1287" s="1998"/>
      <c r="AF1287" s="1998"/>
    </row>
    <row r="1288" spans="1:32" ht="14">
      <c r="A1288" s="2467"/>
      <c r="B1288" s="2815"/>
      <c r="C1288" s="2031" t="s">
        <v>4898</v>
      </c>
      <c r="D1288" s="1998"/>
      <c r="E1288" s="1998"/>
      <c r="F1288" s="2467"/>
      <c r="G1288" s="1998"/>
      <c r="H1288" s="1998"/>
      <c r="I1288" s="2467"/>
      <c r="J1288" s="2819">
        <f>'Part VIII Scoring Criteria'!J131</f>
        <v>0</v>
      </c>
      <c r="K1288" s="2031"/>
      <c r="L1288" s="2812" t="str">
        <f t="shared" si="380"/>
        <v/>
      </c>
      <c r="M1288" s="2844">
        <v>1</v>
      </c>
      <c r="N1288" s="2465"/>
      <c r="O1288" s="2027">
        <f>'Part VIII Scoring Criteria'!O131</f>
        <v>0</v>
      </c>
      <c r="P1288" s="2027"/>
      <c r="Q1288" s="2814"/>
      <c r="R1288" s="1998"/>
      <c r="S1288" s="1998"/>
      <c r="T1288" s="1998"/>
      <c r="U1288" s="1998"/>
      <c r="V1288" s="2463"/>
      <c r="W1288" s="1998"/>
      <c r="X1288" s="1998"/>
      <c r="Y1288" s="1998"/>
      <c r="Z1288" s="1998"/>
      <c r="AA1288" s="1998"/>
      <c r="AB1288" s="1998"/>
      <c r="AC1288" s="1998"/>
      <c r="AD1288" s="1998"/>
      <c r="AE1288" s="1998"/>
      <c r="AF1288" s="1998"/>
    </row>
    <row r="1289" spans="1:32" ht="14">
      <c r="A1289" s="2467"/>
      <c r="B1289" s="2817"/>
      <c r="C1289" s="2031" t="s">
        <v>4978</v>
      </c>
      <c r="D1289" s="1998"/>
      <c r="E1289" s="1998"/>
      <c r="F1289" s="2467"/>
      <c r="G1289" s="1998"/>
      <c r="H1289" s="1998"/>
      <c r="I1289" s="2467"/>
      <c r="J1289" s="2819">
        <f>'Part VIII Scoring Criteria'!J132</f>
        <v>0</v>
      </c>
      <c r="K1289" s="2031"/>
      <c r="L1289" s="2812" t="str">
        <f t="shared" si="380"/>
        <v/>
      </c>
      <c r="M1289" s="2844">
        <v>1</v>
      </c>
      <c r="N1289" s="2465"/>
      <c r="O1289" s="2027">
        <f>'Part VIII Scoring Criteria'!O132</f>
        <v>0</v>
      </c>
      <c r="P1289" s="2027"/>
      <c r="Q1289" s="2814"/>
      <c r="R1289" s="1998"/>
      <c r="S1289" s="1998"/>
      <c r="T1289" s="1998"/>
      <c r="U1289" s="1998"/>
      <c r="V1289" s="2463"/>
      <c r="W1289" s="1998"/>
      <c r="X1289" s="1998"/>
      <c r="Y1289" s="1998"/>
      <c r="Z1289" s="1998"/>
      <c r="AA1289" s="1998"/>
      <c r="AB1289" s="1998"/>
      <c r="AC1289" s="1998"/>
      <c r="AD1289" s="1998"/>
      <c r="AE1289" s="1998"/>
      <c r="AF1289" s="1998"/>
    </row>
    <row r="1290" spans="1:32" ht="14">
      <c r="A1290" s="2467" t="s">
        <v>1838</v>
      </c>
      <c r="B1290" s="1997" t="s">
        <v>4895</v>
      </c>
      <c r="C1290" s="1998"/>
      <c r="D1290" s="1998"/>
      <c r="E1290" s="1998"/>
      <c r="F1290" s="1998"/>
      <c r="G1290" s="1998"/>
      <c r="H1290" s="2465"/>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4">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5">
      <c r="A1292" s="1998"/>
      <c r="B1292" s="2808" t="s">
        <v>5123</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5">
      <c r="A1293" s="2823">
        <f>'Part VIII Scoring Criteria'!A136</f>
        <v>0</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5">
      <c r="A1294" s="2808"/>
      <c r="B1294" s="2808" t="s">
        <v>1725</v>
      </c>
      <c r="C1294" s="1998"/>
      <c r="D1294" s="2808"/>
      <c r="E1294" s="2031"/>
      <c r="F1294" s="2031"/>
      <c r="G1294" s="2031"/>
      <c r="H1294" s="2031"/>
      <c r="I1294" s="2031"/>
      <c r="J1294" s="2031"/>
      <c r="K1294" s="2031"/>
      <c r="L1294" s="2031"/>
      <c r="M1294" s="2031"/>
      <c r="N1294" s="2012"/>
      <c r="O1294" s="2467"/>
      <c r="P1294" s="2467"/>
      <c r="Q1294" s="1998"/>
      <c r="R1294" s="1998"/>
      <c r="S1294" s="1998"/>
      <c r="T1294" s="1998"/>
      <c r="U1294" s="1998"/>
      <c r="V1294" s="1998"/>
      <c r="W1294" s="1998"/>
      <c r="X1294" s="1998"/>
      <c r="Y1294" s="1998"/>
      <c r="Z1294" s="1998"/>
      <c r="AA1294" s="1998"/>
      <c r="AB1294" s="1998"/>
      <c r="AC1294" s="1998"/>
      <c r="AD1294" s="1998"/>
      <c r="AE1294" s="1998"/>
      <c r="AF1294" s="1998"/>
    </row>
    <row r="1295" spans="1:32" ht="14">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4">
      <c r="A1296" s="2848"/>
      <c r="B1296" s="1998"/>
      <c r="C1296" s="2035"/>
      <c r="D1296" s="2035"/>
      <c r="E1296" s="2035"/>
      <c r="F1296" s="2035"/>
      <c r="G1296" s="2035"/>
      <c r="H1296" s="2035"/>
      <c r="I1296" s="2035"/>
      <c r="J1296" s="2035"/>
      <c r="K1296" s="2035"/>
      <c r="L1296" s="2035"/>
      <c r="M1296" s="2035"/>
      <c r="N1296" s="2033"/>
      <c r="O1296" s="2819"/>
      <c r="P1296" s="2467"/>
      <c r="Q1296" s="2028"/>
      <c r="R1296" s="2028"/>
      <c r="S1296" s="2028"/>
      <c r="T1296" s="2028"/>
      <c r="U1296" s="2028"/>
      <c r="V1296" s="2028"/>
      <c r="W1296" s="2028"/>
      <c r="X1296" s="2028"/>
      <c r="Y1296" s="2028"/>
      <c r="Z1296" s="2028"/>
      <c r="AA1296" s="2028"/>
      <c r="AB1296" s="2028"/>
      <c r="AC1296" s="2028"/>
      <c r="AD1296" s="2028"/>
      <c r="AE1296" s="2028"/>
      <c r="AF1296" s="2028"/>
    </row>
    <row r="1297" spans="1:32" ht="14">
      <c r="A1297" s="2028"/>
      <c r="B1297" s="2028"/>
      <c r="C1297" s="2028"/>
      <c r="D1297" s="1998"/>
      <c r="E1297" s="1998"/>
      <c r="F1297" s="2467"/>
      <c r="G1297" s="2467"/>
      <c r="H1297" s="2467"/>
      <c r="I1297" s="2467"/>
      <c r="J1297" s="2031"/>
      <c r="K1297" s="2031"/>
      <c r="L1297" s="2031"/>
      <c r="M1297" s="2012"/>
      <c r="N1297" s="2467"/>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4">
      <c r="A1298" s="2462" t="s">
        <v>400</v>
      </c>
      <c r="B1298" s="2463" t="s">
        <v>3065</v>
      </c>
      <c r="C1298" s="1998"/>
      <c r="D1298" s="1998"/>
      <c r="E1298" s="1998"/>
      <c r="F1298" s="1998"/>
      <c r="G1298" s="1997"/>
      <c r="H1298" s="1998"/>
      <c r="I1298" s="1997"/>
      <c r="J1298" s="2467"/>
      <c r="K1298" s="2857" t="s">
        <v>4946</v>
      </c>
      <c r="L1298" s="2810" t="s">
        <v>4899</v>
      </c>
      <c r="M1298" s="2467">
        <v>3</v>
      </c>
      <c r="N1298" s="2012"/>
      <c r="O1298" s="2027">
        <f>'Part VIII Scoring Criteria'!O141</f>
        <v>0</v>
      </c>
      <c r="P1298" s="2027">
        <f>'Part VIII Scoring Criteria'!P141</f>
        <v>0</v>
      </c>
      <c r="Q1298" s="2467" t="s">
        <v>415</v>
      </c>
      <c r="R1298" s="2467">
        <f>$O$12</f>
        <v>0</v>
      </c>
      <c r="S1298" s="2036"/>
      <c r="T1298" s="1998"/>
      <c r="U1298" s="1998"/>
      <c r="V1298" s="1998"/>
      <c r="W1298" s="1998"/>
      <c r="X1298" s="1998"/>
      <c r="Y1298" s="1998"/>
      <c r="Z1298" s="1998"/>
      <c r="AA1298" s="1998"/>
      <c r="AB1298" s="1998"/>
      <c r="AC1298" s="1998"/>
      <c r="AD1298" s="1998"/>
      <c r="AE1298" s="1998"/>
      <c r="AF1298" s="1998"/>
    </row>
    <row r="1299" spans="1:32" ht="14">
      <c r="A1299" s="2858"/>
      <c r="B1299" s="2859"/>
      <c r="C1299" s="2028"/>
      <c r="D1299" s="2028"/>
      <c r="E1299" s="1998"/>
      <c r="F1299" s="2028" t="s">
        <v>3697</v>
      </c>
      <c r="G1299" s="2036"/>
      <c r="H1299" s="1998"/>
      <c r="I1299" s="2463"/>
      <c r="J1299" s="2028"/>
      <c r="K1299" s="2810"/>
      <c r="L1299" s="2860"/>
      <c r="M1299" s="2467"/>
      <c r="N1299" s="2012"/>
      <c r="O1299" s="2027"/>
      <c r="P1299" s="2027"/>
      <c r="Q1299" s="2467"/>
      <c r="R1299" s="2812"/>
      <c r="S1299" s="2028"/>
      <c r="T1299" s="2028"/>
      <c r="U1299" s="2028"/>
      <c r="V1299" s="2028"/>
      <c r="W1299" s="2028"/>
      <c r="X1299" s="2028"/>
      <c r="Y1299" s="2028"/>
      <c r="Z1299" s="2028"/>
      <c r="AA1299" s="2028"/>
      <c r="AB1299" s="2028"/>
      <c r="AC1299" s="2028"/>
      <c r="AD1299" s="2028"/>
      <c r="AE1299" s="2028"/>
      <c r="AF1299" s="2028"/>
    </row>
    <row r="1300" spans="1:32" ht="14">
      <c r="A1300" s="2467" t="s">
        <v>1836</v>
      </c>
      <c r="B1300" s="2814" t="s">
        <v>4715</v>
      </c>
      <c r="C1300" s="1998"/>
      <c r="D1300" s="1998"/>
      <c r="E1300" s="1998"/>
      <c r="F1300" s="1998"/>
      <c r="G1300" s="2861"/>
      <c r="H1300" s="2028" t="s">
        <v>4545</v>
      </c>
      <c r="I1300" s="1998"/>
      <c r="J1300" s="2862" t="str">
        <f>'Part V-Revenues &amp; Expenses'!$O$53</f>
        <v>&lt;&lt; Select LIHTC Election &gt;&gt;</v>
      </c>
      <c r="K1300" s="1998"/>
      <c r="L1300" s="1998"/>
      <c r="M1300" s="2467">
        <v>2</v>
      </c>
      <c r="N1300" s="2845"/>
      <c r="O1300" s="2027">
        <f>'Part VIII Scoring Criteria'!O143</f>
        <v>0</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4">
      <c r="A1301" s="2467"/>
      <c r="B1301" s="2815" t="s">
        <v>1839</v>
      </c>
      <c r="C1301" s="2863" t="s">
        <v>3692</v>
      </c>
      <c r="D1301" s="1998"/>
      <c r="E1301" s="1998"/>
      <c r="F1301" s="1998"/>
      <c r="G1301" s="1998"/>
      <c r="H1301" s="1998" t="s">
        <v>3693</v>
      </c>
      <c r="I1301" s="1998"/>
      <c r="J1301" s="1998"/>
      <c r="K1301" s="2864" t="str">
        <f>'Part V-Revenues &amp; Expenses'!$B$50</f>
        <v/>
      </c>
      <c r="L1301" s="2812" t="str">
        <f t="shared" ref="L1301:L1302" si="381">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4">
      <c r="A1302" s="2467"/>
      <c r="B1302" s="2817" t="s">
        <v>1841</v>
      </c>
      <c r="C1302" s="2863" t="s">
        <v>3694</v>
      </c>
      <c r="D1302" s="1998"/>
      <c r="E1302" s="1998"/>
      <c r="F1302" s="1998"/>
      <c r="G1302" s="1998"/>
      <c r="H1302" s="1998"/>
      <c r="I1302" s="1998"/>
      <c r="J1302" s="1998"/>
      <c r="K1302" s="2028"/>
      <c r="L1302" s="2812" t="str">
        <f t="shared" si="381"/>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4">
      <c r="A1303" s="2467"/>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4">
      <c r="A1304" s="2467" t="s">
        <v>1838</v>
      </c>
      <c r="B1304" s="2814" t="s">
        <v>4718</v>
      </c>
      <c r="C1304" s="2028"/>
      <c r="D1304" s="2028"/>
      <c r="E1304" s="2028"/>
      <c r="F1304" s="2028"/>
      <c r="G1304" s="2028"/>
      <c r="H1304" s="2029" t="s">
        <v>4699</v>
      </c>
      <c r="I1304" s="1998"/>
      <c r="J1304" s="2028"/>
      <c r="K1304" s="2867">
        <f>'Part VIII Scoring Criteria'!K147</f>
        <v>0</v>
      </c>
      <c r="L1304" s="2028"/>
      <c r="M1304" s="2467">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5">
      <c r="A1305" s="1998"/>
      <c r="B1305" s="2808" t="s">
        <v>1725</v>
      </c>
      <c r="C1305" s="2028"/>
      <c r="D1305" s="2823"/>
      <c r="E1305" s="2035"/>
      <c r="F1305" s="2035"/>
      <c r="G1305" s="2035"/>
      <c r="H1305" s="2035"/>
      <c r="I1305" s="2035"/>
      <c r="J1305" s="2035"/>
      <c r="K1305" s="2035"/>
      <c r="L1305" s="2035"/>
      <c r="M1305" s="2035"/>
      <c r="N1305" s="2033"/>
      <c r="O1305" s="2819"/>
      <c r="P1305" s="2467"/>
      <c r="Q1305" s="2028"/>
      <c r="R1305" s="2028"/>
      <c r="S1305" s="2028"/>
      <c r="T1305" s="2028"/>
      <c r="U1305" s="2028"/>
      <c r="V1305" s="2028"/>
      <c r="W1305" s="2028"/>
      <c r="X1305" s="2028"/>
      <c r="Y1305" s="2028"/>
      <c r="Z1305" s="2028"/>
      <c r="AA1305" s="2028"/>
      <c r="AB1305" s="2028"/>
      <c r="AC1305" s="2028"/>
      <c r="AD1305" s="2028"/>
      <c r="AE1305" s="2028"/>
      <c r="AF1305" s="2028"/>
    </row>
    <row r="1306" spans="1:32" ht="14">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4">
      <c r="A1307" s="1998"/>
      <c r="B1307" s="2470"/>
      <c r="C1307" s="1998"/>
      <c r="D1307" s="1997"/>
      <c r="E1307" s="1998"/>
      <c r="F1307" s="1998"/>
      <c r="G1307" s="2471"/>
      <c r="H1307" s="2471"/>
      <c r="I1307" s="2471"/>
      <c r="J1307" s="2471"/>
      <c r="K1307" s="2471"/>
      <c r="L1307" s="2471"/>
      <c r="M1307" s="2012"/>
      <c r="N1307" s="2017"/>
      <c r="O1307" s="2027"/>
      <c r="P1307" s="2467"/>
      <c r="Q1307" s="2028"/>
      <c r="R1307" s="1998"/>
      <c r="S1307" s="1998"/>
      <c r="T1307" s="1998"/>
      <c r="U1307" s="1998"/>
      <c r="V1307" s="1998"/>
      <c r="W1307" s="1998"/>
      <c r="X1307" s="2472"/>
      <c r="Y1307" s="2472"/>
      <c r="Z1307" s="2472"/>
      <c r="AA1307" s="2472"/>
      <c r="AB1307" s="2472"/>
      <c r="AC1307" s="2472"/>
      <c r="AD1307" s="2472"/>
      <c r="AE1307" s="2472"/>
      <c r="AF1307" s="2472"/>
    </row>
    <row r="1308" spans="1:32" ht="14">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3"/>
      <c r="U1308" s="2463"/>
      <c r="V1308" s="2028"/>
      <c r="W1308" s="2028"/>
      <c r="X1308" s="2028"/>
      <c r="Y1308" s="2028"/>
      <c r="Z1308" s="2028"/>
      <c r="AA1308" s="2028"/>
      <c r="AB1308" s="2028"/>
      <c r="AC1308" s="2028"/>
      <c r="AD1308" s="2028"/>
      <c r="AE1308" s="2028"/>
      <c r="AF1308" s="2028"/>
    </row>
    <row r="1309" spans="1:32" ht="14.5">
      <c r="A1309" s="2848" t="s">
        <v>342</v>
      </c>
      <c r="B1309" s="2463" t="s">
        <v>4852</v>
      </c>
      <c r="C1309" s="1998"/>
      <c r="D1309" s="2463"/>
      <c r="E1309" s="2463"/>
      <c r="F1309" s="1998"/>
      <c r="G1309" s="1998"/>
      <c r="H1309" s="1998"/>
      <c r="I1309" s="1998"/>
      <c r="J1309" s="1998"/>
      <c r="K1309" s="1998"/>
      <c r="L1309" s="2868"/>
      <c r="M1309" s="2467">
        <v>2</v>
      </c>
      <c r="N1309" s="2012"/>
      <c r="O1309" s="2027">
        <f>'Part VIII Scoring Criteria'!O152</f>
        <v>0</v>
      </c>
      <c r="P1309" s="2027">
        <f>'Part VIII Scoring Criteria'!P152</f>
        <v>0</v>
      </c>
      <c r="Q1309" s="2467" t="s">
        <v>415</v>
      </c>
      <c r="R1309" s="2467"/>
      <c r="S1309" s="1998"/>
      <c r="T1309" s="1998"/>
      <c r="U1309" s="1998"/>
      <c r="V1309" s="1998"/>
      <c r="W1309" s="1998"/>
      <c r="X1309" s="1998"/>
      <c r="Y1309" s="1998"/>
      <c r="Z1309" s="1998"/>
      <c r="AA1309" s="1998"/>
      <c r="AB1309" s="1998"/>
      <c r="AC1309" s="1998"/>
      <c r="AD1309" s="1998"/>
      <c r="AE1309" s="1998"/>
      <c r="AF1309" s="1998"/>
    </row>
    <row r="1310" spans="1:32" ht="14">
      <c r="A1310" s="2028"/>
      <c r="B1310" s="2869" t="s">
        <v>4979</v>
      </c>
      <c r="C1310" s="1998"/>
      <c r="D1310" s="1998"/>
      <c r="E1310" s="1998"/>
      <c r="F1310" s="1998"/>
      <c r="G1310" s="1998"/>
      <c r="H1310" s="1998"/>
      <c r="I1310" s="1998"/>
      <c r="J1310" s="1998"/>
      <c r="K1310" s="1998"/>
      <c r="L1310" s="2028"/>
      <c r="M1310" s="2012"/>
      <c r="N1310" s="2017"/>
      <c r="O1310" s="2467">
        <f>'Part VIII Scoring Criteria'!O153</f>
        <v>0</v>
      </c>
      <c r="P1310" s="2467"/>
      <c r="Q1310" s="2028"/>
      <c r="R1310" s="2028"/>
      <c r="S1310" s="2028"/>
      <c r="T1310" s="2028"/>
      <c r="U1310" s="2028"/>
      <c r="V1310" s="2028"/>
      <c r="W1310" s="2028"/>
      <c r="X1310" s="2028"/>
      <c r="Y1310" s="2028"/>
      <c r="Z1310" s="2028"/>
      <c r="AA1310" s="2028"/>
      <c r="AB1310" s="2028"/>
      <c r="AC1310" s="2028"/>
      <c r="AD1310" s="2028"/>
      <c r="AE1310" s="2028"/>
      <c r="AF1310" s="2028"/>
    </row>
    <row r="1311" spans="1:32" ht="14.5">
      <c r="A1311" s="1998"/>
      <c r="B1311" s="2808" t="s">
        <v>5123</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5">
      <c r="A1312" s="2823">
        <f>'Part VIII Scoring Criteria'!A155</f>
        <v>0</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5">
      <c r="A1313" s="2808"/>
      <c r="B1313" s="2808" t="s">
        <v>1725</v>
      </c>
      <c r="C1313" s="1998"/>
      <c r="D1313" s="2808"/>
      <c r="E1313" s="2031"/>
      <c r="F1313" s="2031"/>
      <c r="G1313" s="2031"/>
      <c r="H1313" s="2031"/>
      <c r="I1313" s="2031"/>
      <c r="J1313" s="2031"/>
      <c r="K1313" s="2031"/>
      <c r="L1313" s="2031"/>
      <c r="M1313" s="2031"/>
      <c r="N1313" s="2012"/>
      <c r="O1313" s="2467"/>
      <c r="P1313" s="2467"/>
      <c r="Q1313" s="1998"/>
      <c r="R1313" s="1998"/>
      <c r="S1313" s="1998"/>
      <c r="T1313" s="1998"/>
      <c r="U1313" s="1998"/>
      <c r="V1313" s="1998"/>
      <c r="W1313" s="1998"/>
      <c r="X1313" s="1998"/>
      <c r="Y1313" s="1998"/>
      <c r="Z1313" s="1998"/>
      <c r="AA1313" s="1998"/>
      <c r="AB1313" s="1998"/>
      <c r="AC1313" s="1998"/>
      <c r="AD1313" s="1998"/>
      <c r="AE1313" s="1998"/>
      <c r="AF1313" s="1998"/>
    </row>
    <row r="1314" spans="1:32" ht="14">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4">
      <c r="A1315" s="2848"/>
      <c r="B1315" s="1998"/>
      <c r="C1315" s="2035"/>
      <c r="D1315" s="2035"/>
      <c r="E1315" s="2035"/>
      <c r="F1315" s="2035"/>
      <c r="G1315" s="2035"/>
      <c r="H1315" s="2035"/>
      <c r="I1315" s="2035"/>
      <c r="J1315" s="2035"/>
      <c r="K1315" s="2035"/>
      <c r="L1315" s="2035"/>
      <c r="M1315" s="2035"/>
      <c r="N1315" s="2033"/>
      <c r="O1315" s="2819"/>
      <c r="P1315" s="2467"/>
      <c r="Q1315" s="2028"/>
      <c r="R1315" s="2028"/>
      <c r="S1315" s="2028"/>
      <c r="T1315" s="2028"/>
      <c r="U1315" s="2028"/>
      <c r="V1315" s="2028"/>
      <c r="W1315" s="2028"/>
      <c r="X1315" s="2028"/>
      <c r="Y1315" s="2028"/>
      <c r="Z1315" s="2028"/>
      <c r="AA1315" s="2028"/>
      <c r="AB1315" s="2028"/>
      <c r="AC1315" s="2028"/>
      <c r="AD1315" s="2028"/>
      <c r="AE1315" s="2028"/>
      <c r="AF1315" s="2028"/>
    </row>
    <row r="1316" spans="1:32" ht="14">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4">
      <c r="A1317" s="2462" t="s">
        <v>343</v>
      </c>
      <c r="B1317" s="2463" t="s">
        <v>3282</v>
      </c>
      <c r="C1317" s="2028"/>
      <c r="D1317" s="2028"/>
      <c r="E1317" s="2028"/>
      <c r="F1317" s="2028"/>
      <c r="G1317" s="2028"/>
      <c r="H1317" s="2028"/>
      <c r="I1317" s="2028"/>
      <c r="J1317" s="2028"/>
      <c r="K1317" s="2028"/>
      <c r="L1317" s="2810" t="s">
        <v>4899</v>
      </c>
      <c r="M1317" s="2467">
        <v>20</v>
      </c>
      <c r="N1317" s="2465"/>
      <c r="O1317" s="2807">
        <f>'Part VIII Scoring Criteria'!O160</f>
        <v>0</v>
      </c>
      <c r="P1317" s="2807">
        <f>'Part VIII Scoring Criteria'!P160</f>
        <v>0</v>
      </c>
      <c r="Q1317" s="2467" t="s">
        <v>415</v>
      </c>
      <c r="R1317" s="2467">
        <f>$O$12</f>
        <v>0</v>
      </c>
      <c r="S1317" s="2028"/>
      <c r="T1317" s="2028"/>
      <c r="U1317" s="2028"/>
      <c r="V1317" s="2028"/>
      <c r="W1317" s="2028"/>
      <c r="X1317" s="2028"/>
      <c r="Y1317" s="2028"/>
      <c r="Z1317" s="2028"/>
      <c r="AA1317" s="2028"/>
      <c r="AB1317" s="2028"/>
      <c r="AC1317" s="2028"/>
      <c r="AD1317" s="2028"/>
      <c r="AE1317" s="2028"/>
      <c r="AF1317" s="2028"/>
    </row>
    <row r="1318" spans="1:32" ht="14">
      <c r="A1318" s="2467" t="s">
        <v>1836</v>
      </c>
      <c r="B1318" s="1997" t="s">
        <v>1732</v>
      </c>
      <c r="C1318" s="1997"/>
      <c r="D1318" s="1997"/>
      <c r="E1318" s="1998"/>
      <c r="F1318" s="1997"/>
      <c r="G1318" s="1998"/>
      <c r="H1318" s="2465"/>
      <c r="I1318" s="1997"/>
      <c r="J1318" s="1997"/>
      <c r="K1318" s="1997"/>
      <c r="L1318" s="2812" t="str">
        <f t="shared" ref="L1318" si="382">IF(OR($O1318=$M1318,$O1318=0,$O1318=""),"","* * Check Score! * *")</f>
        <v/>
      </c>
      <c r="M1318" s="2012">
        <v>20</v>
      </c>
      <c r="N1318" s="2816"/>
      <c r="O1318" s="2807">
        <f>'Part VIII Scoring Criteria'!O161</f>
        <v>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4">
      <c r="A1319" s="2467" t="s">
        <v>1838</v>
      </c>
      <c r="B1319" s="1997" t="s">
        <v>3198</v>
      </c>
      <c r="C1319" s="1998"/>
      <c r="D1319" s="1998"/>
      <c r="E1319" s="1998"/>
      <c r="F1319" s="1998"/>
      <c r="G1319" s="1998"/>
      <c r="H1319" s="2465"/>
      <c r="I1319" s="1997"/>
      <c r="J1319" s="1997"/>
      <c r="K1319" s="2849"/>
      <c r="L1319" s="1997"/>
      <c r="M1319" s="2012" t="s">
        <v>1163</v>
      </c>
      <c r="N1319" s="2465"/>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5">
      <c r="A1320" s="1998"/>
      <c r="B1320" s="2808" t="s">
        <v>5123</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5">
      <c r="A1321" s="2823">
        <f>'Part VIII Scoring Criteria'!A164</f>
        <v>0</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5">
      <c r="A1322" s="1998"/>
      <c r="B1322" s="2808" t="s">
        <v>1725</v>
      </c>
      <c r="C1322" s="1998"/>
      <c r="D1322" s="2823"/>
      <c r="E1322" s="2035"/>
      <c r="F1322" s="2035"/>
      <c r="G1322" s="2035"/>
      <c r="H1322" s="2035"/>
      <c r="I1322" s="2035"/>
      <c r="J1322" s="2035"/>
      <c r="K1322" s="2035"/>
      <c r="L1322" s="2035"/>
      <c r="M1322" s="2035"/>
      <c r="N1322" s="2033"/>
      <c r="O1322" s="2819"/>
      <c r="P1322" s="2467"/>
      <c r="Q1322" s="2028"/>
      <c r="R1322" s="2028"/>
      <c r="S1322" s="2028"/>
      <c r="T1322" s="2028"/>
      <c r="U1322" s="2028"/>
      <c r="V1322" s="2028"/>
      <c r="W1322" s="2028"/>
      <c r="X1322" s="2028"/>
      <c r="Y1322" s="2028"/>
      <c r="Z1322" s="2028"/>
      <c r="AA1322" s="2028"/>
      <c r="AB1322" s="2028"/>
      <c r="AC1322" s="2028"/>
      <c r="AD1322" s="2028"/>
      <c r="AE1322" s="2028"/>
      <c r="AF1322" s="2028"/>
    </row>
    <row r="1323" spans="1:32" ht="14">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4">
      <c r="A1324" s="1998"/>
      <c r="B1324" s="2470"/>
      <c r="C1324" s="1998"/>
      <c r="D1324" s="1997"/>
      <c r="E1324" s="1998"/>
      <c r="F1324" s="1998"/>
      <c r="G1324" s="2471"/>
      <c r="H1324" s="2471"/>
      <c r="I1324" s="2471"/>
      <c r="J1324" s="2471"/>
      <c r="K1324" s="2471"/>
      <c r="L1324" s="2471"/>
      <c r="M1324" s="2012"/>
      <c r="N1324" s="2017"/>
      <c r="O1324" s="2027"/>
      <c r="P1324" s="2467"/>
      <c r="Q1324" s="2028"/>
      <c r="R1324" s="1998"/>
      <c r="S1324" s="1998"/>
      <c r="T1324" s="1998"/>
      <c r="U1324" s="1998"/>
      <c r="V1324" s="1998"/>
      <c r="W1324" s="1998"/>
      <c r="X1324" s="2472"/>
      <c r="Y1324" s="2472"/>
      <c r="Z1324" s="2472"/>
      <c r="AA1324" s="2472"/>
      <c r="AB1324" s="2472"/>
      <c r="AC1324" s="2472"/>
      <c r="AD1324" s="2472"/>
      <c r="AE1324" s="2472"/>
      <c r="AF1324" s="2472"/>
    </row>
    <row r="1325" spans="1:32" ht="14">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3"/>
      <c r="U1325" s="2463"/>
      <c r="V1325" s="2028"/>
      <c r="W1325" s="2028"/>
      <c r="X1325" s="2028"/>
      <c r="Y1325" s="2028"/>
      <c r="Z1325" s="2028"/>
      <c r="AA1325" s="2028"/>
      <c r="AB1325" s="2028"/>
      <c r="AC1325" s="2028"/>
      <c r="AD1325" s="2028"/>
      <c r="AE1325" s="2028"/>
      <c r="AF1325" s="2028"/>
    </row>
    <row r="1326" spans="1:32" ht="14.5">
      <c r="A1326" s="2462" t="s">
        <v>344</v>
      </c>
      <c r="B1326" s="2463" t="s">
        <v>2407</v>
      </c>
      <c r="C1326" s="2028"/>
      <c r="D1326" s="2028"/>
      <c r="E1326" s="2028"/>
      <c r="F1326" s="2028"/>
      <c r="G1326" s="2028"/>
      <c r="H1326" s="2870"/>
      <c r="I1326" s="2814"/>
      <c r="J1326" s="2467"/>
      <c r="K1326" s="2467"/>
      <c r="L1326" s="2810" t="s">
        <v>4899</v>
      </c>
      <c r="M1326" s="2467">
        <v>6</v>
      </c>
      <c r="N1326" s="2465"/>
      <c r="O1326" s="2807">
        <f>'Part VIII Scoring Criteria'!O169</f>
        <v>0</v>
      </c>
      <c r="P1326" s="2807">
        <f>'Part VIII Scoring Criteria'!P169</f>
        <v>0</v>
      </c>
      <c r="Q1326" s="2467" t="s">
        <v>415</v>
      </c>
      <c r="R1326" s="2467">
        <f>$O$12</f>
        <v>0</v>
      </c>
      <c r="S1326" s="2028"/>
      <c r="T1326" s="2028"/>
      <c r="U1326" s="2028"/>
      <c r="V1326" s="2028"/>
      <c r="W1326" s="2028"/>
      <c r="X1326" s="2028"/>
      <c r="Y1326" s="2028"/>
      <c r="Z1326" s="2028"/>
      <c r="AA1326" s="2028"/>
      <c r="AB1326" s="2028"/>
      <c r="AC1326" s="2028"/>
      <c r="AD1326" s="2028"/>
      <c r="AE1326" s="2028"/>
      <c r="AF1326" s="2028"/>
    </row>
    <row r="1327" spans="1:32" ht="14.5">
      <c r="A1327" s="2462"/>
      <c r="B1327" s="2463"/>
      <c r="C1327" s="2028"/>
      <c r="D1327" s="2028"/>
      <c r="E1327" s="2028"/>
      <c r="F1327" s="2028"/>
      <c r="G1327" s="2028"/>
      <c r="H1327" s="2463"/>
      <c r="I1327" s="2808"/>
      <c r="J1327" s="1998"/>
      <c r="K1327" s="1998"/>
      <c r="L1327" s="2028"/>
      <c r="M1327" s="2467"/>
      <c r="N1327" s="2465"/>
      <c r="O1327" s="2027"/>
      <c r="P1327" s="2027"/>
      <c r="Q1327" s="2467"/>
      <c r="R1327" s="2028"/>
      <c r="S1327" s="2028"/>
      <c r="T1327" s="2028"/>
      <c r="U1327" s="2028"/>
      <c r="V1327" s="2028"/>
      <c r="W1327" s="2028"/>
      <c r="X1327" s="2028"/>
      <c r="Y1327" s="2028"/>
      <c r="Z1327" s="2028"/>
      <c r="AA1327" s="2028"/>
      <c r="AB1327" s="2028"/>
      <c r="AC1327" s="2028"/>
      <c r="AD1327" s="2028"/>
      <c r="AE1327" s="2028"/>
      <c r="AF1327" s="2028"/>
    </row>
    <row r="1328" spans="1:32" ht="14.15" customHeight="1">
      <c r="A1328" s="2462"/>
      <c r="B1328" s="1998" t="s">
        <v>3241</v>
      </c>
      <c r="C1328" s="2028"/>
      <c r="D1328" s="2028"/>
      <c r="E1328" s="2028"/>
      <c r="F1328" s="1998" t="s">
        <v>3132</v>
      </c>
      <c r="G1328" s="1998"/>
      <c r="H1328" s="1998"/>
      <c r="I1328" s="1998"/>
      <c r="J1328" s="1998" t="s">
        <v>3133</v>
      </c>
      <c r="K1328" s="1998"/>
      <c r="L1328" s="1998"/>
      <c r="M1328" s="1998"/>
      <c r="N1328" s="2465"/>
      <c r="O1328" s="2871" t="s">
        <v>4700</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
      <c r="A1329" s="2028"/>
      <c r="B1329" s="2872"/>
      <c r="C1329" s="2031" t="s">
        <v>4701</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
      <c r="A1330" s="2872"/>
      <c r="B1330" s="2034"/>
      <c r="C1330" s="2031" t="s">
        <v>4702</v>
      </c>
      <c r="D1330" s="2028"/>
      <c r="E1330" s="2028"/>
      <c r="F1330" s="1998">
        <f>'Part VIII Scoring Criteria'!F173</f>
        <v>0</v>
      </c>
      <c r="G1330" s="1998"/>
      <c r="H1330" s="1998"/>
      <c r="I1330" s="1998"/>
      <c r="J1330" s="1998">
        <f>'Part VIII Scoring Criteria'!J173</f>
        <v>0</v>
      </c>
      <c r="K1330" s="1998"/>
      <c r="L1330" s="1998"/>
      <c r="M1330" s="1998"/>
      <c r="N1330" s="2465"/>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
      <c r="A1331" s="2034"/>
      <c r="B1331" s="2028" t="s">
        <v>4724</v>
      </c>
      <c r="C1331" s="2028"/>
      <c r="D1331" s="2028"/>
      <c r="E1331" s="2028"/>
      <c r="F1331" s="2017" t="s">
        <v>4703</v>
      </c>
      <c r="G1331" s="1998" t="s">
        <v>1667</v>
      </c>
      <c r="H1331" s="1998"/>
      <c r="I1331" s="1998"/>
      <c r="J1331" s="1998" t="s">
        <v>4721</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
      <c r="A1332" s="2034"/>
      <c r="B1332" s="1998">
        <f>'Part VIII Scoring Criteria'!B175</f>
        <v>0</v>
      </c>
      <c r="C1332" s="1998"/>
      <c r="D1332" s="1998"/>
      <c r="E1332" s="1998"/>
      <c r="F1332" s="2874">
        <f>'Part VIII Scoring Criteria'!F175</f>
        <v>0</v>
      </c>
      <c r="G1332" s="1998">
        <f>'Part VIII Scoring Criteria'!G175</f>
        <v>0</v>
      </c>
      <c r="H1332" s="1998"/>
      <c r="I1332" s="1998"/>
      <c r="J1332" s="1998">
        <f>'Part VIII Scoring Criteria'!J175</f>
        <v>0</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4">
      <c r="A1333" s="2875"/>
      <c r="B1333" s="2463"/>
      <c r="C1333" s="2028"/>
      <c r="D1333" s="2028"/>
      <c r="E1333" s="2028"/>
      <c r="F1333" s="2811"/>
      <c r="G1333" s="2028"/>
      <c r="H1333" s="2028"/>
      <c r="I1333" s="2028"/>
      <c r="J1333" s="2028"/>
      <c r="K1333" s="2028"/>
      <c r="L1333" s="2028"/>
      <c r="M1333" s="2467"/>
      <c r="N1333" s="2467"/>
      <c r="O1333" s="2467"/>
      <c r="P1333" s="2467"/>
      <c r="Q1333" s="2467"/>
      <c r="R1333" s="1998"/>
      <c r="S1333" s="1998"/>
      <c r="T1333" s="1998"/>
      <c r="U1333" s="1998"/>
      <c r="V1333" s="2028"/>
      <c r="W1333" s="2028"/>
      <c r="X1333" s="2028"/>
      <c r="Y1333" s="2028"/>
      <c r="Z1333" s="2028"/>
      <c r="AA1333" s="2028"/>
      <c r="AB1333" s="2028"/>
      <c r="AC1333" s="2028"/>
      <c r="AD1333" s="2028"/>
      <c r="AE1333" s="2028"/>
      <c r="AF1333" s="2028"/>
    </row>
    <row r="1334" spans="1:32" ht="14">
      <c r="A1334" s="2819" t="s">
        <v>1836</v>
      </c>
      <c r="B1334" s="1997" t="s">
        <v>3156</v>
      </c>
      <c r="C1334" s="2028"/>
      <c r="D1334" s="2028"/>
      <c r="E1334" s="2028"/>
      <c r="F1334" s="2463"/>
      <c r="G1334" s="2028"/>
      <c r="H1334" s="2028"/>
      <c r="I1334" s="2028"/>
      <c r="J1334" s="2028"/>
      <c r="K1334" s="2028"/>
      <c r="L1334" s="2842" t="s">
        <v>4870</v>
      </c>
      <c r="M1334" s="2467">
        <v>6</v>
      </c>
      <c r="N1334" s="2845"/>
      <c r="O1334" s="2807">
        <f>'Part VIII Scoring Criteria'!O177</f>
        <v>0</v>
      </c>
      <c r="P1334" s="2807">
        <f>'Part VIII Scoring Criteria'!P177</f>
        <v>0</v>
      </c>
      <c r="Q1334" s="2467"/>
      <c r="R1334" s="2028"/>
      <c r="S1334" s="2876" t="s">
        <v>4165</v>
      </c>
      <c r="T1334" s="2876" t="s">
        <v>4050</v>
      </c>
      <c r="U1334" s="2028"/>
      <c r="V1334" s="2028"/>
      <c r="W1334" s="2028"/>
      <c r="X1334" s="2028"/>
      <c r="Y1334" s="2028"/>
      <c r="Z1334" s="2028"/>
      <c r="AA1334" s="2028"/>
      <c r="AB1334" s="2028"/>
      <c r="AC1334" s="2028"/>
      <c r="AD1334" s="2028"/>
      <c r="AE1334" s="2028"/>
      <c r="AF1334" s="2028"/>
    </row>
    <row r="1335" spans="1:32" ht="14.15" customHeight="1">
      <c r="A1335" s="2033"/>
      <c r="B1335" s="2817" t="s">
        <v>1839</v>
      </c>
      <c r="C1335" s="2034" t="s">
        <v>5125</v>
      </c>
      <c r="D1335" s="2034"/>
      <c r="E1335" s="2034"/>
      <c r="F1335" s="2034"/>
      <c r="G1335" s="2034"/>
      <c r="H1335" s="2034"/>
      <c r="I1335" s="2034"/>
      <c r="J1335" s="2034"/>
      <c r="K1335" s="2034"/>
      <c r="L1335" s="2812" t="str">
        <f t="shared" ref="L1335:L1336" si="383">IF(OR($O1335=$M1335,$O1335=0,$O1335=""),"","* * Check Score! * *")</f>
        <v/>
      </c>
      <c r="M1335" s="2033">
        <v>6</v>
      </c>
      <c r="N1335" s="2846"/>
      <c r="O1335" s="2855">
        <f>'Part VIII Scoring Criteria'!O178</f>
        <v>0</v>
      </c>
      <c r="P1335" s="2855"/>
      <c r="Q1335" s="2034"/>
      <c r="R1335" s="2877" t="s">
        <v>4569</v>
      </c>
      <c r="S1335" s="2788">
        <v>0.25</v>
      </c>
      <c r="T1335" s="2788">
        <v>5</v>
      </c>
      <c r="U1335" s="2034"/>
      <c r="V1335" s="2034"/>
      <c r="W1335" s="2034"/>
      <c r="X1335" s="2034"/>
      <c r="Y1335" s="2034"/>
      <c r="Z1335" s="2034"/>
      <c r="AA1335" s="2034"/>
      <c r="AB1335" s="2034"/>
      <c r="AC1335" s="2034"/>
      <c r="AD1335" s="2034"/>
      <c r="AE1335" s="2034"/>
      <c r="AF1335" s="2034"/>
    </row>
    <row r="1336" spans="1:32" ht="14">
      <c r="A1336" s="2467" t="s">
        <v>1273</v>
      </c>
      <c r="B1336" s="2817" t="s">
        <v>1841</v>
      </c>
      <c r="C1336" s="1998" t="s">
        <v>5126</v>
      </c>
      <c r="D1336" s="1998"/>
      <c r="E1336" s="1998"/>
      <c r="F1336" s="1998"/>
      <c r="G1336" s="1998"/>
      <c r="H1336" s="1998"/>
      <c r="I1336" s="1998"/>
      <c r="J1336" s="1998"/>
      <c r="K1336" s="1998"/>
      <c r="L1336" s="2812" t="str">
        <f t="shared" si="383"/>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4">
      <c r="A1337" s="2819" t="s">
        <v>1838</v>
      </c>
      <c r="B1337" s="2802" t="s">
        <v>3157</v>
      </c>
      <c r="C1337" s="2034"/>
      <c r="D1337" s="2034"/>
      <c r="E1337" s="2034"/>
      <c r="F1337" s="2822"/>
      <c r="G1337" s="2034"/>
      <c r="H1337" s="1998"/>
      <c r="I1337" s="1998"/>
      <c r="J1337" s="2034"/>
      <c r="K1337" s="2034"/>
      <c r="L1337" s="2878"/>
      <c r="M1337" s="2467">
        <v>3</v>
      </c>
      <c r="N1337" s="2465"/>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4">
      <c r="A1338" s="2462"/>
      <c r="B1338" s="2879" t="s">
        <v>1839</v>
      </c>
      <c r="C1338" s="1998" t="s">
        <v>5127</v>
      </c>
      <c r="D1338" s="1998"/>
      <c r="E1338" s="1998"/>
      <c r="F1338" s="1998"/>
      <c r="G1338" s="1998"/>
      <c r="H1338" s="1998"/>
      <c r="I1338" s="1998"/>
      <c r="J1338" s="1998"/>
      <c r="K1338" s="1998"/>
      <c r="L1338" s="2812" t="str">
        <f t="shared" ref="L1338:L1340" si="384">IF(OR($O1338=$M1338,$O1338=0,$O1338=""),"","* * Check Score! * *")</f>
        <v/>
      </c>
      <c r="M1338" s="2012">
        <v>3</v>
      </c>
      <c r="N1338" s="2847"/>
      <c r="O1338" s="2027">
        <f>'Part VIII Scoring Criteria'!O181</f>
        <v>0</v>
      </c>
      <c r="P1338" s="2027"/>
      <c r="Q1338" s="2028"/>
      <c r="R1338" s="2877" t="s">
        <v>4570</v>
      </c>
      <c r="S1338" s="2788">
        <v>0.25</v>
      </c>
      <c r="T1338" s="2788">
        <v>3</v>
      </c>
      <c r="U1338" s="2034"/>
      <c r="V1338" s="2028"/>
      <c r="W1338" s="2028"/>
      <c r="X1338" s="2028"/>
      <c r="Y1338" s="2028"/>
      <c r="Z1338" s="2028"/>
      <c r="AA1338" s="2028"/>
      <c r="AB1338" s="2028"/>
      <c r="AC1338" s="2028"/>
      <c r="AD1338" s="2028"/>
      <c r="AE1338" s="2028"/>
      <c r="AF1338" s="2028"/>
    </row>
    <row r="1339" spans="1:32" ht="14">
      <c r="A1339" s="2467" t="s">
        <v>1273</v>
      </c>
      <c r="B1339" s="2879" t="s">
        <v>1841</v>
      </c>
      <c r="C1339" s="1998" t="s">
        <v>5128</v>
      </c>
      <c r="D1339" s="1998"/>
      <c r="E1339" s="1998"/>
      <c r="F1339" s="1998"/>
      <c r="G1339" s="1998"/>
      <c r="H1339" s="1998"/>
      <c r="I1339" s="1998"/>
      <c r="J1339" s="2034"/>
      <c r="K1339" s="2034"/>
      <c r="L1339" s="2812" t="str">
        <f t="shared" si="384"/>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5" customHeight="1">
      <c r="A1340" s="2819" t="s">
        <v>1273</v>
      </c>
      <c r="B1340" s="2879" t="s">
        <v>2326</v>
      </c>
      <c r="C1340" s="2034" t="s">
        <v>5129</v>
      </c>
      <c r="D1340" s="2034"/>
      <c r="E1340" s="2034"/>
      <c r="F1340" s="2034"/>
      <c r="G1340" s="2034"/>
      <c r="H1340" s="2034"/>
      <c r="I1340" s="2034"/>
      <c r="J1340" s="2034"/>
      <c r="K1340" s="2034"/>
      <c r="L1340" s="2812" t="str">
        <f t="shared" si="384"/>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5">
      <c r="A1341" s="1998"/>
      <c r="B1341" s="2808" t="s">
        <v>5123</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5">
      <c r="A1342" s="2823">
        <f>'Part VIII Scoring Criteria'!A185</f>
        <v>0</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5">
      <c r="A1343" s="1998"/>
      <c r="B1343" s="2808" t="s">
        <v>1725</v>
      </c>
      <c r="C1343" s="1998"/>
      <c r="D1343" s="2808"/>
      <c r="E1343" s="2031"/>
      <c r="F1343" s="2031"/>
      <c r="G1343" s="2031"/>
      <c r="H1343" s="2031"/>
      <c r="I1343" s="2031"/>
      <c r="J1343" s="2031"/>
      <c r="K1343" s="2031"/>
      <c r="L1343" s="2031"/>
      <c r="M1343" s="2031"/>
      <c r="N1343" s="2012"/>
      <c r="O1343" s="2467"/>
      <c r="P1343" s="2467"/>
      <c r="Q1343" s="2028"/>
      <c r="R1343" s="1998"/>
      <c r="S1343" s="1998"/>
      <c r="T1343" s="1998"/>
      <c r="U1343" s="1998"/>
      <c r="V1343" s="1998"/>
      <c r="W1343" s="1998"/>
      <c r="X1343" s="1998"/>
      <c r="Y1343" s="1998"/>
      <c r="Z1343" s="1998"/>
      <c r="AA1343" s="1998"/>
      <c r="AB1343" s="1998"/>
      <c r="AC1343" s="1998"/>
      <c r="AD1343" s="1998"/>
      <c r="AE1343" s="1998"/>
      <c r="AF1343" s="1998"/>
    </row>
    <row r="1344" spans="1:32" ht="14">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4">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4">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4">
      <c r="A1347" s="2462" t="s">
        <v>1602</v>
      </c>
      <c r="B1347" s="2463" t="s">
        <v>4054</v>
      </c>
      <c r="C1347" s="2035"/>
      <c r="D1347" s="2035"/>
      <c r="E1347" s="2035"/>
      <c r="F1347" s="2028"/>
      <c r="G1347" s="2467"/>
      <c r="H1347" s="2814"/>
      <c r="I1347" s="2028"/>
      <c r="J1347" s="2028"/>
      <c r="K1347" s="2028"/>
      <c r="L1347" s="2810" t="s">
        <v>4899</v>
      </c>
      <c r="M1347" s="2467">
        <v>3</v>
      </c>
      <c r="N1347" s="2033"/>
      <c r="O1347" s="2027">
        <f>'Part VIII Scoring Criteria'!O190</f>
        <v>0</v>
      </c>
      <c r="P1347" s="2027">
        <f>'Part VIII Scoring Criteria'!P190</f>
        <v>0</v>
      </c>
      <c r="Q1347" s="2811" t="str">
        <f>IF(OR($O1347&lt;=$M1347,$O1347=0,$O1347=""),"","*CHECK!*")</f>
        <v/>
      </c>
      <c r="R1347" s="2814" t="s">
        <v>415</v>
      </c>
      <c r="S1347" s="2467">
        <f>$O$12</f>
        <v>0</v>
      </c>
      <c r="T1347" s="2028"/>
      <c r="U1347" s="2028"/>
      <c r="V1347" s="2028"/>
      <c r="W1347" s="2028"/>
      <c r="X1347" s="2028"/>
      <c r="Y1347" s="2028"/>
      <c r="Z1347" s="2028"/>
      <c r="AA1347" s="2028"/>
      <c r="AB1347" s="2028"/>
      <c r="AC1347" s="2028"/>
      <c r="AD1347" s="2028"/>
      <c r="AE1347" s="2028"/>
      <c r="AF1347" s="2028"/>
    </row>
    <row r="1348" spans="1:32" ht="14.15" customHeight="1">
      <c r="A1348" s="2028"/>
      <c r="B1348" s="2880"/>
      <c r="C1348" s="2880"/>
      <c r="D1348" s="2880"/>
      <c r="E1348" s="2826"/>
      <c r="F1348" s="2826" t="s">
        <v>5130</v>
      </c>
      <c r="G1348" s="2826"/>
      <c r="H1348" s="2826" t="s">
        <v>5131</v>
      </c>
      <c r="I1348" s="2826"/>
      <c r="J1348" s="2826" t="s">
        <v>5132</v>
      </c>
      <c r="K1348" s="2881"/>
      <c r="L1348" s="2826" t="s">
        <v>4725</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4">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4">
      <c r="A1350" s="2028"/>
      <c r="B1350" s="2882" t="s">
        <v>4529</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4">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7"/>
      <c r="Q1351" s="2028"/>
      <c r="R1351" s="2028"/>
      <c r="S1351" s="2028"/>
      <c r="T1351" s="2028"/>
      <c r="U1351" s="2028"/>
      <c r="V1351" s="2028"/>
      <c r="W1351" s="2028"/>
      <c r="X1351" s="2028"/>
      <c r="Y1351" s="2028"/>
      <c r="Z1351" s="2028"/>
      <c r="AA1351" s="2028"/>
      <c r="AB1351" s="2028"/>
      <c r="AC1351" s="2028"/>
      <c r="AD1351" s="2028"/>
      <c r="AE1351" s="2028"/>
      <c r="AF1351" s="2028"/>
    </row>
    <row r="1352" spans="1:32" ht="14">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7"/>
      <c r="Q1352" s="2028"/>
      <c r="R1352" s="2028"/>
      <c r="S1352" s="2028"/>
      <c r="T1352" s="2028"/>
      <c r="U1352" s="2028"/>
      <c r="V1352" s="2028"/>
      <c r="W1352" s="2028"/>
      <c r="X1352" s="2028"/>
      <c r="Y1352" s="2028"/>
      <c r="Z1352" s="2028"/>
      <c r="AA1352" s="2028"/>
      <c r="AB1352" s="2028"/>
      <c r="AC1352" s="2028"/>
      <c r="AD1352" s="2028"/>
      <c r="AE1352" s="2028"/>
      <c r="AF1352" s="2028"/>
    </row>
    <row r="1353" spans="1:32" ht="14">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7"/>
      <c r="Q1353" s="2028"/>
      <c r="R1353" s="2028"/>
      <c r="S1353" s="2028"/>
      <c r="T1353" s="2028"/>
      <c r="U1353" s="2028"/>
      <c r="V1353" s="2028"/>
      <c r="W1353" s="2028"/>
      <c r="X1353" s="2028"/>
      <c r="Y1353" s="2028"/>
      <c r="Z1353" s="2028"/>
      <c r="AA1353" s="2028"/>
      <c r="AB1353" s="2028"/>
      <c r="AC1353" s="2028"/>
      <c r="AD1353" s="2028"/>
      <c r="AE1353" s="2028"/>
      <c r="AF1353" s="2028"/>
    </row>
    <row r="1354" spans="1:32" ht="14">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7"/>
      <c r="Q1354" s="2028"/>
      <c r="R1354" s="2028"/>
      <c r="S1354" s="2028"/>
      <c r="T1354" s="2028"/>
      <c r="U1354" s="2028"/>
      <c r="V1354" s="2028"/>
      <c r="W1354" s="2028"/>
      <c r="X1354" s="2028"/>
      <c r="Y1354" s="2028"/>
      <c r="Z1354" s="2028"/>
      <c r="AA1354" s="2028"/>
      <c r="AB1354" s="2028"/>
      <c r="AC1354" s="2028"/>
      <c r="AD1354" s="2028"/>
      <c r="AE1354" s="2028"/>
      <c r="AF1354" s="2028"/>
    </row>
    <row r="1355" spans="1:32" ht="14">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7"/>
      <c r="Q1355" s="2028"/>
      <c r="R1355" s="2028"/>
      <c r="S1355" s="2028"/>
      <c r="T1355" s="2028"/>
      <c r="U1355" s="2028"/>
      <c r="V1355" s="2028"/>
      <c r="W1355" s="2028"/>
      <c r="X1355" s="2028"/>
      <c r="Y1355" s="2028"/>
      <c r="Z1355" s="2028"/>
      <c r="AA1355" s="2028"/>
      <c r="AB1355" s="2028"/>
      <c r="AC1355" s="2028"/>
      <c r="AD1355" s="2028"/>
      <c r="AE1355" s="2028"/>
      <c r="AF1355" s="2028"/>
    </row>
    <row r="1356" spans="1:32" ht="14">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7"/>
      <c r="Q1356" s="2028"/>
      <c r="R1356" s="2028"/>
      <c r="S1356" s="2028"/>
      <c r="T1356" s="2028"/>
      <c r="U1356" s="2028"/>
      <c r="V1356" s="2028"/>
      <c r="W1356" s="2028"/>
      <c r="X1356" s="2028"/>
      <c r="Y1356" s="2028"/>
      <c r="Z1356" s="2028"/>
      <c r="AA1356" s="2028"/>
      <c r="AB1356" s="2028"/>
      <c r="AC1356" s="2028"/>
      <c r="AD1356" s="2028"/>
      <c r="AE1356" s="2028"/>
      <c r="AF1356" s="2028"/>
    </row>
    <row r="1357" spans="1:32" ht="14.5">
      <c r="A1357" s="1998"/>
      <c r="B1357" s="2808" t="s">
        <v>5123</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5">
      <c r="A1358" s="2823">
        <f>'Part VIII Scoring Criteria'!A201</f>
        <v>0</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5">
      <c r="A1359" s="1998"/>
      <c r="B1359" s="2823" t="s">
        <v>1725</v>
      </c>
      <c r="C1359" s="1998"/>
      <c r="D1359" s="2823"/>
      <c r="E1359" s="2035"/>
      <c r="F1359" s="2035"/>
      <c r="G1359" s="2035"/>
      <c r="H1359" s="2035"/>
      <c r="I1359" s="2035"/>
      <c r="J1359" s="2035"/>
      <c r="K1359" s="2035"/>
      <c r="L1359" s="2035"/>
      <c r="M1359" s="2035"/>
      <c r="N1359" s="2033"/>
      <c r="O1359" s="2819"/>
      <c r="P1359" s="2467"/>
      <c r="Q1359" s="2028"/>
      <c r="R1359" s="2028"/>
      <c r="S1359" s="2028"/>
      <c r="T1359" s="2028"/>
      <c r="U1359" s="2028"/>
      <c r="V1359" s="2028"/>
      <c r="W1359" s="2028"/>
      <c r="X1359" s="2028"/>
      <c r="Y1359" s="2028"/>
      <c r="Z1359" s="2028"/>
      <c r="AA1359" s="2028"/>
      <c r="AB1359" s="2028"/>
      <c r="AC1359" s="2028"/>
      <c r="AD1359" s="2028"/>
      <c r="AE1359" s="2028"/>
      <c r="AF1359" s="2028"/>
    </row>
    <row r="1360" spans="1:32" ht="14">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4">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4">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4">
      <c r="A1363" s="2462" t="s">
        <v>2489</v>
      </c>
      <c r="B1363" s="2463" t="s">
        <v>3254</v>
      </c>
      <c r="C1363" s="1998"/>
      <c r="D1363" s="2463"/>
      <c r="E1363" s="2463"/>
      <c r="F1363" s="1998"/>
      <c r="G1363" s="1998"/>
      <c r="H1363" s="1998"/>
      <c r="I1363" s="1998"/>
      <c r="J1363" s="1998"/>
      <c r="K1363" s="2842"/>
      <c r="L1363" s="2810" t="s">
        <v>4899</v>
      </c>
      <c r="M1363" s="2467">
        <v>10</v>
      </c>
      <c r="N1363" s="2012"/>
      <c r="O1363" s="2807">
        <f>'Part VIII Scoring Criteria'!O206</f>
        <v>0</v>
      </c>
      <c r="P1363" s="2807">
        <f>'Part VIII Scoring Criteria'!P206</f>
        <v>0</v>
      </c>
      <c r="Q1363" s="2467" t="s">
        <v>415</v>
      </c>
      <c r="R1363" s="2884" t="s">
        <v>5002</v>
      </c>
      <c r="S1363" s="1997"/>
      <c r="T1363" s="1997"/>
      <c r="U1363" s="1997"/>
      <c r="V1363" s="2880">
        <f>$C$16</f>
        <v>0</v>
      </c>
      <c r="W1363" s="1998"/>
      <c r="X1363" s="1998"/>
      <c r="Y1363" s="1998"/>
      <c r="Z1363" s="1998"/>
      <c r="AA1363" s="1998"/>
      <c r="AB1363" s="1998"/>
      <c r="AC1363" s="1998"/>
      <c r="AD1363" s="1998"/>
      <c r="AE1363" s="1998"/>
      <c r="AF1363" s="1998"/>
    </row>
    <row r="1364" spans="1:32" ht="14">
      <c r="A1364" s="2462"/>
      <c r="B1364" s="2463"/>
      <c r="C1364" s="1998"/>
      <c r="D1364" s="2463"/>
      <c r="E1364" s="2463"/>
      <c r="F1364" s="2031" t="s">
        <v>5024</v>
      </c>
      <c r="G1364" s="1998"/>
      <c r="H1364" s="1998"/>
      <c r="I1364" s="1998"/>
      <c r="J1364" s="1998"/>
      <c r="K1364" s="1998"/>
      <c r="L1364" s="2470"/>
      <c r="M1364" s="2467"/>
      <c r="N1364" s="2012"/>
      <c r="O1364" s="2027">
        <f>'Part VIII Scoring Criteria'!O207</f>
        <v>0</v>
      </c>
      <c r="P1364" s="2027">
        <f>'Part VIII Scoring Criteria'!P207</f>
        <v>0</v>
      </c>
      <c r="Q1364" s="2467"/>
      <c r="R1364" s="2814"/>
      <c r="S1364" s="1997"/>
      <c r="T1364" s="1997"/>
      <c r="U1364" s="1997"/>
      <c r="V1364" s="2028"/>
      <c r="W1364" s="2028"/>
      <c r="X1364" s="2028"/>
      <c r="Y1364" s="1998"/>
      <c r="Z1364" s="1998"/>
      <c r="AA1364" s="1998"/>
      <c r="AB1364" s="1998"/>
      <c r="AC1364" s="1998"/>
      <c r="AD1364" s="1998"/>
      <c r="AE1364" s="1998"/>
      <c r="AF1364" s="1998"/>
    </row>
    <row r="1365" spans="1:32" ht="14">
      <c r="A1365" s="2467"/>
      <c r="B1365" s="1998" t="s">
        <v>5133</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5" customHeight="1">
      <c r="A1366" s="2030"/>
      <c r="B1366" s="2465"/>
      <c r="C1366" s="2034" t="s">
        <v>4900</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5" customHeight="1">
      <c r="A1367" s="2012"/>
      <c r="B1367" s="2465"/>
      <c r="C1367" s="1998" t="s">
        <v>4707</v>
      </c>
      <c r="D1367" s="1998"/>
      <c r="E1367" s="1998"/>
      <c r="F1367" s="1998"/>
      <c r="G1367" s="1998"/>
      <c r="H1367" s="1998"/>
      <c r="I1367" s="1998"/>
      <c r="J1367" s="1998"/>
      <c r="K1367" s="1998"/>
      <c r="L1367" s="2465"/>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5" customHeight="1">
      <c r="A1368" s="2012"/>
      <c r="B1368" s="2465"/>
      <c r="C1368" s="1998" t="s">
        <v>4901</v>
      </c>
      <c r="D1368" s="1998"/>
      <c r="E1368" s="1998"/>
      <c r="F1368" s="1998"/>
      <c r="G1368" s="1998"/>
      <c r="H1368" s="1998"/>
      <c r="I1368" s="1998"/>
      <c r="J1368" s="1998"/>
      <c r="K1368" s="1998"/>
      <c r="L1368" s="2465"/>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4">
      <c r="A1369" s="2467" t="s">
        <v>1836</v>
      </c>
      <c r="B1369" s="2814" t="s">
        <v>4078</v>
      </c>
      <c r="C1369" s="1998"/>
      <c r="D1369" s="1998"/>
      <c r="E1369" s="1998"/>
      <c r="F1369" s="1998"/>
      <c r="G1369" s="1998"/>
      <c r="H1369" s="1998"/>
      <c r="I1369" s="1998"/>
      <c r="J1369" s="1998"/>
      <c r="K1369" s="1998"/>
      <c r="L1369" s="2842" t="s">
        <v>4899</v>
      </c>
      <c r="M1369" s="2012">
        <v>6</v>
      </c>
      <c r="N1369" s="2465"/>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4">
      <c r="A1370" s="2030"/>
      <c r="B1370" s="2814" t="s">
        <v>4902</v>
      </c>
      <c r="C1370" s="2028"/>
      <c r="D1370" s="2034"/>
      <c r="E1370" s="2034"/>
      <c r="F1370" s="2034"/>
      <c r="G1370" s="2034"/>
      <c r="H1370" s="2034"/>
      <c r="I1370" s="2034"/>
      <c r="J1370" s="2028"/>
      <c r="K1370" s="2012"/>
      <c r="L1370" s="2812" t="str">
        <f t="shared" ref="L1370:L1371" si="385">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4">
      <c r="A1371" s="2467"/>
      <c r="B1371" s="2028" t="s">
        <v>5134</v>
      </c>
      <c r="C1371" s="2028"/>
      <c r="D1371" s="2802"/>
      <c r="E1371" s="2802"/>
      <c r="F1371" s="2802"/>
      <c r="G1371" s="2802"/>
      <c r="H1371" s="2802"/>
      <c r="I1371" s="2802"/>
      <c r="J1371" s="2802"/>
      <c r="K1371" s="2802"/>
      <c r="L1371" s="2812" t="str">
        <f t="shared" si="385"/>
        <v/>
      </c>
      <c r="M1371" s="2012">
        <v>1</v>
      </c>
      <c r="N1371" s="2465"/>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4">
      <c r="A1372" s="2030"/>
      <c r="B1372" s="2814" t="s">
        <v>4980</v>
      </c>
      <c r="C1372" s="2028"/>
      <c r="D1372" s="2034"/>
      <c r="E1372" s="2034"/>
      <c r="F1372" s="2034"/>
      <c r="G1372" s="2034"/>
      <c r="H1372" s="2034"/>
      <c r="I1372" s="2034"/>
      <c r="J1372" s="2028"/>
      <c r="K1372" s="2012"/>
      <c r="L1372" s="2842" t="s">
        <v>4899</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4">
      <c r="A1373" s="2012"/>
      <c r="B1373" s="2816"/>
      <c r="C1373" s="2035" t="s">
        <v>4981</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4">
      <c r="A1374" s="2467"/>
      <c r="B1374" s="2028"/>
      <c r="C1374" s="2810"/>
      <c r="D1374" s="2034" t="s">
        <v>4904</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4">
      <c r="A1375" s="2467"/>
      <c r="B1375" s="2028"/>
      <c r="C1375" s="2810"/>
      <c r="D1375" s="2034" t="s">
        <v>4905</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4">
      <c r="A1376" s="2467"/>
      <c r="B1376" s="2816"/>
      <c r="C1376" s="2810"/>
      <c r="D1376" s="2034" t="s">
        <v>4906</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4">
      <c r="A1377" s="2012"/>
      <c r="B1377" s="2028"/>
      <c r="C1377" s="2035" t="s">
        <v>4908</v>
      </c>
      <c r="D1377" s="2028"/>
      <c r="E1377" s="2035"/>
      <c r="F1377" s="2035"/>
      <c r="G1377" s="2035"/>
      <c r="H1377" s="2035"/>
      <c r="I1377" s="2035"/>
      <c r="J1377" s="2035"/>
      <c r="K1377" s="2035"/>
      <c r="L1377" s="2812" t="str">
        <f t="shared" ref="L1377:L1378" si="386">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4">
      <c r="A1378" s="2012"/>
      <c r="B1378" s="2028"/>
      <c r="C1378" s="2035" t="s">
        <v>5018</v>
      </c>
      <c r="D1378" s="2028"/>
      <c r="E1378" s="2035"/>
      <c r="F1378" s="2035"/>
      <c r="G1378" s="2035"/>
      <c r="H1378" s="2035"/>
      <c r="I1378" s="2035"/>
      <c r="J1378" s="2035"/>
      <c r="K1378" s="2035"/>
      <c r="L1378" s="2812" t="str">
        <f t="shared" si="386"/>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4">
      <c r="A1379" s="2467" t="s">
        <v>1838</v>
      </c>
      <c r="B1379" s="1997" t="s">
        <v>3310</v>
      </c>
      <c r="C1379" s="2035"/>
      <c r="D1379" s="2035"/>
      <c r="E1379" s="2035"/>
      <c r="F1379" s="2035"/>
      <c r="G1379" s="2035"/>
      <c r="H1379" s="2035"/>
      <c r="I1379" s="2035"/>
      <c r="J1379" s="2035"/>
      <c r="K1379" s="2035"/>
      <c r="L1379" s="2842" t="s">
        <v>4899</v>
      </c>
      <c r="M1379" s="2467">
        <v>3</v>
      </c>
      <c r="N1379" s="2033"/>
      <c r="O1379" s="2027">
        <f>'Part VIII Scoring Criteria'!O222</f>
        <v>0</v>
      </c>
      <c r="P1379" s="2027">
        <f>'Part VIII Scoring Criteria'!P222</f>
        <v>0</v>
      </c>
      <c r="Q1379" s="2467"/>
      <c r="R1379" s="2814"/>
      <c r="S1379" s="2028"/>
      <c r="T1379" s="2028"/>
      <c r="U1379" s="2028"/>
      <c r="V1379" s="2028"/>
      <c r="W1379" s="2028"/>
      <c r="X1379" s="2028"/>
      <c r="Y1379" s="2028"/>
      <c r="Z1379" s="2028"/>
      <c r="AA1379" s="2028"/>
      <c r="AB1379" s="2028"/>
      <c r="AC1379" s="2028"/>
      <c r="AD1379" s="2028"/>
      <c r="AE1379" s="2028"/>
      <c r="AF1379" s="2028"/>
    </row>
    <row r="1380" spans="1:32" ht="14">
      <c r="A1380" s="2467"/>
      <c r="B1380" s="1998" t="s">
        <v>4982</v>
      </c>
      <c r="C1380" s="2035"/>
      <c r="D1380" s="2035"/>
      <c r="E1380" s="2035"/>
      <c r="F1380" s="2035"/>
      <c r="G1380" s="2035"/>
      <c r="H1380" s="2035"/>
      <c r="I1380" s="2035"/>
      <c r="J1380" s="2035"/>
      <c r="K1380" s="2035"/>
      <c r="L1380" s="2842"/>
      <c r="M1380" s="2467"/>
      <c r="N1380" s="2033"/>
      <c r="O1380" s="2855">
        <f>'Part VIII Scoring Criteria'!O223</f>
        <v>0</v>
      </c>
      <c r="P1380" s="2855"/>
      <c r="Q1380" s="2467"/>
      <c r="R1380" s="2814"/>
      <c r="S1380" s="2028"/>
      <c r="T1380" s="2028"/>
      <c r="U1380" s="2028"/>
      <c r="V1380" s="2028"/>
      <c r="W1380" s="2028"/>
      <c r="X1380" s="2028"/>
      <c r="Y1380" s="2028"/>
      <c r="Z1380" s="2028"/>
      <c r="AA1380" s="2028"/>
      <c r="AB1380" s="2028"/>
      <c r="AC1380" s="2028"/>
      <c r="AD1380" s="2028"/>
      <c r="AE1380" s="2028"/>
      <c r="AF1380" s="2028"/>
    </row>
    <row r="1381" spans="1:32" ht="14">
      <c r="A1381" s="2462"/>
      <c r="B1381" s="2885" t="s">
        <v>1839</v>
      </c>
      <c r="C1381" s="2035" t="s">
        <v>4909</v>
      </c>
      <c r="D1381" s="2035"/>
      <c r="E1381" s="2035"/>
      <c r="F1381" s="2035"/>
      <c r="G1381" s="2035"/>
      <c r="H1381" s="2035"/>
      <c r="I1381" s="2028"/>
      <c r="J1381" s="2028"/>
      <c r="K1381" s="2028"/>
      <c r="L1381" s="2842" t="s">
        <v>4899</v>
      </c>
      <c r="M1381" s="2012">
        <v>3</v>
      </c>
      <c r="N1381" s="2033"/>
      <c r="O1381" s="2027">
        <f>'Part VIII Scoring Criteria'!O224</f>
        <v>0</v>
      </c>
      <c r="P1381" s="2027">
        <f>'Part VIII Scoring Criteria'!P224</f>
        <v>0</v>
      </c>
      <c r="Q1381" s="2467"/>
      <c r="R1381" s="2814"/>
      <c r="S1381" s="2028"/>
      <c r="T1381" s="2028"/>
      <c r="U1381" s="2028"/>
      <c r="V1381" s="2028"/>
      <c r="W1381" s="2028"/>
      <c r="X1381" s="2028"/>
      <c r="Y1381" s="2028"/>
      <c r="Z1381" s="2028"/>
      <c r="AA1381" s="2028"/>
      <c r="AB1381" s="2028"/>
      <c r="AC1381" s="2028"/>
      <c r="AD1381" s="2028"/>
      <c r="AE1381" s="2028"/>
      <c r="AF1381" s="2028"/>
    </row>
    <row r="1382" spans="1:32" ht="14">
      <c r="A1382" s="2028"/>
      <c r="B1382" s="2816" t="s">
        <v>1958</v>
      </c>
      <c r="C1382" s="2028" t="s">
        <v>4983</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4">
      <c r="A1383" s="2028"/>
      <c r="B1383" s="2816" t="s">
        <v>1959</v>
      </c>
      <c r="C1383" s="2028" t="s">
        <v>4910</v>
      </c>
      <c r="D1383" s="2028"/>
      <c r="E1383" s="2028"/>
      <c r="F1383" s="2028"/>
      <c r="G1383" s="2028"/>
      <c r="H1383" s="2028"/>
      <c r="I1383" s="2028"/>
      <c r="J1383" s="2028"/>
      <c r="K1383" s="2028"/>
      <c r="L1383" s="2812" t="str">
        <f t="shared" ref="L1383" si="387">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4">
      <c r="A1384" s="2028"/>
      <c r="B1384" s="2816" t="s">
        <v>1608</v>
      </c>
      <c r="C1384" s="2028" t="s">
        <v>4984</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4">
      <c r="A1385" s="2462"/>
      <c r="B1385" s="2815" t="s">
        <v>1841</v>
      </c>
      <c r="C1385" s="1998" t="s">
        <v>4911</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7"/>
      <c r="R1385" s="1997"/>
      <c r="S1385" s="1997"/>
      <c r="T1385" s="1997"/>
      <c r="U1385" s="1997"/>
      <c r="V1385" s="2028"/>
      <c r="W1385" s="2028"/>
      <c r="X1385" s="2028"/>
      <c r="Y1385" s="2028"/>
      <c r="Z1385" s="2028"/>
      <c r="AA1385" s="2028"/>
      <c r="AB1385" s="2028"/>
      <c r="AC1385" s="2028"/>
      <c r="AD1385" s="2028"/>
      <c r="AE1385" s="2028"/>
      <c r="AF1385" s="2028"/>
    </row>
    <row r="1386" spans="1:32" ht="14">
      <c r="A1386" s="2467" t="s">
        <v>697</v>
      </c>
      <c r="B1386" s="1997" t="s">
        <v>4858</v>
      </c>
      <c r="C1386" s="2028"/>
      <c r="D1386" s="1998"/>
      <c r="E1386" s="2028"/>
      <c r="F1386" s="2887"/>
      <c r="G1386" s="2028"/>
      <c r="H1386" s="2028"/>
      <c r="I1386" s="2028"/>
      <c r="J1386" s="2028"/>
      <c r="K1386" s="2470"/>
      <c r="L1386" s="2842" t="s">
        <v>4899</v>
      </c>
      <c r="M1386" s="2467">
        <v>3</v>
      </c>
      <c r="N1386" s="2465"/>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4">
      <c r="A1387" s="1998"/>
      <c r="B1387" s="2885" t="s">
        <v>1839</v>
      </c>
      <c r="C1387" s="2035" t="s">
        <v>3701</v>
      </c>
      <c r="D1387" s="2035"/>
      <c r="E1387" s="2035"/>
      <c r="F1387" s="2035"/>
      <c r="G1387" s="2035"/>
      <c r="H1387" s="2035"/>
      <c r="I1387" s="2035"/>
      <c r="J1387" s="2035"/>
      <c r="K1387" s="2035"/>
      <c r="L1387" s="2842" t="s">
        <v>4899</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4">
      <c r="A1388" s="1998"/>
      <c r="B1388" s="2815" t="s">
        <v>1841</v>
      </c>
      <c r="C1388" s="2035" t="s">
        <v>4912</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5">
      <c r="A1389" s="1998"/>
      <c r="B1389" s="2808" t="s">
        <v>5123</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5">
      <c r="A1390" s="2823">
        <f>'Part VIII Scoring Criteria'!A233</f>
        <v>0</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5">
      <c r="A1391" s="1998"/>
      <c r="B1391" s="2808" t="s">
        <v>1725</v>
      </c>
      <c r="C1391" s="1998"/>
      <c r="D1391" s="2808"/>
      <c r="E1391" s="2031"/>
      <c r="F1391" s="2031"/>
      <c r="G1391" s="2031"/>
      <c r="H1391" s="2031"/>
      <c r="I1391" s="2031"/>
      <c r="J1391" s="2031"/>
      <c r="K1391" s="2031"/>
      <c r="L1391" s="2031"/>
      <c r="M1391" s="2031"/>
      <c r="N1391" s="2012"/>
      <c r="O1391" s="2467"/>
      <c r="P1391" s="2467"/>
      <c r="Q1391" s="2028"/>
      <c r="R1391" s="1998"/>
      <c r="S1391" s="1998"/>
      <c r="T1391" s="1998"/>
      <c r="U1391" s="1998"/>
      <c r="V1391" s="1998"/>
      <c r="W1391" s="1998"/>
      <c r="X1391" s="1998"/>
      <c r="Y1391" s="1998"/>
      <c r="Z1391" s="1998"/>
      <c r="AA1391" s="1998"/>
      <c r="AB1391" s="1998"/>
      <c r="AC1391" s="1998"/>
      <c r="AD1391" s="1998"/>
      <c r="AE1391" s="1998"/>
      <c r="AF1391" s="1998"/>
    </row>
    <row r="1392" spans="1:32" ht="14">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4">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4">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4">
      <c r="A1395" s="2462" t="s">
        <v>2075</v>
      </c>
      <c r="B1395" s="2463" t="s">
        <v>2491</v>
      </c>
      <c r="C1395" s="1998"/>
      <c r="D1395" s="2463"/>
      <c r="E1395" s="2463"/>
      <c r="F1395" s="2031" t="s">
        <v>424</v>
      </c>
      <c r="G1395" s="2031">
        <f>'Part I-Project Identification'!$P$26</f>
        <v>0</v>
      </c>
      <c r="H1395" s="1998"/>
      <c r="I1395" s="1998"/>
      <c r="J1395" s="1998"/>
      <c r="K1395" s="2470" t="str">
        <f>IF(OR($O$206&gt;0,$O$265&gt;0,$O$303&gt;0),"Points already claimed in another restricted section!","")</f>
        <v>Points already claimed in another restricted section!</v>
      </c>
      <c r="L1395" s="2812" t="str">
        <f>IF(OR($O1395=$M1395,$O1395=0,$O1395=""),"",IF(OR($O1395&lt;$J$251,$O1395&gt;$J$251),"* * Check Score! * *",""))</f>
        <v/>
      </c>
      <c r="M1395" s="2467">
        <v>10</v>
      </c>
      <c r="N1395" s="2012"/>
      <c r="O1395" s="2027">
        <f>'Part VIII Scoring Criteria'!O238</f>
        <v>0</v>
      </c>
      <c r="P1395" s="2027">
        <f>'Part VIII Scoring Criteria'!P238</f>
        <v>0</v>
      </c>
      <c r="Q1395" s="2467" t="s">
        <v>415</v>
      </c>
      <c r="R1395" s="2884" t="s">
        <v>5002</v>
      </c>
      <c r="S1395" s="1997"/>
      <c r="T1395" s="1997"/>
      <c r="U1395" s="1997"/>
      <c r="V1395" s="2880">
        <f>$C$16</f>
        <v>0</v>
      </c>
      <c r="W1395" s="2028"/>
      <c r="X1395" s="2028"/>
      <c r="Y1395" s="1998"/>
      <c r="Z1395" s="1998"/>
      <c r="AA1395" s="1998"/>
      <c r="AB1395" s="1998"/>
      <c r="AC1395" s="1998"/>
      <c r="AD1395" s="1998"/>
      <c r="AE1395" s="1998"/>
      <c r="AF1395" s="1998"/>
    </row>
    <row r="1396" spans="1:32" ht="14">
      <c r="A1396" s="2462"/>
      <c r="B1396" s="2463"/>
      <c r="C1396" s="1998"/>
      <c r="D1396" s="2463"/>
      <c r="E1396" s="2463"/>
      <c r="F1396" s="2031" t="s">
        <v>5024</v>
      </c>
      <c r="G1396" s="1998"/>
      <c r="H1396" s="1998"/>
      <c r="I1396" s="1998"/>
      <c r="J1396" s="1998"/>
      <c r="K1396" s="1998"/>
      <c r="L1396" s="2470"/>
      <c r="M1396" s="2467"/>
      <c r="N1396" s="2012"/>
      <c r="O1396" s="2027">
        <f>'Part VIII Scoring Criteria'!O239</f>
        <v>0</v>
      </c>
      <c r="P1396" s="2027">
        <f>'Part VIII Scoring Criteria'!P239</f>
        <v>0</v>
      </c>
      <c r="Q1396" s="2467"/>
      <c r="R1396" s="2814"/>
      <c r="S1396" s="1997"/>
      <c r="T1396" s="1997"/>
      <c r="U1396" s="1997"/>
      <c r="V1396" s="2028"/>
      <c r="W1396" s="2028"/>
      <c r="X1396" s="2028"/>
      <c r="Y1396" s="1998"/>
      <c r="Z1396" s="1998"/>
      <c r="AA1396" s="1998"/>
      <c r="AB1396" s="1998"/>
      <c r="AC1396" s="1998"/>
      <c r="AD1396" s="1998"/>
      <c r="AE1396" s="1998"/>
      <c r="AF1396" s="1998"/>
    </row>
    <row r="1397" spans="1:32" ht="14">
      <c r="A1397" s="2462"/>
      <c r="B1397" s="1997" t="s">
        <v>4913</v>
      </c>
      <c r="C1397" s="1998"/>
      <c r="D1397" s="2463"/>
      <c r="E1397" s="2463"/>
      <c r="F1397" s="1998"/>
      <c r="G1397" s="1998"/>
      <c r="H1397" s="1998"/>
      <c r="I1397" s="1998"/>
      <c r="J1397" s="2467" t="s">
        <v>2881</v>
      </c>
      <c r="K1397" s="2888" t="s">
        <v>245</v>
      </c>
      <c r="L1397" s="2470"/>
      <c r="M1397" s="2467"/>
      <c r="N1397" s="2012"/>
      <c r="O1397" s="2027"/>
      <c r="P1397" s="2027"/>
      <c r="Q1397" s="2467"/>
      <c r="R1397" s="2814"/>
      <c r="S1397" s="1997"/>
      <c r="T1397" s="1997"/>
      <c r="U1397" s="1997"/>
      <c r="V1397" s="2028"/>
      <c r="W1397" s="2028"/>
      <c r="X1397" s="2028"/>
      <c r="Y1397" s="1998"/>
      <c r="Z1397" s="1998"/>
      <c r="AA1397" s="1998"/>
      <c r="AB1397" s="1998"/>
      <c r="AC1397" s="1998"/>
      <c r="AD1397" s="1998"/>
      <c r="AE1397" s="1998"/>
      <c r="AF1397" s="1998"/>
    </row>
    <row r="1398" spans="1:32" ht="14">
      <c r="A1398" s="2462"/>
      <c r="B1398" s="1998"/>
      <c r="C1398" s="2031" t="s">
        <v>4985</v>
      </c>
      <c r="D1398" s="2882"/>
      <c r="E1398" s="2463"/>
      <c r="F1398" s="1998"/>
      <c r="G1398" s="1998"/>
      <c r="H1398" s="1998"/>
      <c r="I1398" s="1998"/>
      <c r="J1398" s="2844">
        <f>'Part VIII Scoring Criteria'!J249</f>
        <v>0</v>
      </c>
      <c r="K1398" s="2844">
        <f>'Part VIII Scoring Criteria'!K249</f>
        <v>0</v>
      </c>
      <c r="L1398" s="1998"/>
      <c r="M1398" s="2844"/>
      <c r="N1398" s="2012"/>
      <c r="O1398" s="2027"/>
      <c r="P1398" s="2027"/>
      <c r="Q1398" s="2467"/>
      <c r="R1398" s="2814"/>
      <c r="S1398" s="1997"/>
      <c r="T1398" s="1997"/>
      <c r="U1398" s="1997"/>
      <c r="V1398" s="2028"/>
      <c r="W1398" s="2028"/>
      <c r="X1398" s="2028"/>
      <c r="Y1398" s="1998"/>
      <c r="Z1398" s="1998"/>
      <c r="AA1398" s="1998"/>
      <c r="AB1398" s="1998"/>
      <c r="AC1398" s="1998"/>
      <c r="AD1398" s="1998"/>
      <c r="AE1398" s="1998"/>
      <c r="AF1398" s="1998"/>
    </row>
    <row r="1399" spans="1:32" ht="14">
      <c r="A1399" s="2462"/>
      <c r="B1399" s="1998"/>
      <c r="C1399" s="2031" t="s">
        <v>5135</v>
      </c>
      <c r="D1399" s="2882"/>
      <c r="E1399" s="2463"/>
      <c r="F1399" s="1998"/>
      <c r="G1399" s="1998"/>
      <c r="H1399" s="1998"/>
      <c r="I1399" s="1998"/>
      <c r="J1399" s="2844" t="str">
        <f>'Part VIII Scoring Criteria'!J250</f>
        <v>No</v>
      </c>
      <c r="K1399" s="2844" t="str">
        <f>'Part VIII Scoring Criteria'!K250</f>
        <v>No</v>
      </c>
      <c r="L1399" s="1998"/>
      <c r="M1399" s="2844"/>
      <c r="N1399" s="2012"/>
      <c r="O1399" s="2027"/>
      <c r="P1399" s="2027"/>
      <c r="Q1399" s="2467"/>
      <c r="R1399" s="2814"/>
      <c r="S1399" s="1997"/>
      <c r="T1399" s="1997"/>
      <c r="U1399" s="1997"/>
      <c r="V1399" s="2028"/>
      <c r="W1399" s="2028"/>
      <c r="X1399" s="2028"/>
      <c r="Y1399" s="1998"/>
      <c r="Z1399" s="1998"/>
      <c r="AA1399" s="1998"/>
      <c r="AB1399" s="1998"/>
      <c r="AC1399" s="1998"/>
      <c r="AD1399" s="1998"/>
      <c r="AE1399" s="1998"/>
      <c r="AF1399" s="1998"/>
    </row>
    <row r="1400" spans="1:32" ht="14">
      <c r="A1400" s="2462"/>
      <c r="B1400" s="1998"/>
      <c r="C1400" s="2031" t="s">
        <v>4987</v>
      </c>
      <c r="D1400" s="2882"/>
      <c r="E1400" s="2463"/>
      <c r="F1400" s="1998"/>
      <c r="G1400" s="1998"/>
      <c r="H1400" s="1998"/>
      <c r="I1400" s="1998"/>
      <c r="J1400" s="2888">
        <f>'Part VIII Scoring Criteria'!J251</f>
        <v>0</v>
      </c>
      <c r="K1400" s="2888">
        <f>'Part VIII Scoring Criteria'!K251</f>
        <v>0</v>
      </c>
      <c r="L1400" s="2844"/>
      <c r="M1400" s="2844"/>
      <c r="N1400" s="2012"/>
      <c r="O1400" s="2027"/>
      <c r="P1400" s="2027"/>
      <c r="Q1400" s="2467"/>
      <c r="R1400" s="2814"/>
      <c r="S1400" s="1997"/>
      <c r="T1400" s="1997"/>
      <c r="U1400" s="1997"/>
      <c r="V1400" s="2028"/>
      <c r="W1400" s="2028"/>
      <c r="X1400" s="2028"/>
      <c r="Y1400" s="1998"/>
      <c r="Z1400" s="1998"/>
      <c r="AA1400" s="1998"/>
      <c r="AB1400" s="1998"/>
      <c r="AC1400" s="1998"/>
      <c r="AD1400" s="1998"/>
      <c r="AE1400" s="1998"/>
      <c r="AF1400" s="1998"/>
    </row>
    <row r="1401" spans="1:32" ht="14">
      <c r="A1401" s="2462"/>
      <c r="B1401" s="1997" t="s">
        <v>4917</v>
      </c>
      <c r="C1401" s="1998"/>
      <c r="D1401" s="2463"/>
      <c r="E1401" s="2463"/>
      <c r="F1401" s="1998"/>
      <c r="G1401" s="1998"/>
      <c r="H1401" s="1998"/>
      <c r="I1401" s="1998"/>
      <c r="J1401" s="1998"/>
      <c r="K1401" s="1998"/>
      <c r="L1401" s="1997"/>
      <c r="M1401" s="1997"/>
      <c r="N1401" s="2012"/>
      <c r="O1401" s="2027"/>
      <c r="P1401" s="2027"/>
      <c r="Q1401" s="2467"/>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2"/>
      <c r="B1402" s="2889" t="s">
        <v>4988</v>
      </c>
      <c r="C1402" s="2028"/>
      <c r="D1402" s="2833"/>
      <c r="E1402" s="2833" t="s">
        <v>4989</v>
      </c>
      <c r="F1402" s="2833"/>
      <c r="G1402" s="2833"/>
      <c r="H1402" s="2890" t="s">
        <v>4728</v>
      </c>
      <c r="I1402" s="2833" t="s">
        <v>5136</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5">
      <c r="A1403" s="2462"/>
      <c r="B1403" s="1998" t="s">
        <v>4991</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5">
      <c r="A1404" s="2462"/>
      <c r="B1404" s="1998" t="s">
        <v>4993</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5">
      <c r="A1405" s="2462"/>
      <c r="B1405" s="1998" t="s">
        <v>4994</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4">
      <c r="A1406" s="2462"/>
      <c r="B1406" s="1998" t="s">
        <v>4995</v>
      </c>
      <c r="C1406" s="2463"/>
      <c r="D1406" s="2463"/>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4">
      <c r="A1407" s="2462"/>
      <c r="B1407" s="1998" t="s">
        <v>4117</v>
      </c>
      <c r="C1407" s="2463"/>
      <c r="D1407" s="2463"/>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5">
      <c r="A1408" s="1998"/>
      <c r="B1408" s="2808" t="s">
        <v>5123</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5">
      <c r="A1409" s="2823">
        <f>'Part VIII Scoring Criteria'!A260</f>
        <v>0</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5">
      <c r="A1410" s="1998"/>
      <c r="B1410" s="2823" t="s">
        <v>1725</v>
      </c>
      <c r="C1410" s="1998"/>
      <c r="D1410" s="2823"/>
      <c r="E1410" s="2035"/>
      <c r="F1410" s="2035"/>
      <c r="G1410" s="2035"/>
      <c r="H1410" s="2035"/>
      <c r="I1410" s="2035"/>
      <c r="J1410" s="2035"/>
      <c r="K1410" s="2035"/>
      <c r="L1410" s="2035"/>
      <c r="M1410" s="2035"/>
      <c r="N1410" s="2033"/>
      <c r="O1410" s="2819"/>
      <c r="P1410" s="2467"/>
      <c r="Q1410" s="2028"/>
      <c r="R1410" s="2028"/>
      <c r="S1410" s="2028"/>
      <c r="T1410" s="2028"/>
      <c r="U1410" s="2028"/>
      <c r="V1410" s="2028"/>
      <c r="W1410" s="2028"/>
      <c r="X1410" s="2028"/>
      <c r="Y1410" s="2028"/>
      <c r="Z1410" s="2028"/>
      <c r="AA1410" s="2028"/>
      <c r="AB1410" s="2028"/>
      <c r="AC1410" s="2028"/>
      <c r="AD1410" s="2028"/>
      <c r="AE1410" s="2028"/>
      <c r="AF1410" s="2028"/>
    </row>
    <row r="1411" spans="1:32" ht="14">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4">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4">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5">
      <c r="A1414" s="2462" t="s">
        <v>3284</v>
      </c>
      <c r="B1414" s="2463" t="s">
        <v>3256</v>
      </c>
      <c r="C1414" s="1998"/>
      <c r="D1414" s="2463"/>
      <c r="E1414" s="2463"/>
      <c r="F1414" s="1998"/>
      <c r="G1414" s="2824"/>
      <c r="H1414" s="1998"/>
      <c r="I1414" s="1998"/>
      <c r="J1414" s="2470" t="str">
        <f>IF(OR($O$206&gt;0,$O$238&gt;0,$O$303&gt;0),"Points already claimed in another restricted section!","")</f>
        <v>Points already claimed in another restricted section!</v>
      </c>
      <c r="K1414" s="1998"/>
      <c r="L1414" s="2893" t="str">
        <f>IF(AND(O1414&gt;0,NOT($F$12="New Affordability")), "Not New Affordability!","")</f>
        <v/>
      </c>
      <c r="M1414" s="2467">
        <v>10</v>
      </c>
      <c r="N1414" s="2012"/>
      <c r="O1414" s="2027">
        <f>'Part VIII Scoring Criteria'!O265</f>
        <v>0</v>
      </c>
      <c r="P1414" s="2027">
        <f>'Part VIII Scoring Criteria'!P265</f>
        <v>0</v>
      </c>
      <c r="Q1414" s="2467" t="s">
        <v>415</v>
      </c>
      <c r="R1414" s="2884" t="s">
        <v>5002</v>
      </c>
      <c r="S1414" s="1997"/>
      <c r="T1414" s="1997"/>
      <c r="U1414" s="1997"/>
      <c r="V1414" s="2880">
        <f>$C$16</f>
        <v>0</v>
      </c>
      <c r="W1414" s="1998"/>
      <c r="X1414" s="1998"/>
      <c r="Y1414" s="1998"/>
      <c r="Z1414" s="1998"/>
      <c r="AA1414" s="1998"/>
      <c r="AB1414" s="1998"/>
      <c r="AC1414" s="1998"/>
      <c r="AD1414" s="1998"/>
      <c r="AE1414" s="1998"/>
      <c r="AF1414" s="1998"/>
    </row>
    <row r="1415" spans="1:32" ht="14">
      <c r="A1415" s="2467" t="s">
        <v>1836</v>
      </c>
      <c r="B1415" s="2828" t="s">
        <v>3181</v>
      </c>
      <c r="C1415" s="2028"/>
      <c r="D1415" s="2035"/>
      <c r="E1415" s="2035"/>
      <c r="F1415" s="2035"/>
      <c r="G1415" s="2035"/>
      <c r="H1415" s="2035"/>
      <c r="I1415" s="2028"/>
      <c r="J1415" s="2028"/>
      <c r="K1415" s="2028"/>
      <c r="L1415" s="2035"/>
      <c r="M1415" s="1997" t="str">
        <f>IF(AND(O1415="Yes",O1416="Yes"),"Only one category can be selected!","")</f>
        <v/>
      </c>
      <c r="N1415" s="2465"/>
      <c r="O1415" s="2467">
        <f>'Part VIII Scoring Criteria'!O266</f>
        <v>0</v>
      </c>
      <c r="P1415" s="2467"/>
      <c r="Q1415" s="2017"/>
      <c r="R1415" s="1997"/>
      <c r="S1415" s="1997"/>
      <c r="T1415" s="1997"/>
      <c r="U1415" s="1997"/>
      <c r="V1415" s="1997"/>
      <c r="W1415" s="2028"/>
      <c r="X1415" s="2028"/>
      <c r="Y1415" s="2028"/>
      <c r="Z1415" s="2028"/>
      <c r="AA1415" s="2028"/>
      <c r="AB1415" s="2028"/>
      <c r="AC1415" s="2028"/>
      <c r="AD1415" s="2028"/>
      <c r="AE1415" s="2028"/>
      <c r="AF1415" s="2028"/>
    </row>
    <row r="1416" spans="1:32" ht="14">
      <c r="A1416" s="2467" t="s">
        <v>1838</v>
      </c>
      <c r="B1416" s="2828" t="s">
        <v>3182</v>
      </c>
      <c r="C1416" s="2028"/>
      <c r="D1416" s="2035"/>
      <c r="E1416" s="2028"/>
      <c r="F1416" s="2028"/>
      <c r="G1416" s="2028"/>
      <c r="H1416" s="2028"/>
      <c r="I1416" s="2028"/>
      <c r="J1416" s="2028"/>
      <c r="K1416" s="2028"/>
      <c r="L1416" s="2035"/>
      <c r="M1416" s="1997"/>
      <c r="N1416" s="2465"/>
      <c r="O1416" s="2467">
        <f>'Part VIII Scoring Criteria'!O267</f>
        <v>0</v>
      </c>
      <c r="P1416" s="2467"/>
      <c r="Q1416" s="2017"/>
      <c r="R1416" s="1997"/>
      <c r="S1416" s="1997"/>
      <c r="T1416" s="1997"/>
      <c r="U1416" s="1997"/>
      <c r="V1416" s="1997"/>
      <c r="W1416" s="2028"/>
      <c r="X1416" s="2028"/>
      <c r="Y1416" s="2028"/>
      <c r="Z1416" s="2028"/>
      <c r="AA1416" s="2028"/>
      <c r="AB1416" s="2028"/>
      <c r="AC1416" s="2028"/>
      <c r="AD1416" s="2028"/>
      <c r="AE1416" s="2028"/>
      <c r="AF1416" s="2028"/>
    </row>
    <row r="1417" spans="1:32" ht="14.5">
      <c r="A1417" s="1998"/>
      <c r="B1417" s="2808" t="s">
        <v>5123</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5">
      <c r="A1418" s="2823">
        <f>'Part VIII Scoring Criteria'!A269</f>
        <v>0</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5">
      <c r="A1419" s="1998"/>
      <c r="B1419" s="2823" t="s">
        <v>1725</v>
      </c>
      <c r="C1419" s="1998"/>
      <c r="D1419" s="2823"/>
      <c r="E1419" s="2035"/>
      <c r="F1419" s="2035"/>
      <c r="G1419" s="2035"/>
      <c r="H1419" s="2035"/>
      <c r="I1419" s="2035"/>
      <c r="J1419" s="2035"/>
      <c r="K1419" s="2035"/>
      <c r="L1419" s="2035"/>
      <c r="M1419" s="2035"/>
      <c r="N1419" s="2033"/>
      <c r="O1419" s="2819"/>
      <c r="P1419" s="2467"/>
      <c r="Q1419" s="2028"/>
      <c r="R1419" s="2028"/>
      <c r="S1419" s="2028"/>
      <c r="T1419" s="2028"/>
      <c r="U1419" s="2028"/>
      <c r="V1419" s="2028"/>
      <c r="W1419" s="2028"/>
      <c r="X1419" s="2028"/>
      <c r="Y1419" s="2028"/>
      <c r="Z1419" s="2028"/>
      <c r="AA1419" s="2028"/>
      <c r="AB1419" s="2028"/>
      <c r="AC1419" s="2028"/>
      <c r="AD1419" s="2028"/>
      <c r="AE1419" s="2028"/>
      <c r="AF1419" s="2028"/>
    </row>
    <row r="1420" spans="1:32" ht="14">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4">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4">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4">
      <c r="A1423" s="2462" t="s">
        <v>3285</v>
      </c>
      <c r="B1423" s="2463" t="s">
        <v>3912</v>
      </c>
      <c r="C1423" s="2028"/>
      <c r="D1423" s="2028"/>
      <c r="E1423" s="2814" t="str">
        <f>IF(AND(O1423&gt;0,NOT($F$12="New Affordability"),NOT($O$12="9%")), "Ineligible, not New Affordability and 9%!","")</f>
        <v/>
      </c>
      <c r="F1423" s="2028"/>
      <c r="G1423" s="2826">
        <f>$O$12</f>
        <v>0</v>
      </c>
      <c r="H1423" s="2841">
        <f>$J$12</f>
        <v>0</v>
      </c>
      <c r="I1423" s="2028"/>
      <c r="J1423" s="2028"/>
      <c r="K1423" s="2028"/>
      <c r="L1423" s="2810" t="s">
        <v>4899</v>
      </c>
      <c r="M1423" s="2467">
        <v>4</v>
      </c>
      <c r="N1423" s="2012"/>
      <c r="O1423" s="2027">
        <f>'Part VIII Scoring Criteria'!O274</f>
        <v>0</v>
      </c>
      <c r="P1423" s="2027">
        <f>'Part VIII Scoring Criteria'!P274</f>
        <v>0</v>
      </c>
      <c r="Q1423" s="2467" t="s">
        <v>415</v>
      </c>
      <c r="R1423" s="2814"/>
      <c r="S1423" s="1997"/>
      <c r="T1423" s="1997"/>
      <c r="U1423" s="1997"/>
      <c r="V1423" s="1997"/>
      <c r="W1423" s="2036"/>
      <c r="X1423" s="2036"/>
      <c r="Y1423" s="2028"/>
      <c r="Z1423" s="2028"/>
      <c r="AA1423" s="2028"/>
      <c r="AB1423" s="2028"/>
      <c r="AC1423" s="2028"/>
      <c r="AD1423" s="2028"/>
      <c r="AE1423" s="2028"/>
      <c r="AF1423" s="2028"/>
    </row>
    <row r="1424" spans="1:32" ht="14">
      <c r="A1424" s="2894"/>
      <c r="B1424" s="2034" t="s">
        <v>4158</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5" customHeight="1">
      <c r="A1425" s="2894"/>
      <c r="B1425" s="2034"/>
      <c r="C1425" s="2034"/>
      <c r="D1425" s="2034"/>
      <c r="E1425" s="2034"/>
      <c r="F1425" s="2034"/>
      <c r="G1425" s="2017" t="s">
        <v>4708</v>
      </c>
      <c r="H1425" s="2028" t="s">
        <v>573</v>
      </c>
      <c r="I1425" s="2028"/>
      <c r="J1425" s="2028"/>
      <c r="K1425" s="2028" t="s">
        <v>4746</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4">
      <c r="A1426" s="2894"/>
      <c r="B1426" s="2894"/>
      <c r="C1426" s="2028"/>
      <c r="D1426" s="2029" t="s">
        <v>4159</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4">
      <c r="A1427" s="2831"/>
      <c r="B1427" s="2894"/>
      <c r="C1427" s="1998"/>
      <c r="D1427" s="2031" t="s">
        <v>4160</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4">
      <c r="A1428" s="1998"/>
      <c r="B1428" s="2028"/>
      <c r="C1428" s="2028"/>
      <c r="D1428" s="1998"/>
      <c r="E1428" s="1998"/>
      <c r="F1428" s="2467"/>
      <c r="G1428" s="2467"/>
      <c r="H1428" s="2467"/>
      <c r="I1428" s="2467"/>
      <c r="J1428" s="2031"/>
      <c r="K1428" s="2031"/>
      <c r="L1428" s="2031"/>
      <c r="M1428" s="2012"/>
      <c r="N1428" s="2467"/>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5">
      <c r="A1429" s="1998"/>
      <c r="B1429" s="2808" t="s">
        <v>5123</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5">
      <c r="A1430" s="2823">
        <f>'Part VIII Scoring Criteria'!A281</f>
        <v>0</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5">
      <c r="A1431" s="2028"/>
      <c r="B1431" s="2823" t="s">
        <v>1725</v>
      </c>
      <c r="C1431" s="1998"/>
      <c r="D1431" s="2823"/>
      <c r="E1431" s="2035"/>
      <c r="F1431" s="2035"/>
      <c r="G1431" s="2035"/>
      <c r="H1431" s="2035"/>
      <c r="I1431" s="2035"/>
      <c r="J1431" s="2035"/>
      <c r="K1431" s="2035"/>
      <c r="L1431" s="2035"/>
      <c r="M1431" s="2035"/>
      <c r="N1431" s="2033"/>
      <c r="O1431" s="2819"/>
      <c r="P1431" s="2467"/>
      <c r="Q1431" s="2028"/>
      <c r="R1431" s="2028"/>
      <c r="S1431" s="2028"/>
      <c r="T1431" s="2028"/>
      <c r="U1431" s="2028"/>
      <c r="V1431" s="2028"/>
      <c r="W1431" s="2028"/>
      <c r="X1431" s="2028"/>
      <c r="Y1431" s="2028"/>
      <c r="Z1431" s="2028"/>
      <c r="AA1431" s="2028"/>
      <c r="AB1431" s="2028"/>
      <c r="AC1431" s="2028"/>
      <c r="AD1431" s="2028"/>
      <c r="AE1431" s="2028"/>
      <c r="AF1431" s="2028"/>
    </row>
    <row r="1432" spans="1:32" ht="14">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4">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4">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4">
      <c r="A1435" s="2462" t="s">
        <v>3283</v>
      </c>
      <c r="B1435" s="2463" t="s">
        <v>3840</v>
      </c>
      <c r="C1435" s="2028"/>
      <c r="D1435" s="2028"/>
      <c r="E1435" s="2028"/>
      <c r="F1435" s="2028"/>
      <c r="G1435" s="2811"/>
      <c r="H1435" s="2028"/>
      <c r="I1435" s="2470" t="str">
        <f>IF($O$274&gt;0,"Points already claimed in another restricted section!","")</f>
        <v/>
      </c>
      <c r="J1435" s="2028"/>
      <c r="K1435" s="2893" t="str">
        <f>IF(AND(SUM(O1437,O1440,O1443)&gt;0,NOT($F$12="New Affordability"),NOT($O$12="9%")), "Not 9% New Affordability!","")</f>
        <v/>
      </c>
      <c r="L1435" s="2810" t="s">
        <v>4899</v>
      </c>
      <c r="M1435" s="2467">
        <v>5</v>
      </c>
      <c r="N1435" s="2012"/>
      <c r="O1435" s="2027">
        <f>'Part VIII Scoring Criteria'!O286</f>
        <v>0</v>
      </c>
      <c r="P1435" s="2027">
        <f>'Part VIII Scoring Criteria'!P286</f>
        <v>0</v>
      </c>
      <c r="Q1435" s="2467" t="s">
        <v>415</v>
      </c>
      <c r="R1435" s="2814"/>
      <c r="S1435" s="1997"/>
      <c r="T1435" s="1997"/>
      <c r="U1435" s="1997"/>
      <c r="V1435" s="1997"/>
      <c r="W1435" s="2036"/>
      <c r="X1435" s="2036"/>
      <c r="Y1435" s="2028"/>
      <c r="Z1435" s="2028"/>
      <c r="AA1435" s="2028"/>
      <c r="AB1435" s="2028"/>
      <c r="AC1435" s="2028"/>
      <c r="AD1435" s="2028"/>
      <c r="AE1435" s="2028"/>
      <c r="AF1435" s="2028"/>
    </row>
    <row r="1436" spans="1:32" ht="14">
      <c r="A1436" s="2028"/>
      <c r="B1436" s="2028" t="s">
        <v>4921</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4">
      <c r="A1437" s="2467" t="s">
        <v>1836</v>
      </c>
      <c r="B1437" s="1997" t="s">
        <v>4922</v>
      </c>
      <c r="C1437" s="1998"/>
      <c r="D1437" s="1998"/>
      <c r="E1437" s="1998"/>
      <c r="F1437" s="1998"/>
      <c r="G1437" s="1998"/>
      <c r="H1437" s="1998"/>
      <c r="I1437" s="1998"/>
      <c r="J1437" s="1998"/>
      <c r="K1437" s="1998"/>
      <c r="L1437" s="2842" t="s">
        <v>4899</v>
      </c>
      <c r="M1437" s="2012">
        <v>5</v>
      </c>
      <c r="N1437" s="2465"/>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4">
      <c r="A1438" s="2028"/>
      <c r="B1438" s="2028"/>
      <c r="C1438" s="2028" t="s">
        <v>4996</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4">
      <c r="A1439" s="2028"/>
      <c r="B1439" s="2028"/>
      <c r="C1439" s="2028" t="s">
        <v>4997</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4">
      <c r="A1440" s="2467" t="s">
        <v>1838</v>
      </c>
      <c r="B1440" s="1997" t="s">
        <v>4923</v>
      </c>
      <c r="C1440" s="1998"/>
      <c r="D1440" s="1998"/>
      <c r="E1440" s="1998"/>
      <c r="F1440" s="1998"/>
      <c r="G1440" s="1998"/>
      <c r="H1440" s="1998"/>
      <c r="I1440" s="1998"/>
      <c r="J1440" s="1998"/>
      <c r="K1440" s="1998"/>
      <c r="L1440" s="2842" t="s">
        <v>4899</v>
      </c>
      <c r="M1440" s="2012">
        <v>3</v>
      </c>
      <c r="N1440" s="2465"/>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4">
      <c r="A1441" s="2028"/>
      <c r="B1441" s="2028"/>
      <c r="C1441" s="2028" t="s">
        <v>4925</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4">
      <c r="A1442" s="2028"/>
      <c r="B1442" s="2028"/>
      <c r="C1442" s="2028" t="s">
        <v>4928</v>
      </c>
      <c r="D1442" s="2028"/>
      <c r="E1442" s="2028"/>
      <c r="F1442" s="2028"/>
      <c r="G1442" s="2028"/>
      <c r="H1442" s="2028"/>
      <c r="I1442" s="2028"/>
      <c r="J1442" s="2028"/>
      <c r="K1442" s="2028"/>
      <c r="L1442" s="2896">
        <f>'Part VIII Scoring Criteria'!$L$293</f>
        <v>0</v>
      </c>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4">
      <c r="A1443" s="2467" t="s">
        <v>697</v>
      </c>
      <c r="B1443" s="1997" t="s">
        <v>4924</v>
      </c>
      <c r="C1443" s="2028"/>
      <c r="D1443" s="2028"/>
      <c r="E1443" s="2028"/>
      <c r="F1443" s="2028"/>
      <c r="G1443" s="2031"/>
      <c r="H1443" s="2028"/>
      <c r="I1443" s="2811"/>
      <c r="J1443" s="2028"/>
      <c r="K1443" s="2028"/>
      <c r="L1443" s="2842" t="s">
        <v>4899</v>
      </c>
      <c r="M1443" s="2012">
        <v>3</v>
      </c>
      <c r="N1443" s="2465"/>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4">
      <c r="A1444" s="2028"/>
      <c r="B1444" s="2028"/>
      <c r="C1444" s="2028" t="s">
        <v>4998</v>
      </c>
      <c r="D1444" s="2028"/>
      <c r="E1444" s="2028"/>
      <c r="F1444" s="2028"/>
      <c r="G1444" s="2028"/>
      <c r="H1444" s="2028"/>
      <c r="I1444" s="2028"/>
      <c r="J1444" s="2028"/>
      <c r="K1444" s="2028"/>
      <c r="L1444" s="2028"/>
      <c r="M1444" s="2028"/>
      <c r="N1444" s="2017"/>
      <c r="O1444" s="2027">
        <f>'Part VIII Scoring Criteria'!O295</f>
        <v>0</v>
      </c>
      <c r="P1444" s="2897"/>
      <c r="Q1444" s="2028"/>
      <c r="R1444" s="2028"/>
      <c r="S1444" s="2028"/>
      <c r="T1444" s="2028"/>
      <c r="U1444" s="2028"/>
      <c r="V1444" s="2028"/>
      <c r="W1444" s="2028"/>
      <c r="X1444" s="2028"/>
      <c r="Y1444" s="2028"/>
      <c r="Z1444" s="2028"/>
      <c r="AA1444" s="2028"/>
      <c r="AB1444" s="2028"/>
      <c r="AC1444" s="2028"/>
      <c r="AD1444" s="2028"/>
      <c r="AE1444" s="2028"/>
      <c r="AF1444" s="2028"/>
    </row>
    <row r="1445" spans="1:32" ht="14">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5">
      <c r="A1446" s="1998"/>
      <c r="B1446" s="2808" t="s">
        <v>5123</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5">
      <c r="A1447" s="2823">
        <f>'Part VIII Scoring Criteria'!A298</f>
        <v>0</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5">
      <c r="A1448" s="2028"/>
      <c r="B1448" s="2823" t="s">
        <v>1725</v>
      </c>
      <c r="C1448" s="1998"/>
      <c r="D1448" s="2823"/>
      <c r="E1448" s="2035"/>
      <c r="F1448" s="2035"/>
      <c r="G1448" s="2035"/>
      <c r="H1448" s="2035"/>
      <c r="I1448" s="2035"/>
      <c r="J1448" s="2035"/>
      <c r="K1448" s="2035"/>
      <c r="L1448" s="2035"/>
      <c r="M1448" s="2035"/>
      <c r="N1448" s="2033"/>
      <c r="O1448" s="2819"/>
      <c r="P1448" s="2467"/>
      <c r="Q1448" s="2028"/>
      <c r="R1448" s="2028"/>
      <c r="S1448" s="2028"/>
      <c r="T1448" s="2028"/>
      <c r="U1448" s="2028"/>
      <c r="V1448" s="2028"/>
      <c r="W1448" s="2028"/>
      <c r="X1448" s="2028"/>
      <c r="Y1448" s="2028"/>
      <c r="Z1448" s="2028"/>
      <c r="AA1448" s="2028"/>
      <c r="AB1448" s="2028"/>
      <c r="AC1448" s="2028"/>
      <c r="AD1448" s="2028"/>
      <c r="AE1448" s="2028"/>
      <c r="AF1448" s="2028"/>
    </row>
    <row r="1449" spans="1:32" ht="14">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4">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4">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5">
      <c r="A1452" s="2462" t="s">
        <v>3286</v>
      </c>
      <c r="B1452" s="2463" t="s">
        <v>4853</v>
      </c>
      <c r="C1452" s="1998"/>
      <c r="D1452" s="2463"/>
      <c r="E1452" s="2463"/>
      <c r="F1452" s="1998"/>
      <c r="G1452" s="2824"/>
      <c r="H1452" s="1998"/>
      <c r="I1452" s="1998"/>
      <c r="J1452" s="2470" t="str">
        <f>IF(OR($O$206&gt;0,$O$238&gt;0,$O$265&gt;0),"Points already claimed in another restricted section!","")</f>
        <v>Points already claimed in another restricted section!</v>
      </c>
      <c r="K1452" s="2470" t="str">
        <f>IF(AND(O1452&gt;0,NOT($F$12="New Affordability")), "Not New Affordability!","")</f>
        <v/>
      </c>
      <c r="L1452" s="2810" t="s">
        <v>4899</v>
      </c>
      <c r="M1452" s="2467">
        <v>10</v>
      </c>
      <c r="N1452" s="2012"/>
      <c r="O1452" s="2027">
        <f>'Part VIII Scoring Criteria'!O303</f>
        <v>0</v>
      </c>
      <c r="P1452" s="2027">
        <f>'Part VIII Scoring Criteria'!P303</f>
        <v>0</v>
      </c>
      <c r="Q1452" s="2467" t="s">
        <v>415</v>
      </c>
      <c r="R1452" s="2884" t="s">
        <v>5002</v>
      </c>
      <c r="S1452" s="1997"/>
      <c r="T1452" s="1997"/>
      <c r="U1452" s="1997"/>
      <c r="V1452" s="2880">
        <f>$C$16</f>
        <v>0</v>
      </c>
      <c r="W1452" s="1998"/>
      <c r="X1452" s="1998"/>
      <c r="Y1452" s="1998"/>
      <c r="Z1452" s="1998"/>
      <c r="AA1452" s="1998"/>
      <c r="AB1452" s="1998"/>
      <c r="AC1452" s="1998"/>
      <c r="AD1452" s="1998"/>
      <c r="AE1452" s="1998"/>
      <c r="AF1452" s="1998"/>
    </row>
    <row r="1453" spans="1:32" ht="14">
      <c r="A1453" s="2462"/>
      <c r="B1453" s="2463"/>
      <c r="C1453" s="1998"/>
      <c r="D1453" s="2463"/>
      <c r="E1453" s="2463"/>
      <c r="F1453" s="1998"/>
      <c r="G1453" s="1998"/>
      <c r="H1453" s="1998"/>
      <c r="I1453" s="1998"/>
      <c r="J1453" s="1998"/>
      <c r="K1453" s="1998"/>
      <c r="L1453" s="2470"/>
      <c r="M1453" s="2467"/>
      <c r="N1453" s="2012"/>
      <c r="O1453" s="2027"/>
      <c r="P1453" s="2027"/>
      <c r="Q1453" s="2467"/>
      <c r="R1453" s="2814"/>
      <c r="S1453" s="1997"/>
      <c r="T1453" s="1997"/>
      <c r="U1453" s="1997"/>
      <c r="V1453" s="2028"/>
      <c r="W1453" s="2028"/>
      <c r="X1453" s="2028"/>
      <c r="Y1453" s="1998"/>
      <c r="Z1453" s="1998"/>
      <c r="AA1453" s="1998"/>
      <c r="AB1453" s="1998"/>
      <c r="AC1453" s="1998"/>
      <c r="AD1453" s="1998"/>
      <c r="AE1453" s="1998"/>
      <c r="AF1453" s="1998"/>
    </row>
    <row r="1454" spans="1:32" ht="14">
      <c r="A1454" s="2462"/>
      <c r="B1454" s="1998"/>
      <c r="C1454" s="1998" t="s">
        <v>4915</v>
      </c>
      <c r="D1454" s="2463"/>
      <c r="E1454" s="2463"/>
      <c r="F1454" s="1998"/>
      <c r="G1454" s="1998"/>
      <c r="H1454" s="1998"/>
      <c r="I1454" s="1998"/>
      <c r="J1454" s="2467" t="s">
        <v>2881</v>
      </c>
      <c r="K1454" s="2467" t="s">
        <v>245</v>
      </c>
      <c r="L1454" s="2470"/>
      <c r="M1454" s="2467"/>
      <c r="N1454" s="2012"/>
      <c r="O1454" s="2027"/>
      <c r="P1454" s="2027"/>
      <c r="Q1454" s="2467"/>
      <c r="R1454" s="2814"/>
      <c r="S1454" s="1997"/>
      <c r="T1454" s="1997"/>
      <c r="U1454" s="1997"/>
      <c r="V1454" s="2028"/>
      <c r="W1454" s="2028"/>
      <c r="X1454" s="2028"/>
      <c r="Y1454" s="1998"/>
      <c r="Z1454" s="1998"/>
      <c r="AA1454" s="1998"/>
      <c r="AB1454" s="1998"/>
      <c r="AC1454" s="1998"/>
      <c r="AD1454" s="1998"/>
      <c r="AE1454" s="1998"/>
      <c r="AF1454" s="1998"/>
    </row>
    <row r="1455" spans="1:32" ht="14">
      <c r="A1455" s="2462"/>
      <c r="B1455" s="2463"/>
      <c r="C1455" s="1998"/>
      <c r="D1455" s="1998" t="s">
        <v>3309</v>
      </c>
      <c r="E1455" s="2463"/>
      <c r="F1455" s="1998"/>
      <c r="G1455" s="1998"/>
      <c r="H1455" s="1998"/>
      <c r="I1455" s="1998"/>
      <c r="J1455" s="2898">
        <f>'Part VIII Scoring Criteria'!J306</f>
        <v>0</v>
      </c>
      <c r="K1455" s="2898">
        <f>'Part VIII Scoring Criteria'!K306</f>
        <v>0</v>
      </c>
      <c r="L1455" s="2470"/>
      <c r="M1455" s="1998" t="str">
        <f>'Part VIII Scoring Criteria'!M306</f>
        <v>&lt;&lt; Select Pool &gt;&gt;</v>
      </c>
      <c r="N1455" s="1998"/>
      <c r="O1455" s="1998"/>
      <c r="P1455" s="1998"/>
      <c r="Q1455" s="2467"/>
      <c r="R1455" s="2814"/>
      <c r="S1455" s="1997"/>
      <c r="T1455" s="1997"/>
      <c r="U1455" s="1997"/>
      <c r="V1455" s="2028"/>
      <c r="W1455" s="2028"/>
      <c r="X1455" s="2028"/>
      <c r="Y1455" s="1998"/>
      <c r="Z1455" s="1998"/>
      <c r="AA1455" s="1998"/>
      <c r="AB1455" s="1998"/>
      <c r="AC1455" s="1998"/>
      <c r="AD1455" s="1998"/>
      <c r="AE1455" s="1998"/>
      <c r="AF1455" s="1998"/>
    </row>
    <row r="1456" spans="1:32" ht="14">
      <c r="A1456" s="2462"/>
      <c r="B1456" s="2463"/>
      <c r="C1456" s="1998"/>
      <c r="D1456" s="1998" t="s">
        <v>3914</v>
      </c>
      <c r="E1456" s="2463"/>
      <c r="F1456" s="1998"/>
      <c r="G1456" s="1998"/>
      <c r="H1456" s="1998"/>
      <c r="I1456" s="1998"/>
      <c r="J1456" s="2806">
        <f>'Part VIII Scoring Criteria'!J307</f>
        <v>0</v>
      </c>
      <c r="K1456" s="2806">
        <f>'Part VIII Scoring Criteria'!K307</f>
        <v>0</v>
      </c>
      <c r="L1456" s="2470"/>
      <c r="M1456" s="2467"/>
      <c r="N1456" s="2012"/>
      <c r="O1456" s="2027"/>
      <c r="P1456" s="2027"/>
      <c r="Q1456" s="2467"/>
      <c r="R1456" s="2814"/>
      <c r="S1456" s="1997"/>
      <c r="T1456" s="1997"/>
      <c r="U1456" s="1997"/>
      <c r="V1456" s="2028"/>
      <c r="W1456" s="2028"/>
      <c r="X1456" s="2028"/>
      <c r="Y1456" s="1998"/>
      <c r="Z1456" s="1998"/>
      <c r="AA1456" s="1998"/>
      <c r="AB1456" s="1998"/>
      <c r="AC1456" s="1998"/>
      <c r="AD1456" s="1998"/>
      <c r="AE1456" s="1998"/>
      <c r="AF1456" s="1998"/>
    </row>
    <row r="1457" spans="1:32" ht="14">
      <c r="A1457" s="2462"/>
      <c r="B1457" s="2463"/>
      <c r="C1457" s="1998"/>
      <c r="D1457" s="2463"/>
      <c r="E1457" s="2463"/>
      <c r="F1457" s="1998"/>
      <c r="G1457" s="1998"/>
      <c r="H1457" s="1998"/>
      <c r="I1457" s="1998"/>
      <c r="J1457" s="1998"/>
      <c r="K1457" s="1998"/>
      <c r="L1457" s="2470"/>
      <c r="M1457" s="2467"/>
      <c r="N1457" s="2012"/>
      <c r="O1457" s="2027"/>
      <c r="P1457" s="2027"/>
      <c r="Q1457" s="2467"/>
      <c r="R1457" s="2814"/>
      <c r="S1457" s="1997"/>
      <c r="T1457" s="1997"/>
      <c r="U1457" s="1997"/>
      <c r="V1457" s="2028"/>
      <c r="W1457" s="2028"/>
      <c r="X1457" s="2028"/>
      <c r="Y1457" s="1998"/>
      <c r="Z1457" s="1998"/>
      <c r="AA1457" s="1998"/>
      <c r="AB1457" s="1998"/>
      <c r="AC1457" s="1998"/>
      <c r="AD1457" s="1998"/>
      <c r="AE1457" s="1998"/>
      <c r="AF1457" s="1998"/>
    </row>
    <row r="1458" spans="1:32" ht="14">
      <c r="A1458" s="2467" t="s">
        <v>1836</v>
      </c>
      <c r="B1458" s="2828" t="s">
        <v>4926</v>
      </c>
      <c r="C1458" s="2028"/>
      <c r="D1458" s="2035"/>
      <c r="E1458" s="2035"/>
      <c r="F1458" s="2035"/>
      <c r="G1458" s="2035"/>
      <c r="H1458" s="2035"/>
      <c r="I1458" s="2028"/>
      <c r="J1458" s="2028"/>
      <c r="K1458" s="2028"/>
      <c r="L1458" s="2812" t="str">
        <f t="shared" ref="L1458:L1459" si="388">IF(OR($O1458=$M1458,$O1458=0,$O1458=""),"","* * Check Score! * *")</f>
        <v/>
      </c>
      <c r="M1458" s="2467">
        <v>5</v>
      </c>
      <c r="N1458" s="2465"/>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4">
      <c r="A1459" s="2467" t="s">
        <v>1838</v>
      </c>
      <c r="B1459" s="2828" t="s">
        <v>4927</v>
      </c>
      <c r="C1459" s="2028"/>
      <c r="D1459" s="2035"/>
      <c r="E1459" s="2028"/>
      <c r="F1459" s="2028"/>
      <c r="G1459" s="2028"/>
      <c r="H1459" s="2028"/>
      <c r="I1459" s="2028"/>
      <c r="J1459" s="2899" t="str">
        <f>IF(AND(O1458=$M1458,OR((O1364+O1379+O1386)&gt;=5,J1400&gt;=5)),"Eligible","Currently not eligible")</f>
        <v>Currently not eligible</v>
      </c>
      <c r="K1459" s="2028"/>
      <c r="L1459" s="2812" t="str">
        <f t="shared" si="388"/>
        <v/>
      </c>
      <c r="M1459" s="2467">
        <v>5</v>
      </c>
      <c r="N1459" s="2465"/>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5">
      <c r="A1460" s="1998"/>
      <c r="B1460" s="2808" t="s">
        <v>5123</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5">
      <c r="A1461" s="2823">
        <f>'Part VIII Scoring Criteria'!A312</f>
        <v>0</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5">
      <c r="A1462" s="1998"/>
      <c r="B1462" s="2823" t="s">
        <v>1725</v>
      </c>
      <c r="C1462" s="1998"/>
      <c r="D1462" s="2823"/>
      <c r="E1462" s="2035"/>
      <c r="F1462" s="2035"/>
      <c r="G1462" s="2035"/>
      <c r="H1462" s="2035"/>
      <c r="I1462" s="2035"/>
      <c r="J1462" s="2035"/>
      <c r="K1462" s="2035"/>
      <c r="L1462" s="2035"/>
      <c r="M1462" s="2035"/>
      <c r="N1462" s="2033"/>
      <c r="O1462" s="2819"/>
      <c r="P1462" s="2467"/>
      <c r="Q1462" s="2028"/>
      <c r="R1462" s="2028"/>
      <c r="S1462" s="2028"/>
      <c r="T1462" s="2028"/>
      <c r="U1462" s="2028"/>
      <c r="V1462" s="2028"/>
      <c r="W1462" s="2028"/>
      <c r="X1462" s="2028"/>
      <c r="Y1462" s="2028"/>
      <c r="Z1462" s="2028"/>
      <c r="AA1462" s="2028"/>
      <c r="AB1462" s="2028"/>
      <c r="AC1462" s="2028"/>
      <c r="AD1462" s="2028"/>
      <c r="AE1462" s="2028"/>
      <c r="AF1462" s="2028"/>
    </row>
    <row r="1463" spans="1:32" ht="14">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4">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4">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4">
      <c r="A1466" s="2462" t="s">
        <v>3287</v>
      </c>
      <c r="B1466" s="2463" t="s">
        <v>4854</v>
      </c>
      <c r="C1466" s="1998"/>
      <c r="D1466" s="2463"/>
      <c r="E1466" s="2463"/>
      <c r="F1466" s="1998"/>
      <c r="G1466" s="1998" t="str">
        <f>'Part VIII Scoring Criteria'!G317</f>
        <v>&lt;&lt; Select Pool &gt;&gt;</v>
      </c>
      <c r="H1466" s="1998"/>
      <c r="I1466" s="1998"/>
      <c r="J1466" s="2812" t="str">
        <f t="shared" ref="J1466" si="389">IF(OR($O1466=$M1466,$O1466=0,$O1466=""),"","* * Check Score! * *")</f>
        <v/>
      </c>
      <c r="K1466" s="1998"/>
      <c r="L1466" s="2470" t="str">
        <f>IF(AND(O1466&gt;0,$J$12="Atlanta Metro"), "Atlanta Metro is ineligible to score in this section!","")</f>
        <v/>
      </c>
      <c r="M1466" s="2467">
        <v>1</v>
      </c>
      <c r="N1466" s="2012"/>
      <c r="O1466" s="2472">
        <f>'Part VIII Scoring Criteria'!O317</f>
        <v>0</v>
      </c>
      <c r="P1466" s="2472"/>
      <c r="Q1466" s="2467" t="s">
        <v>415</v>
      </c>
      <c r="R1466" s="1997"/>
      <c r="S1466" s="1997"/>
      <c r="T1466" s="1997"/>
      <c r="U1466" s="1997"/>
      <c r="V1466" s="1997"/>
      <c r="W1466" s="1998"/>
      <c r="X1466" s="1998"/>
      <c r="Y1466" s="1998"/>
      <c r="Z1466" s="1998"/>
      <c r="AA1466" s="1998"/>
      <c r="AB1466" s="1998"/>
      <c r="AC1466" s="1998"/>
      <c r="AD1466" s="1998"/>
      <c r="AE1466" s="1998"/>
      <c r="AF1466" s="1998"/>
    </row>
    <row r="1467" spans="1:32" ht="14">
      <c r="A1467" s="2462"/>
      <c r="B1467" s="2463"/>
      <c r="C1467" s="1998"/>
      <c r="D1467" s="2463"/>
      <c r="E1467" s="2463"/>
      <c r="F1467" s="1998"/>
      <c r="G1467" s="1998"/>
      <c r="H1467" s="1998"/>
      <c r="I1467" s="1998"/>
      <c r="J1467" s="1998"/>
      <c r="K1467" s="1998"/>
      <c r="L1467" s="1998"/>
      <c r="M1467" s="2467"/>
      <c r="N1467" s="1998"/>
      <c r="O1467" s="1998"/>
      <c r="P1467" s="1998"/>
      <c r="Q1467" s="2467"/>
      <c r="R1467" s="1997"/>
      <c r="S1467" s="1997"/>
      <c r="T1467" s="1997"/>
      <c r="U1467" s="1997"/>
      <c r="V1467" s="1997"/>
      <c r="W1467" s="2028"/>
      <c r="X1467" s="2028"/>
      <c r="Y1467" s="1998"/>
      <c r="Z1467" s="1998"/>
      <c r="AA1467" s="1998"/>
      <c r="AB1467" s="1998"/>
      <c r="AC1467" s="1998"/>
      <c r="AD1467" s="1998"/>
      <c r="AE1467" s="1998"/>
      <c r="AF1467" s="1998"/>
    </row>
    <row r="1468" spans="1:32" ht="14.15" customHeight="1">
      <c r="A1468" s="2462"/>
      <c r="B1468" s="2463"/>
      <c r="C1468" s="1998" t="s">
        <v>4936</v>
      </c>
      <c r="D1468" s="2463"/>
      <c r="E1468" s="2463"/>
      <c r="F1468" s="1998"/>
      <c r="G1468" s="1998"/>
      <c r="H1468" s="1998"/>
      <c r="I1468" s="1998"/>
      <c r="J1468" s="1998"/>
      <c r="K1468" s="1998"/>
      <c r="L1468" s="1998" t="s">
        <v>4938</v>
      </c>
      <c r="M1468" s="1998"/>
      <c r="N1468" s="1998"/>
      <c r="O1468" s="1998" t="s">
        <v>4939</v>
      </c>
      <c r="P1468" s="1998"/>
      <c r="Q1468" s="2467"/>
      <c r="R1468" s="1997"/>
      <c r="S1468" s="1997"/>
      <c r="T1468" s="1997"/>
      <c r="U1468" s="1997"/>
      <c r="V1468" s="1997"/>
      <c r="W1468" s="2028"/>
      <c r="X1468" s="2028"/>
      <c r="Y1468" s="1998"/>
      <c r="Z1468" s="1998"/>
      <c r="AA1468" s="1998"/>
      <c r="AB1468" s="1998"/>
      <c r="AC1468" s="1998"/>
      <c r="AD1468" s="1998"/>
      <c r="AE1468" s="1998"/>
      <c r="AF1468" s="1998"/>
    </row>
    <row r="1469" spans="1:32" ht="14">
      <c r="A1469" s="2462"/>
      <c r="B1469" s="1998"/>
      <c r="C1469" s="1998" t="s">
        <v>4937</v>
      </c>
      <c r="D1469" s="2463"/>
      <c r="E1469" s="2463"/>
      <c r="F1469" s="1998" t="s">
        <v>4124</v>
      </c>
      <c r="G1469" s="1998"/>
      <c r="H1469" s="1998"/>
      <c r="I1469" s="1998" t="s">
        <v>574</v>
      </c>
      <c r="J1469" s="1998"/>
      <c r="K1469" s="2012" t="s">
        <v>4748</v>
      </c>
      <c r="L1469" s="1998"/>
      <c r="M1469" s="1998"/>
      <c r="N1469" s="1998"/>
      <c r="O1469" s="1998"/>
      <c r="P1469" s="1998"/>
      <c r="Q1469" s="2467"/>
      <c r="R1469" s="1997"/>
      <c r="S1469" s="1997"/>
      <c r="T1469" s="1997"/>
      <c r="U1469" s="1997"/>
      <c r="V1469" s="1997"/>
      <c r="W1469" s="2028"/>
      <c r="X1469" s="2028"/>
      <c r="Y1469" s="1998"/>
      <c r="Z1469" s="1998"/>
      <c r="AA1469" s="1998"/>
      <c r="AB1469" s="1998"/>
      <c r="AC1469" s="1998"/>
      <c r="AD1469" s="1998"/>
      <c r="AE1469" s="1998"/>
      <c r="AF1469" s="1998"/>
    </row>
    <row r="1470" spans="1:32" ht="14">
      <c r="A1470" s="2462"/>
      <c r="B1470" s="2885" t="s">
        <v>1839</v>
      </c>
      <c r="C1470" s="2900">
        <f>'Part VIII Scoring Criteria'!C321</f>
        <v>0</v>
      </c>
      <c r="D1470" s="2900"/>
      <c r="E1470" s="2900"/>
      <c r="F1470" s="2900">
        <f>'Part VIII Scoring Criteria'!F321</f>
        <v>0</v>
      </c>
      <c r="G1470" s="2900"/>
      <c r="H1470" s="2900"/>
      <c r="I1470" s="2900">
        <f>'Part VIII Scoring Criteria'!I321</f>
        <v>0</v>
      </c>
      <c r="J1470" s="2900"/>
      <c r="K1470" s="2901">
        <f>'Part VIII Scoring Criteria'!K321</f>
        <v>0</v>
      </c>
      <c r="L1470" s="2900">
        <f>'Part VIII Scoring Criteria'!L321</f>
        <v>0</v>
      </c>
      <c r="M1470" s="2900"/>
      <c r="N1470" s="2882"/>
      <c r="O1470" s="2882">
        <f>'Part VIII Scoring Criteria'!O321</f>
        <v>0</v>
      </c>
      <c r="P1470" s="2882"/>
      <c r="Q1470" s="2467"/>
      <c r="R1470" s="1997"/>
      <c r="S1470" s="1997"/>
      <c r="T1470" s="1997"/>
      <c r="U1470" s="1997"/>
      <c r="V1470" s="1997"/>
      <c r="W1470" s="2028"/>
      <c r="X1470" s="2028"/>
      <c r="Y1470" s="1998"/>
      <c r="Z1470" s="1998"/>
      <c r="AA1470" s="1998"/>
      <c r="AB1470" s="1998"/>
      <c r="AC1470" s="1998"/>
      <c r="AD1470" s="1998"/>
      <c r="AE1470" s="1998"/>
      <c r="AF1470" s="1998"/>
    </row>
    <row r="1471" spans="1:32" ht="14">
      <c r="A1471" s="2462"/>
      <c r="B1471" s="2815" t="s">
        <v>1841</v>
      </c>
      <c r="C1471" s="2900">
        <f>'Part VIII Scoring Criteria'!C322</f>
        <v>0</v>
      </c>
      <c r="D1471" s="2900"/>
      <c r="E1471" s="2900"/>
      <c r="F1471" s="2900">
        <f>'Part VIII Scoring Criteria'!F322</f>
        <v>0</v>
      </c>
      <c r="G1471" s="2900"/>
      <c r="H1471" s="2900"/>
      <c r="I1471" s="2900">
        <f>'Part VIII Scoring Criteria'!I322</f>
        <v>0</v>
      </c>
      <c r="J1471" s="2900"/>
      <c r="K1471" s="2901">
        <f>'Part VIII Scoring Criteria'!K322</f>
        <v>0</v>
      </c>
      <c r="L1471" s="2900">
        <f>'Part VIII Scoring Criteria'!L322</f>
        <v>0</v>
      </c>
      <c r="M1471" s="2900"/>
      <c r="N1471" s="2882"/>
      <c r="O1471" s="2882">
        <f>'Part VIII Scoring Criteria'!O322</f>
        <v>0</v>
      </c>
      <c r="P1471" s="2882"/>
      <c r="Q1471" s="2467"/>
      <c r="R1471" s="1997"/>
      <c r="S1471" s="1997"/>
      <c r="T1471" s="1997"/>
      <c r="U1471" s="1997"/>
      <c r="V1471" s="1997"/>
      <c r="W1471" s="2028"/>
      <c r="X1471" s="2028"/>
      <c r="Y1471" s="1998"/>
      <c r="Z1471" s="1998"/>
      <c r="AA1471" s="1998"/>
      <c r="AB1471" s="1998"/>
      <c r="AC1471" s="1998"/>
      <c r="AD1471" s="1998"/>
      <c r="AE1471" s="1998"/>
      <c r="AF1471" s="1998"/>
    </row>
    <row r="1472" spans="1:32" ht="14">
      <c r="A1472" s="2462"/>
      <c r="B1472" s="2815" t="s">
        <v>2326</v>
      </c>
      <c r="C1472" s="2900">
        <f>'Part VIII Scoring Criteria'!C323</f>
        <v>0</v>
      </c>
      <c r="D1472" s="2900"/>
      <c r="E1472" s="2900"/>
      <c r="F1472" s="2900">
        <f>'Part VIII Scoring Criteria'!F323</f>
        <v>0</v>
      </c>
      <c r="G1472" s="2900"/>
      <c r="H1472" s="2900"/>
      <c r="I1472" s="2900">
        <f>'Part VIII Scoring Criteria'!I323</f>
        <v>0</v>
      </c>
      <c r="J1472" s="2900"/>
      <c r="K1472" s="2901">
        <f>'Part VIII Scoring Criteria'!K323</f>
        <v>0</v>
      </c>
      <c r="L1472" s="2900">
        <f>'Part VIII Scoring Criteria'!L323</f>
        <v>0</v>
      </c>
      <c r="M1472" s="2900"/>
      <c r="N1472" s="2882"/>
      <c r="O1472" s="2882">
        <f>'Part VIII Scoring Criteria'!O323</f>
        <v>0</v>
      </c>
      <c r="P1472" s="2882"/>
      <c r="Q1472" s="2467"/>
      <c r="R1472" s="1997"/>
      <c r="S1472" s="1997"/>
      <c r="T1472" s="1997"/>
      <c r="U1472" s="1997"/>
      <c r="V1472" s="1997"/>
      <c r="W1472" s="2028"/>
      <c r="X1472" s="2028"/>
      <c r="Y1472" s="1998"/>
      <c r="Z1472" s="1998"/>
      <c r="AA1472" s="1998"/>
      <c r="AB1472" s="1998"/>
      <c r="AC1472" s="1998"/>
      <c r="AD1472" s="1998"/>
      <c r="AE1472" s="1998"/>
      <c r="AF1472" s="1998"/>
    </row>
    <row r="1473" spans="1:32" ht="14">
      <c r="A1473" s="2462"/>
      <c r="B1473" s="2815" t="s">
        <v>1149</v>
      </c>
      <c r="C1473" s="2900">
        <f>'Part VIII Scoring Criteria'!C324</f>
        <v>0</v>
      </c>
      <c r="D1473" s="2900"/>
      <c r="E1473" s="2900"/>
      <c r="F1473" s="2900">
        <f>'Part VIII Scoring Criteria'!F324</f>
        <v>0</v>
      </c>
      <c r="G1473" s="2900"/>
      <c r="H1473" s="2900"/>
      <c r="I1473" s="2900">
        <f>'Part VIII Scoring Criteria'!I324</f>
        <v>0</v>
      </c>
      <c r="J1473" s="2900"/>
      <c r="K1473" s="2901">
        <f>'Part VIII Scoring Criteria'!K324</f>
        <v>0</v>
      </c>
      <c r="L1473" s="2900">
        <f>'Part VIII Scoring Criteria'!L324</f>
        <v>0</v>
      </c>
      <c r="M1473" s="2900"/>
      <c r="N1473" s="2882"/>
      <c r="O1473" s="2882">
        <f>'Part VIII Scoring Criteria'!O324</f>
        <v>0</v>
      </c>
      <c r="P1473" s="2882"/>
      <c r="Q1473" s="2467"/>
      <c r="R1473" s="1997"/>
      <c r="S1473" s="1997"/>
      <c r="T1473" s="1997"/>
      <c r="U1473" s="1997"/>
      <c r="V1473" s="1997"/>
      <c r="W1473" s="2028"/>
      <c r="X1473" s="2028"/>
      <c r="Y1473" s="1998"/>
      <c r="Z1473" s="1998"/>
      <c r="AA1473" s="1998"/>
      <c r="AB1473" s="1998"/>
      <c r="AC1473" s="1998"/>
      <c r="AD1473" s="1998"/>
      <c r="AE1473" s="1998"/>
      <c r="AF1473" s="1998"/>
    </row>
    <row r="1474" spans="1:32" ht="14.5">
      <c r="A1474" s="1998"/>
      <c r="B1474" s="2808" t="s">
        <v>5123</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5">
      <c r="A1475" s="2823">
        <f>'Part VIII Scoring Criteria'!A326</f>
        <v>0</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5">
      <c r="A1476" s="1998"/>
      <c r="B1476" s="2823" t="s">
        <v>1725</v>
      </c>
      <c r="C1476" s="1998"/>
      <c r="D1476" s="2823"/>
      <c r="E1476" s="2035"/>
      <c r="F1476" s="2035"/>
      <c r="G1476" s="2035"/>
      <c r="H1476" s="2035"/>
      <c r="I1476" s="2035"/>
      <c r="J1476" s="2035"/>
      <c r="K1476" s="2035"/>
      <c r="L1476" s="2035"/>
      <c r="M1476" s="2035"/>
      <c r="N1476" s="2033"/>
      <c r="O1476" s="2819"/>
      <c r="P1476" s="2467"/>
      <c r="Q1476" s="2028"/>
      <c r="R1476" s="2028"/>
      <c r="S1476" s="2028"/>
      <c r="T1476" s="2028"/>
      <c r="U1476" s="2028"/>
      <c r="V1476" s="2028"/>
      <c r="W1476" s="2028"/>
      <c r="X1476" s="2028"/>
      <c r="Y1476" s="2028"/>
      <c r="Z1476" s="2028"/>
      <c r="AA1476" s="2028"/>
      <c r="AB1476" s="2028"/>
      <c r="AC1476" s="2028"/>
      <c r="AD1476" s="2028"/>
      <c r="AE1476" s="2028"/>
      <c r="AF1476" s="2028"/>
    </row>
    <row r="1477" spans="1:32" ht="14">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4">
      <c r="A1478" s="1998"/>
      <c r="B1478" s="2028"/>
      <c r="C1478" s="2028"/>
      <c r="D1478" s="1998"/>
      <c r="E1478" s="1998"/>
      <c r="F1478" s="2467"/>
      <c r="G1478" s="2467"/>
      <c r="H1478" s="2467"/>
      <c r="I1478" s="2467"/>
      <c r="J1478" s="2031"/>
      <c r="K1478" s="2031"/>
      <c r="L1478" s="2031"/>
      <c r="M1478" s="2012"/>
      <c r="N1478" s="2467"/>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4">
      <c r="A1479" s="1998"/>
      <c r="B1479" s="2028"/>
      <c r="C1479" s="2028"/>
      <c r="D1479" s="1998"/>
      <c r="E1479" s="1998"/>
      <c r="F1479" s="2467"/>
      <c r="G1479" s="2467"/>
      <c r="H1479" s="2467"/>
      <c r="I1479" s="2467"/>
      <c r="J1479" s="2031"/>
      <c r="K1479" s="2031"/>
      <c r="L1479" s="2031"/>
      <c r="M1479" s="2012"/>
      <c r="N1479" s="2467"/>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4">
      <c r="A1480" s="2462" t="s">
        <v>3290</v>
      </c>
      <c r="B1480" s="2848" t="s">
        <v>3910</v>
      </c>
      <c r="C1480" s="2028"/>
      <c r="D1480" s="2028"/>
      <c r="E1480" s="2028"/>
      <c r="F1480" s="2028"/>
      <c r="G1480" s="2028"/>
      <c r="H1480" s="2028"/>
      <c r="I1480" s="2028"/>
      <c r="J1480" s="2028"/>
      <c r="K1480" s="2028"/>
      <c r="L1480" s="2028"/>
      <c r="M1480" s="2467">
        <v>1</v>
      </c>
      <c r="N1480" s="2017"/>
      <c r="O1480" s="2027">
        <f>'Part VIII Scoring Criteria'!O331</f>
        <v>0</v>
      </c>
      <c r="P1480" s="2027">
        <f>'Part VIII Scoring Criteria'!P331</f>
        <v>0</v>
      </c>
      <c r="Q1480" s="2467" t="s">
        <v>415</v>
      </c>
      <c r="R1480" s="2814" t="str">
        <f>IF(AND(O1480&gt;0,NOT($F$12="New Affordability")), "Ineligible to score in this section, not New Affordability!","")</f>
        <v/>
      </c>
      <c r="S1480" s="2028"/>
      <c r="T1480" s="2028"/>
      <c r="U1480" s="2028"/>
      <c r="V1480" s="2028"/>
      <c r="W1480" s="2028"/>
      <c r="X1480" s="2028"/>
      <c r="Y1480" s="2028"/>
      <c r="Z1480" s="2028"/>
      <c r="AA1480" s="2028"/>
      <c r="AB1480" s="2028"/>
      <c r="AC1480" s="2028"/>
      <c r="AD1480" s="2028"/>
      <c r="AE1480" s="2028"/>
      <c r="AF1480" s="2028"/>
    </row>
    <row r="1481" spans="1:32" ht="14">
      <c r="A1481" s="2467" t="s">
        <v>1836</v>
      </c>
      <c r="B1481" s="2036" t="s">
        <v>4929</v>
      </c>
      <c r="C1481" s="2028"/>
      <c r="D1481" s="2028"/>
      <c r="E1481" s="2028"/>
      <c r="F1481" s="2028"/>
      <c r="G1481" s="2844" t="s">
        <v>3069</v>
      </c>
      <c r="H1481" s="2902">
        <f>IF('Part V-Revenues &amp; Expenses'!$P$67=0,0,'Part V-Revenues &amp; Expenses'!$P$64/'Part V-Revenues &amp; Expenses'!$P$67)</f>
        <v>0</v>
      </c>
      <c r="I1481" s="2028"/>
      <c r="J1481" s="2028"/>
      <c r="K1481" s="2028"/>
      <c r="L1481" s="2812" t="str">
        <f t="shared" ref="L1481:L1482" si="390">IF(OR($O1481=$M1481,$O1481=0,$O1481=""),"","* * Check Score! * *")</f>
        <v/>
      </c>
      <c r="M1481" s="2012">
        <v>1</v>
      </c>
      <c r="N1481" s="2465"/>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4">
      <c r="A1482" s="2467" t="s">
        <v>1838</v>
      </c>
      <c r="B1482" s="2036" t="s">
        <v>3692</v>
      </c>
      <c r="C1482" s="2028"/>
      <c r="D1482" s="2028"/>
      <c r="E1482" s="2028"/>
      <c r="F1482" s="2028"/>
      <c r="G1482" s="2903" t="str">
        <f>'Part V-Revenues &amp; Expenses'!$O$53</f>
        <v>&lt;&lt; Select LIHTC Election &gt;&gt;</v>
      </c>
      <c r="H1482" s="2903"/>
      <c r="I1482" s="2028"/>
      <c r="J1482" s="2028"/>
      <c r="K1482" s="2028"/>
      <c r="L1482" s="2812" t="str">
        <f t="shared" si="390"/>
        <v/>
      </c>
      <c r="M1482" s="2017">
        <v>1</v>
      </c>
      <c r="N1482" s="2465"/>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4">
      <c r="A1483" s="2036"/>
      <c r="B1483" s="2815"/>
      <c r="C1483" s="2028"/>
      <c r="D1483" s="2028"/>
      <c r="E1483" s="2028"/>
      <c r="F1483" s="2028"/>
      <c r="G1483" s="2028"/>
      <c r="H1483" s="2028"/>
      <c r="I1483" s="2028"/>
      <c r="J1483" s="2028"/>
      <c r="K1483" s="2028"/>
      <c r="L1483" s="2028"/>
      <c r="M1483" s="2012"/>
      <c r="N1483" s="2017"/>
      <c r="O1483" s="2467"/>
      <c r="P1483" s="2467"/>
      <c r="Q1483" s="2028"/>
      <c r="R1483" s="2028"/>
      <c r="S1483" s="2028"/>
      <c r="T1483" s="2028"/>
      <c r="U1483" s="2028"/>
      <c r="V1483" s="2028"/>
      <c r="W1483" s="2028"/>
      <c r="X1483" s="2028"/>
      <c r="Y1483" s="2028"/>
      <c r="Z1483" s="2028"/>
      <c r="AA1483" s="2028"/>
      <c r="AB1483" s="2028"/>
      <c r="AC1483" s="2028"/>
      <c r="AD1483" s="2028"/>
      <c r="AE1483" s="2028"/>
      <c r="AF1483" s="2028"/>
    </row>
    <row r="1484" spans="1:32" ht="14.5">
      <c r="A1484" s="1998"/>
      <c r="B1484" s="2823" t="s">
        <v>1725</v>
      </c>
      <c r="C1484" s="1998"/>
      <c r="D1484" s="2823"/>
      <c r="E1484" s="2035"/>
      <c r="F1484" s="2035"/>
      <c r="G1484" s="2035"/>
      <c r="H1484" s="2035"/>
      <c r="I1484" s="2035"/>
      <c r="J1484" s="2035"/>
      <c r="K1484" s="2035"/>
      <c r="L1484" s="2035"/>
      <c r="M1484" s="2035"/>
      <c r="N1484" s="2033"/>
      <c r="O1484" s="2819"/>
      <c r="P1484" s="2467"/>
      <c r="Q1484" s="2028"/>
      <c r="R1484" s="2028"/>
      <c r="S1484" s="2028"/>
      <c r="T1484" s="2028"/>
      <c r="U1484" s="2028"/>
      <c r="V1484" s="2028"/>
      <c r="W1484" s="2028"/>
      <c r="X1484" s="2028"/>
      <c r="Y1484" s="2028"/>
      <c r="Z1484" s="2028"/>
      <c r="AA1484" s="2028"/>
      <c r="AB1484" s="2028"/>
      <c r="AC1484" s="2028"/>
      <c r="AD1484" s="2028"/>
      <c r="AE1484" s="2028"/>
      <c r="AF1484" s="2028"/>
    </row>
    <row r="1485" spans="1:32" ht="14">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4">
      <c r="A1486" s="1998"/>
      <c r="B1486" s="2028"/>
      <c r="C1486" s="2028"/>
      <c r="D1486" s="1998"/>
      <c r="E1486" s="1998"/>
      <c r="F1486" s="2467"/>
      <c r="G1486" s="2467"/>
      <c r="H1486" s="2467"/>
      <c r="I1486" s="2467"/>
      <c r="J1486" s="2031"/>
      <c r="K1486" s="2031"/>
      <c r="L1486" s="2031"/>
      <c r="M1486" s="2012"/>
      <c r="N1486" s="2467"/>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4">
      <c r="A1487" s="1998"/>
      <c r="B1487" s="1998"/>
      <c r="C1487" s="2035"/>
      <c r="D1487" s="2035"/>
      <c r="E1487" s="2035"/>
      <c r="F1487" s="2035"/>
      <c r="G1487" s="2035"/>
      <c r="H1487" s="2035"/>
      <c r="I1487" s="2035"/>
      <c r="J1487" s="2035"/>
      <c r="K1487" s="2035"/>
      <c r="L1487" s="2035"/>
      <c r="M1487" s="2035"/>
      <c r="N1487" s="2033"/>
      <c r="O1487" s="2819"/>
      <c r="P1487" s="2467"/>
      <c r="Q1487" s="2028"/>
      <c r="R1487" s="2028"/>
      <c r="S1487" s="2028"/>
      <c r="T1487" s="2028"/>
      <c r="U1487" s="2028"/>
      <c r="V1487" s="2028"/>
      <c r="W1487" s="2028"/>
      <c r="X1487" s="2028"/>
      <c r="Y1487" s="2028"/>
      <c r="Z1487" s="2028"/>
      <c r="AA1487" s="2028"/>
      <c r="AB1487" s="2028"/>
      <c r="AC1487" s="2028"/>
      <c r="AD1487" s="2028"/>
      <c r="AE1487" s="2028"/>
      <c r="AF1487" s="2028"/>
    </row>
    <row r="1488" spans="1:32" ht="14">
      <c r="A1488" s="2462" t="s">
        <v>3291</v>
      </c>
      <c r="B1488" s="2463" t="s">
        <v>2463</v>
      </c>
      <c r="C1488" s="2028"/>
      <c r="D1488" s="2031"/>
      <c r="E1488" s="2028"/>
      <c r="F1488" s="2028"/>
      <c r="G1488" s="2035"/>
      <c r="H1488" s="2035"/>
      <c r="I1488" s="2035"/>
      <c r="J1488" s="2035"/>
      <c r="K1488" s="2035"/>
      <c r="L1488" s="2035"/>
      <c r="M1488" s="2467">
        <v>2</v>
      </c>
      <c r="N1488" s="2465"/>
      <c r="O1488" s="2027">
        <f>'Part VIII Scoring Criteria'!O339</f>
        <v>0</v>
      </c>
      <c r="P1488" s="2027">
        <f>'Part VIII Scoring Criteria'!P339</f>
        <v>0</v>
      </c>
      <c r="Q1488" s="2467"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
      <c r="A1489" s="2848"/>
      <c r="B1489" s="2034"/>
      <c r="C1489" s="2034"/>
      <c r="D1489" s="2034"/>
      <c r="E1489" s="2869" t="s">
        <v>2989</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4">
      <c r="A1490" s="2831" t="s">
        <v>1836</v>
      </c>
      <c r="B1490" s="1997" t="s">
        <v>3834</v>
      </c>
      <c r="C1490" s="2034"/>
      <c r="D1490" s="2034"/>
      <c r="E1490" s="2034"/>
      <c r="F1490" s="2034"/>
      <c r="G1490" s="2034"/>
      <c r="H1490" s="2034"/>
      <c r="I1490" s="2034"/>
      <c r="J1490" s="2034"/>
      <c r="K1490" s="2034"/>
      <c r="L1490" s="2812" t="str">
        <f t="shared" ref="L1490" si="391">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5"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4">
      <c r="A1492" s="2894" t="s">
        <v>1838</v>
      </c>
      <c r="B1492" s="2802" t="s">
        <v>3835</v>
      </c>
      <c r="C1492" s="2034"/>
      <c r="D1492" s="2034"/>
      <c r="E1492" s="2034"/>
      <c r="F1492" s="2034"/>
      <c r="G1492" s="2034"/>
      <c r="H1492" s="2034"/>
      <c r="I1492" s="2034"/>
      <c r="J1492" s="2034"/>
      <c r="K1492" s="2034"/>
      <c r="L1492" s="2812" t="str">
        <f t="shared" ref="L1492" si="392">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5">
      <c r="A1493" s="1998"/>
      <c r="B1493" s="2808" t="s">
        <v>5123</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5">
      <c r="A1494" s="2823">
        <f>'Part VIII Scoring Criteria'!A345</f>
        <v>0</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5">
      <c r="A1495" s="2028"/>
      <c r="B1495" s="2823" t="s">
        <v>1725</v>
      </c>
      <c r="C1495" s="1998"/>
      <c r="D1495" s="2823"/>
      <c r="E1495" s="2035"/>
      <c r="F1495" s="2035"/>
      <c r="G1495" s="2035"/>
      <c r="H1495" s="2035"/>
      <c r="I1495" s="2035"/>
      <c r="J1495" s="2035"/>
      <c r="K1495" s="2035"/>
      <c r="L1495" s="2035"/>
      <c r="M1495" s="2035"/>
      <c r="N1495" s="2033"/>
      <c r="O1495" s="2819"/>
      <c r="P1495" s="2467"/>
      <c r="Q1495" s="2028"/>
      <c r="R1495" s="2028"/>
      <c r="S1495" s="2028"/>
      <c r="T1495" s="2028"/>
      <c r="U1495" s="2028"/>
      <c r="V1495" s="2028"/>
      <c r="W1495" s="2028"/>
      <c r="X1495" s="2028"/>
      <c r="Y1495" s="2028"/>
      <c r="Z1495" s="2028"/>
      <c r="AA1495" s="2028"/>
      <c r="AB1495" s="2028"/>
      <c r="AC1495" s="2028"/>
      <c r="AD1495" s="2028"/>
      <c r="AE1495" s="2028"/>
      <c r="AF1495" s="2028"/>
    </row>
    <row r="1496" spans="1:32" ht="14">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4">
      <c r="A1497" s="1998"/>
      <c r="B1497" s="1998"/>
      <c r="C1497" s="2035"/>
      <c r="D1497" s="2035"/>
      <c r="E1497" s="2035"/>
      <c r="F1497" s="2035"/>
      <c r="G1497" s="2035"/>
      <c r="H1497" s="2035"/>
      <c r="I1497" s="2035"/>
      <c r="J1497" s="2035"/>
      <c r="K1497" s="2035"/>
      <c r="L1497" s="2035"/>
      <c r="M1497" s="2035"/>
      <c r="N1497" s="2033"/>
      <c r="O1497" s="2819"/>
      <c r="P1497" s="2467"/>
      <c r="Q1497" s="2028"/>
      <c r="R1497" s="2028"/>
      <c r="S1497" s="2028"/>
      <c r="T1497" s="2028"/>
      <c r="U1497" s="2028"/>
      <c r="V1497" s="2028"/>
      <c r="W1497" s="2028"/>
      <c r="X1497" s="2028"/>
      <c r="Y1497" s="2028"/>
      <c r="Z1497" s="2028"/>
      <c r="AA1497" s="2028"/>
      <c r="AB1497" s="2028"/>
      <c r="AC1497" s="2028"/>
      <c r="AD1497" s="2028"/>
      <c r="AE1497" s="2028"/>
      <c r="AF1497" s="2028"/>
    </row>
    <row r="1498" spans="1:32" ht="14">
      <c r="A1498" s="1998"/>
      <c r="B1498" s="2028"/>
      <c r="C1498" s="2028"/>
      <c r="D1498" s="1998"/>
      <c r="E1498" s="1998"/>
      <c r="F1498" s="2467"/>
      <c r="G1498" s="2467"/>
      <c r="H1498" s="2467"/>
      <c r="I1498" s="2467"/>
      <c r="J1498" s="2031"/>
      <c r="K1498" s="2031"/>
      <c r="L1498" s="2031"/>
      <c r="M1498" s="2012"/>
      <c r="N1498" s="2467"/>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5">
      <c r="A1499" s="2462" t="s">
        <v>3292</v>
      </c>
      <c r="B1499" s="2463" t="s">
        <v>4483</v>
      </c>
      <c r="C1499" s="1998"/>
      <c r="D1499" s="2463"/>
      <c r="E1499" s="2463"/>
      <c r="F1499" s="1998"/>
      <c r="G1499" s="2824"/>
      <c r="H1499" s="1998"/>
      <c r="I1499" s="1998"/>
      <c r="J1499" s="1998"/>
      <c r="K1499" s="1998"/>
      <c r="L1499" s="1998"/>
      <c r="M1499" s="2467">
        <v>2</v>
      </c>
      <c r="N1499" s="2012"/>
      <c r="O1499" s="2027">
        <f>'Part VIII Scoring Criteria'!O350</f>
        <v>0</v>
      </c>
      <c r="P1499" s="2027">
        <f>'Part VIII Scoring Criteria'!P350</f>
        <v>0</v>
      </c>
      <c r="Q1499" s="2467" t="s">
        <v>415</v>
      </c>
      <c r="R1499" s="1997"/>
      <c r="S1499" s="1997"/>
      <c r="T1499" s="1997"/>
      <c r="U1499" s="1997"/>
      <c r="V1499" s="1997"/>
      <c r="W1499" s="1998"/>
      <c r="X1499" s="1998"/>
      <c r="Y1499" s="1998"/>
      <c r="Z1499" s="1998"/>
      <c r="AA1499" s="1998"/>
      <c r="AB1499" s="1998"/>
      <c r="AC1499" s="1998"/>
      <c r="AD1499" s="1998"/>
      <c r="AE1499" s="1998"/>
      <c r="AF1499" s="1998"/>
    </row>
    <row r="1500" spans="1:32" ht="14">
      <c r="A1500" s="2467" t="s">
        <v>1836</v>
      </c>
      <c r="B1500" s="2828" t="s">
        <v>4484</v>
      </c>
      <c r="C1500" s="2028"/>
      <c r="D1500" s="2035"/>
      <c r="E1500" s="2843" t="s">
        <v>4495</v>
      </c>
      <c r="F1500" s="2035"/>
      <c r="G1500" s="2035"/>
      <c r="H1500" s="2028">
        <f>'Part VIII Scoring Criteria'!H351</f>
        <v>0</v>
      </c>
      <c r="I1500" s="2028"/>
      <c r="J1500" s="2028"/>
      <c r="K1500" s="2028"/>
      <c r="L1500" s="2812" t="str">
        <f t="shared" ref="L1500:L1501" si="393">IF(OR($O1500=$M1500,$O1500=0,$O1500=""),"","* * Check Score! * *")</f>
        <v/>
      </c>
      <c r="M1500" s="2017">
        <v>2</v>
      </c>
      <c r="N1500" s="2465"/>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4">
      <c r="A1501" s="2467" t="s">
        <v>1838</v>
      </c>
      <c r="B1501" s="2828" t="s">
        <v>4485</v>
      </c>
      <c r="C1501" s="2028"/>
      <c r="D1501" s="2028"/>
      <c r="E1501" s="2028"/>
      <c r="F1501" s="2028"/>
      <c r="G1501" s="2028"/>
      <c r="H1501" s="2028"/>
      <c r="I1501" s="2028"/>
      <c r="J1501" s="2028"/>
      <c r="K1501" s="2028"/>
      <c r="L1501" s="2812" t="str">
        <f t="shared" si="393"/>
        <v/>
      </c>
      <c r="M1501" s="2017">
        <v>2</v>
      </c>
      <c r="N1501" s="2465"/>
      <c r="O1501" s="2027">
        <f>'Part VIII Scoring Criteria'!O352</f>
        <v>0</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5">
      <c r="A1502" s="1998"/>
      <c r="B1502" s="2808" t="s">
        <v>5123</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5">
      <c r="A1503" s="2823">
        <f>'Part VIII Scoring Criteria'!A354</f>
        <v>0</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5">
      <c r="A1504" s="1998"/>
      <c r="B1504" s="2823" t="s">
        <v>1725</v>
      </c>
      <c r="C1504" s="1998"/>
      <c r="D1504" s="2823"/>
      <c r="E1504" s="2035"/>
      <c r="F1504" s="2035"/>
      <c r="G1504" s="2035"/>
      <c r="H1504" s="2035"/>
      <c r="I1504" s="2035"/>
      <c r="J1504" s="2035"/>
      <c r="K1504" s="2035"/>
      <c r="L1504" s="2035"/>
      <c r="M1504" s="2035"/>
      <c r="N1504" s="2033"/>
      <c r="O1504" s="2819"/>
      <c r="P1504" s="2467"/>
      <c r="Q1504" s="2028"/>
      <c r="R1504" s="2028"/>
      <c r="S1504" s="2028"/>
      <c r="T1504" s="2028"/>
      <c r="U1504" s="2028"/>
      <c r="V1504" s="2028"/>
      <c r="W1504" s="2028"/>
      <c r="X1504" s="2028"/>
      <c r="Y1504" s="2028"/>
      <c r="Z1504" s="2028"/>
      <c r="AA1504" s="2028"/>
      <c r="AB1504" s="2028"/>
      <c r="AC1504" s="2028"/>
      <c r="AD1504" s="2028"/>
      <c r="AE1504" s="2028"/>
      <c r="AF1504" s="2028"/>
    </row>
    <row r="1505" spans="1:32" ht="14">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4">
      <c r="A1506" s="1998"/>
      <c r="B1506" s="2028"/>
      <c r="C1506" s="2028"/>
      <c r="D1506" s="1998"/>
      <c r="E1506" s="1998"/>
      <c r="F1506" s="2467"/>
      <c r="G1506" s="2467"/>
      <c r="H1506" s="2467"/>
      <c r="I1506" s="2467"/>
      <c r="J1506" s="2031"/>
      <c r="K1506" s="2031"/>
      <c r="L1506" s="2031"/>
      <c r="M1506" s="2012"/>
      <c r="N1506" s="2467"/>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4">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5">
      <c r="A1508" s="2848" t="s">
        <v>3293</v>
      </c>
      <c r="B1508" s="2463" t="s">
        <v>1553</v>
      </c>
      <c r="C1508" s="2028"/>
      <c r="D1508" s="2036"/>
      <c r="E1508" s="2036"/>
      <c r="F1508" s="2028"/>
      <c r="G1508" s="1998"/>
      <c r="H1508" s="2028"/>
      <c r="I1508" s="2028"/>
      <c r="J1508" s="2028"/>
      <c r="K1508" s="2028"/>
      <c r="L1508" s="2868" t="str">
        <f>IF(AND(O1508&gt;0,NOT($O$12="9%")),"Ineligible, not 9%!","")</f>
        <v/>
      </c>
      <c r="M1508" s="2467">
        <v>2</v>
      </c>
      <c r="N1508" s="2812"/>
      <c r="O1508" s="2472">
        <f>'Part VIII Scoring Criteria'!O359</f>
        <v>0</v>
      </c>
      <c r="P1508" s="2472"/>
      <c r="Q1508" s="2467" t="s">
        <v>415</v>
      </c>
      <c r="R1508" s="2802"/>
      <c r="S1508" s="2802"/>
      <c r="T1508" s="2028"/>
      <c r="U1508" s="2028"/>
      <c r="V1508" s="2028"/>
      <c r="W1508" s="2028"/>
      <c r="X1508" s="2028"/>
      <c r="Y1508" s="2028"/>
      <c r="Z1508" s="2028"/>
      <c r="AA1508" s="2028"/>
      <c r="AB1508" s="2028"/>
      <c r="AC1508" s="2028"/>
      <c r="AD1508" s="2028"/>
      <c r="AE1508" s="2028"/>
      <c r="AF1508" s="2028"/>
    </row>
    <row r="1509" spans="1:32" ht="14">
      <c r="A1509" s="2470"/>
      <c r="B1509" s="2814" t="s">
        <v>3070</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4">
      <c r="A1510" s="2028"/>
      <c r="B1510" s="2814"/>
      <c r="C1510" s="2028"/>
      <c r="D1510" s="1998"/>
      <c r="E1510" s="1998"/>
      <c r="F1510" s="1998"/>
      <c r="G1510" s="1998"/>
      <c r="H1510" s="1998"/>
      <c r="I1510" s="1998"/>
      <c r="J1510" s="1998"/>
      <c r="K1510" s="1998"/>
      <c r="L1510" s="1998"/>
      <c r="M1510" s="1998"/>
      <c r="N1510" s="2465"/>
      <c r="O1510" s="2465"/>
      <c r="P1510" s="2465"/>
      <c r="Q1510" s="2028"/>
      <c r="R1510" s="2028"/>
      <c r="S1510" s="2028"/>
      <c r="T1510" s="2028"/>
      <c r="U1510" s="2028"/>
      <c r="V1510" s="2028"/>
      <c r="W1510" s="2028"/>
      <c r="X1510" s="2028"/>
      <c r="Y1510" s="2028"/>
      <c r="Z1510" s="2028"/>
      <c r="AA1510" s="2028"/>
      <c r="AB1510" s="2028"/>
      <c r="AC1510" s="2028"/>
      <c r="AD1510" s="2028"/>
      <c r="AE1510" s="2028"/>
      <c r="AF1510" s="2028"/>
    </row>
    <row r="1511" spans="1:32" ht="14.5">
      <c r="A1511" s="1998"/>
      <c r="B1511" s="2808" t="s">
        <v>5123</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5">
      <c r="A1512" s="2823">
        <f>'Part VIII Scoring Criteria'!A363</f>
        <v>0</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5">
      <c r="A1513" s="1998"/>
      <c r="B1513" s="2808" t="s">
        <v>1725</v>
      </c>
      <c r="C1513" s="1998"/>
      <c r="D1513" s="2808"/>
      <c r="E1513" s="2031"/>
      <c r="F1513" s="2031"/>
      <c r="G1513" s="2031"/>
      <c r="H1513" s="2031"/>
      <c r="I1513" s="2031"/>
      <c r="J1513" s="2031"/>
      <c r="K1513" s="2031"/>
      <c r="L1513" s="2031"/>
      <c r="M1513" s="2031"/>
      <c r="N1513" s="2012"/>
      <c r="O1513" s="2467"/>
      <c r="P1513" s="2467"/>
      <c r="Q1513" s="2028"/>
      <c r="R1513" s="1998"/>
      <c r="S1513" s="1998"/>
      <c r="T1513" s="1998"/>
      <c r="U1513" s="1998"/>
      <c r="V1513" s="1998"/>
      <c r="W1513" s="1998"/>
      <c r="X1513" s="1998"/>
      <c r="Y1513" s="1998"/>
      <c r="Z1513" s="1998"/>
      <c r="AA1513" s="1998"/>
      <c r="AB1513" s="1998"/>
      <c r="AC1513" s="1998"/>
      <c r="AD1513" s="1998"/>
      <c r="AE1513" s="1998"/>
      <c r="AF1513" s="1998"/>
    </row>
    <row r="1514" spans="1:32" ht="14">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4">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4">
      <c r="A1516" s="2848"/>
      <c r="B1516" s="1998"/>
      <c r="C1516" s="2035"/>
      <c r="D1516" s="2035"/>
      <c r="E1516" s="2035"/>
      <c r="F1516" s="2035"/>
      <c r="G1516" s="2035"/>
      <c r="H1516" s="2035"/>
      <c r="I1516" s="2035"/>
      <c r="J1516" s="2035"/>
      <c r="K1516" s="2035"/>
      <c r="L1516" s="2035"/>
      <c r="M1516" s="2035"/>
      <c r="N1516" s="2033"/>
      <c r="O1516" s="2819"/>
      <c r="P1516" s="2467"/>
      <c r="Q1516" s="2028"/>
      <c r="R1516" s="2028"/>
      <c r="S1516" s="2028"/>
      <c r="T1516" s="2028"/>
      <c r="U1516" s="2028"/>
      <c r="V1516" s="2028"/>
      <c r="W1516" s="2028"/>
      <c r="X1516" s="2028"/>
      <c r="Y1516" s="2028"/>
      <c r="Z1516" s="2028"/>
      <c r="AA1516" s="2028"/>
      <c r="AB1516" s="2028"/>
      <c r="AC1516" s="2028"/>
      <c r="AD1516" s="2028"/>
      <c r="AE1516" s="2028"/>
      <c r="AF1516" s="2028"/>
    </row>
    <row r="1517" spans="1:32" ht="14.5">
      <c r="A1517" s="2848" t="s">
        <v>3294</v>
      </c>
      <c r="B1517" s="2463" t="s">
        <v>4855</v>
      </c>
      <c r="C1517" s="1998"/>
      <c r="D1517" s="2463"/>
      <c r="E1517" s="2463"/>
      <c r="F1517" s="1998"/>
      <c r="G1517" s="1998"/>
      <c r="H1517" s="1998"/>
      <c r="I1517" s="2868" t="str">
        <f>IF(AND($O1517&gt;0,NOT($F$12="Preservation")),"Ineligible, not Preservation!","")</f>
        <v/>
      </c>
      <c r="J1517" s="1998"/>
      <c r="K1517" s="1998"/>
      <c r="L1517" s="1998"/>
      <c r="M1517" s="2467"/>
      <c r="N1517" s="2012"/>
      <c r="O1517" s="2807">
        <f>'Part VIII Scoring Criteria'!O368</f>
        <v>0</v>
      </c>
      <c r="P1517" s="2807">
        <f>'Part VIII Scoring Criteria'!P368</f>
        <v>0</v>
      </c>
      <c r="Q1517" s="2467" t="s">
        <v>415</v>
      </c>
      <c r="R1517" s="2814"/>
      <c r="S1517" s="1998"/>
      <c r="T1517" s="1998"/>
      <c r="U1517" s="1998"/>
      <c r="V1517" s="1998"/>
      <c r="W1517" s="1998"/>
      <c r="X1517" s="1998"/>
      <c r="Y1517" s="1998"/>
      <c r="Z1517" s="1998"/>
      <c r="AA1517" s="1998"/>
      <c r="AB1517" s="1998"/>
      <c r="AC1517" s="1998"/>
      <c r="AD1517" s="1998"/>
      <c r="AE1517" s="1998"/>
      <c r="AF1517" s="1998"/>
    </row>
    <row r="1518" spans="1:32" ht="14">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4">
      <c r="A1519" s="2467" t="s">
        <v>1836</v>
      </c>
      <c r="B1519" s="1997" t="s">
        <v>4037</v>
      </c>
      <c r="C1519" s="1998"/>
      <c r="D1519" s="2463"/>
      <c r="E1519" s="2463"/>
      <c r="F1519" s="1998"/>
      <c r="G1519" s="1998"/>
      <c r="H1519" s="1998"/>
      <c r="I1519" s="1998"/>
      <c r="J1519" s="1998"/>
      <c r="K1519" s="1998"/>
      <c r="L1519" s="2842" t="s">
        <v>4899</v>
      </c>
      <c r="M1519" s="2467">
        <v>6</v>
      </c>
      <c r="N1519" s="2012"/>
      <c r="O1519" s="2027">
        <f>'Part VIII Scoring Criteria'!O370</f>
        <v>0</v>
      </c>
      <c r="P1519" s="2027"/>
      <c r="Q1519" s="2467"/>
      <c r="R1519" s="2814"/>
      <c r="S1519" s="1998"/>
      <c r="T1519" s="1998"/>
      <c r="U1519" s="1998"/>
      <c r="V1519" s="1998"/>
      <c r="W1519" s="1998"/>
      <c r="X1519" s="1998"/>
      <c r="Y1519" s="1998"/>
      <c r="Z1519" s="1998"/>
      <c r="AA1519" s="1998"/>
      <c r="AB1519" s="1998"/>
      <c r="AC1519" s="1998"/>
      <c r="AD1519" s="1998"/>
      <c r="AE1519" s="1998"/>
      <c r="AF1519" s="1998"/>
    </row>
    <row r="1520" spans="1:32" ht="14">
      <c r="A1520" s="2819" t="s">
        <v>1838</v>
      </c>
      <c r="B1520" s="1997" t="s">
        <v>4742</v>
      </c>
      <c r="C1520" s="1998"/>
      <c r="D1520" s="2463"/>
      <c r="E1520" s="2463"/>
      <c r="F1520" s="2852" t="s">
        <v>4949</v>
      </c>
      <c r="G1520" s="1998"/>
      <c r="H1520" s="1998"/>
      <c r="I1520" s="1998"/>
      <c r="J1520" s="1998"/>
      <c r="K1520" s="2813" t="str">
        <f>IF(OR($O1520=$M1520,$O1520=0,$O1520=""),"","*CHECK!*")</f>
        <v/>
      </c>
      <c r="L1520" s="2842" t="s">
        <v>4899</v>
      </c>
      <c r="M1520" s="2467">
        <v>6</v>
      </c>
      <c r="N1520" s="2012"/>
      <c r="O1520" s="2012"/>
      <c r="P1520" s="2027"/>
      <c r="Q1520" s="2467"/>
      <c r="R1520" s="2814"/>
      <c r="S1520" s="1998"/>
      <c r="T1520" s="1998"/>
      <c r="U1520" s="1998"/>
      <c r="V1520" s="1998"/>
      <c r="W1520" s="1998"/>
      <c r="X1520" s="1998"/>
      <c r="Y1520" s="1998"/>
      <c r="Z1520" s="1998"/>
      <c r="AA1520" s="1998"/>
      <c r="AB1520" s="1998"/>
      <c r="AC1520" s="1998"/>
      <c r="AD1520" s="1998"/>
      <c r="AE1520" s="1998"/>
      <c r="AF1520" s="1998"/>
    </row>
    <row r="1521" spans="1:32" ht="14">
      <c r="A1521" s="2848"/>
      <c r="B1521" s="1998" t="s">
        <v>4714</v>
      </c>
      <c r="C1521" s="1998"/>
      <c r="D1521" s="2463"/>
      <c r="E1521" s="2463"/>
      <c r="F1521" s="1997"/>
      <c r="G1521" s="1998"/>
      <c r="H1521" s="1998"/>
      <c r="I1521" s="1998"/>
      <c r="J1521" s="1998"/>
      <c r="K1521" s="1998"/>
      <c r="L1521" s="2813"/>
      <c r="M1521" s="2467"/>
      <c r="N1521" s="2012"/>
      <c r="O1521" s="2027">
        <f>'Part VIII Scoring Criteria'!O372</f>
        <v>0</v>
      </c>
      <c r="P1521" s="2467"/>
      <c r="Q1521" s="2467"/>
      <c r="R1521" s="2814"/>
      <c r="S1521" s="1998"/>
      <c r="T1521" s="1998"/>
      <c r="U1521" s="1998"/>
      <c r="V1521" s="1998"/>
      <c r="W1521" s="1998"/>
      <c r="X1521" s="1998"/>
      <c r="Y1521" s="1998"/>
      <c r="Z1521" s="1998"/>
      <c r="AA1521" s="1998"/>
      <c r="AB1521" s="1998"/>
      <c r="AC1521" s="1998"/>
      <c r="AD1521" s="1998"/>
      <c r="AE1521" s="1998"/>
      <c r="AF1521" s="1998"/>
    </row>
    <row r="1522" spans="1:32" ht="14">
      <c r="A1522" s="2467" t="s">
        <v>697</v>
      </c>
      <c r="B1522" s="2802" t="s">
        <v>4039</v>
      </c>
      <c r="C1522" s="2034"/>
      <c r="D1522" s="2034"/>
      <c r="E1522" s="2034"/>
      <c r="F1522" s="2034"/>
      <c r="G1522" s="2034"/>
      <c r="H1522" s="2034"/>
      <c r="I1522" s="2034"/>
      <c r="J1522" s="1998"/>
      <c r="K1522" s="1998"/>
      <c r="L1522" s="2842" t="s">
        <v>4899</v>
      </c>
      <c r="M1522" s="2012">
        <v>4</v>
      </c>
      <c r="N1522" s="2465"/>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4">
      <c r="A1523" s="2467" t="s">
        <v>1957</v>
      </c>
      <c r="B1523" s="1997" t="s">
        <v>4038</v>
      </c>
      <c r="C1523" s="2028"/>
      <c r="D1523" s="2028"/>
      <c r="E1523" s="2036"/>
      <c r="F1523" s="1998"/>
      <c r="G1523" s="1998"/>
      <c r="H1523" s="1998"/>
      <c r="I1523" s="2028"/>
      <c r="J1523" s="2028"/>
      <c r="K1523" s="2012"/>
      <c r="L1523" s="2842" t="s">
        <v>4899</v>
      </c>
      <c r="M1523" s="2012">
        <v>4</v>
      </c>
      <c r="N1523" s="2465"/>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5">
      <c r="A1524" s="2467" t="s">
        <v>1609</v>
      </c>
      <c r="B1524" s="1997" t="s">
        <v>4856</v>
      </c>
      <c r="C1524" s="1998"/>
      <c r="D1524" s="2463"/>
      <c r="E1524" s="1998"/>
      <c r="F1524" s="2852" t="s">
        <v>4943</v>
      </c>
      <c r="G1524" s="1998"/>
      <c r="H1524" s="1998"/>
      <c r="I1524" s="1998"/>
      <c r="J1524" s="1998"/>
      <c r="K1524" s="2868" t="str">
        <f>IF(AND($O1524&gt;0,NOT($F$12="Preservation")),"Ineligible, not Preservation!","")</f>
        <v/>
      </c>
      <c r="L1524" s="2842" t="s">
        <v>4899</v>
      </c>
      <c r="M1524" s="2467">
        <v>20</v>
      </c>
      <c r="N1524" s="2012"/>
      <c r="O1524" s="2027">
        <f>'Part VIII Scoring Criteria'!O375</f>
        <v>0</v>
      </c>
      <c r="P1524" s="2027">
        <f>'Part VIII Scoring Criteria'!P375</f>
        <v>0</v>
      </c>
      <c r="Q1524" s="2467"/>
      <c r="R1524" s="2814"/>
      <c r="S1524" s="1998"/>
      <c r="T1524" s="1998"/>
      <c r="U1524" s="1998"/>
      <c r="V1524" s="1998"/>
      <c r="W1524" s="1998"/>
      <c r="X1524" s="1998"/>
      <c r="Y1524" s="1998"/>
      <c r="Z1524" s="1998"/>
      <c r="AA1524" s="1998"/>
      <c r="AB1524" s="1998"/>
      <c r="AC1524" s="1998"/>
      <c r="AD1524" s="1998"/>
      <c r="AE1524" s="1998"/>
      <c r="AF1524" s="1998"/>
    </row>
    <row r="1525" spans="1:32" ht="14">
      <c r="A1525" s="2467"/>
      <c r="B1525" s="1997"/>
      <c r="C1525" s="1998" t="s">
        <v>4999</v>
      </c>
      <c r="D1525" s="2463"/>
      <c r="E1525" s="2463"/>
      <c r="F1525" s="1998"/>
      <c r="G1525" s="1998"/>
      <c r="H1525" s="1998"/>
      <c r="I1525" s="1998"/>
      <c r="J1525" s="2467" t="s">
        <v>2881</v>
      </c>
      <c r="K1525" s="2467" t="s">
        <v>245</v>
      </c>
      <c r="L1525" s="2842"/>
      <c r="M1525" s="2467"/>
      <c r="N1525" s="2012"/>
      <c r="O1525" s="2027"/>
      <c r="P1525" s="2027"/>
      <c r="Q1525" s="2467"/>
      <c r="R1525" s="2467"/>
      <c r="S1525" s="2467"/>
      <c r="T1525" s="2467"/>
      <c r="U1525" s="2467"/>
      <c r="V1525" s="2467"/>
      <c r="W1525" s="2467"/>
      <c r="X1525" s="2467"/>
      <c r="Y1525" s="2467"/>
      <c r="Z1525" s="2467"/>
      <c r="AA1525" s="2467"/>
      <c r="AB1525" s="1998"/>
      <c r="AC1525" s="1998"/>
      <c r="AD1525" s="1998"/>
      <c r="AE1525" s="1998"/>
      <c r="AF1525" s="1998"/>
    </row>
    <row r="1526" spans="1:32" ht="14">
      <c r="A1526" s="2467"/>
      <c r="B1526" s="1997"/>
      <c r="C1526" s="1998"/>
      <c r="D1526" s="1998" t="s">
        <v>3308</v>
      </c>
      <c r="E1526" s="2463"/>
      <c r="F1526" s="1998"/>
      <c r="G1526" s="1998"/>
      <c r="H1526" s="1998"/>
      <c r="I1526" s="1998"/>
      <c r="J1526" s="2898">
        <f>'Part VIII Scoring Criteria'!J377</f>
        <v>0</v>
      </c>
      <c r="K1526" s="2898">
        <f>MAX(P1317,P1318-P1319)</f>
        <v>0</v>
      </c>
      <c r="L1526" s="2842"/>
      <c r="M1526" s="2467"/>
      <c r="N1526" s="2012"/>
      <c r="O1526" s="2027"/>
      <c r="P1526" s="2027"/>
      <c r="Q1526" s="2467"/>
      <c r="R1526" s="2467"/>
      <c r="S1526" s="2467"/>
      <c r="T1526" s="2467"/>
      <c r="U1526" s="2467"/>
      <c r="V1526" s="2467"/>
      <c r="W1526" s="2467"/>
      <c r="X1526" s="2467"/>
      <c r="Y1526" s="2467"/>
      <c r="Z1526" s="2467"/>
      <c r="AA1526" s="2467"/>
      <c r="AB1526" s="1998"/>
      <c r="AC1526" s="1998"/>
      <c r="AD1526" s="1998"/>
      <c r="AE1526" s="1998"/>
      <c r="AF1526" s="1998"/>
    </row>
    <row r="1527" spans="1:32" ht="14">
      <c r="A1527" s="2467"/>
      <c r="B1527" s="1997"/>
      <c r="C1527" s="1998"/>
      <c r="D1527" s="1998" t="s">
        <v>3913</v>
      </c>
      <c r="E1527" s="2463"/>
      <c r="F1527" s="1998"/>
      <c r="G1527" s="1998"/>
      <c r="H1527" s="1998"/>
      <c r="I1527" s="1998"/>
      <c r="J1527" s="2898">
        <f>'Part VIII Scoring Criteria'!J378</f>
        <v>0</v>
      </c>
      <c r="K1527" s="2898">
        <f>MAX(P1326,P1335+P1336+P1338+P1339+P1340)</f>
        <v>0</v>
      </c>
      <c r="L1527" s="2842"/>
      <c r="M1527" s="2467"/>
      <c r="N1527" s="2012"/>
      <c r="O1527" s="2027"/>
      <c r="P1527" s="2027"/>
      <c r="Q1527" s="2467"/>
      <c r="R1527" s="2467"/>
      <c r="S1527" s="2467"/>
      <c r="T1527" s="2467"/>
      <c r="U1527" s="2467"/>
      <c r="V1527" s="2467"/>
      <c r="W1527" s="2467"/>
      <c r="X1527" s="2467"/>
      <c r="Y1527" s="2467"/>
      <c r="Z1527" s="2467"/>
      <c r="AA1527" s="2467"/>
      <c r="AB1527" s="1998"/>
      <c r="AC1527" s="1998"/>
      <c r="AD1527" s="1998"/>
      <c r="AE1527" s="1998"/>
      <c r="AF1527" s="1998"/>
    </row>
    <row r="1528" spans="1:32" ht="14">
      <c r="A1528" s="2467"/>
      <c r="B1528" s="1997"/>
      <c r="C1528" s="1998"/>
      <c r="D1528" s="1998" t="s">
        <v>3253</v>
      </c>
      <c r="E1528" s="1998"/>
      <c r="F1528" s="2852"/>
      <c r="G1528" s="1998"/>
      <c r="H1528" s="1998"/>
      <c r="I1528" s="1998"/>
      <c r="J1528" s="2898">
        <f>'Part VIII Scoring Criteria'!J379</f>
        <v>0</v>
      </c>
      <c r="K1528" s="2904">
        <f>$P$190</f>
        <v>0</v>
      </c>
      <c r="L1528" s="2842"/>
      <c r="M1528" s="2467"/>
      <c r="N1528" s="2012"/>
      <c r="O1528" s="2027"/>
      <c r="P1528" s="2027"/>
      <c r="Q1528" s="2467"/>
      <c r="R1528" s="2467"/>
      <c r="S1528" s="2467"/>
      <c r="T1528" s="2467"/>
      <c r="U1528" s="2467"/>
      <c r="V1528" s="2467"/>
      <c r="W1528" s="2467"/>
      <c r="X1528" s="2467"/>
      <c r="Y1528" s="2467"/>
      <c r="Z1528" s="2467"/>
      <c r="AA1528" s="2467"/>
      <c r="AB1528" s="1998"/>
      <c r="AC1528" s="1998"/>
      <c r="AD1528" s="1998"/>
      <c r="AE1528" s="1998"/>
      <c r="AF1528" s="1998"/>
    </row>
    <row r="1529" spans="1:32" ht="14">
      <c r="A1529" s="2467"/>
      <c r="B1529" s="1997"/>
      <c r="C1529" s="1998" t="s">
        <v>5000</v>
      </c>
      <c r="D1529" s="1998"/>
      <c r="E1529" s="1998"/>
      <c r="F1529" s="2852"/>
      <c r="G1529" s="1998"/>
      <c r="H1529" s="1998"/>
      <c r="I1529" s="2861" t="s">
        <v>5001</v>
      </c>
      <c r="J1529" s="2898">
        <f>'Part VIII Scoring Criteria'!J380</f>
        <v>0</v>
      </c>
      <c r="K1529" s="2898">
        <f>MAX(K1530:K1532)</f>
        <v>0</v>
      </c>
      <c r="L1529" s="2842"/>
      <c r="M1529" s="2467"/>
      <c r="N1529" s="2012"/>
      <c r="O1529" s="2027"/>
      <c r="P1529" s="2027"/>
      <c r="Q1529" s="2467"/>
      <c r="R1529" s="2467"/>
      <c r="S1529" s="2467"/>
      <c r="T1529" s="2467"/>
      <c r="U1529" s="2467"/>
      <c r="V1529" s="2467"/>
      <c r="W1529" s="2467"/>
      <c r="X1529" s="2467"/>
      <c r="Y1529" s="2467"/>
      <c r="Z1529" s="2467"/>
      <c r="AA1529" s="2467"/>
      <c r="AB1529" s="1998"/>
      <c r="AC1529" s="1998"/>
      <c r="AD1529" s="1998"/>
      <c r="AE1529" s="1998"/>
      <c r="AF1529" s="1998"/>
    </row>
    <row r="1530" spans="1:32" ht="14">
      <c r="A1530" s="2467"/>
      <c r="B1530" s="1997"/>
      <c r="C1530" s="1998"/>
      <c r="D1530" s="1998" t="s">
        <v>3309</v>
      </c>
      <c r="E1530" s="1998"/>
      <c r="F1530" s="2852"/>
      <c r="G1530" s="1998"/>
      <c r="H1530" s="1998"/>
      <c r="I1530" s="1998"/>
      <c r="J1530" s="2898">
        <f>'Part VIII Scoring Criteria'!J381</f>
        <v>0</v>
      </c>
      <c r="K1530" s="2898">
        <f>MAX(P1363,P1369+P1379+P1386)</f>
        <v>0</v>
      </c>
      <c r="L1530" s="2842"/>
      <c r="M1530" s="2467"/>
      <c r="N1530" s="2012"/>
      <c r="O1530" s="2027"/>
      <c r="P1530" s="2027"/>
      <c r="Q1530" s="2467"/>
      <c r="R1530" s="2467"/>
      <c r="S1530" s="2467"/>
      <c r="T1530" s="2467"/>
      <c r="U1530" s="2467"/>
      <c r="V1530" s="2467"/>
      <c r="W1530" s="2467"/>
      <c r="X1530" s="2467"/>
      <c r="Y1530" s="2467"/>
      <c r="Z1530" s="2467"/>
      <c r="AA1530" s="2467"/>
      <c r="AB1530" s="1998"/>
      <c r="AC1530" s="1998"/>
      <c r="AD1530" s="1998"/>
      <c r="AE1530" s="1998"/>
      <c r="AF1530" s="1998"/>
    </row>
    <row r="1531" spans="1:32" ht="14">
      <c r="A1531" s="2467"/>
      <c r="B1531" s="1997"/>
      <c r="C1531" s="1998"/>
      <c r="D1531" s="1998" t="s">
        <v>3914</v>
      </c>
      <c r="E1531" s="1998"/>
      <c r="F1531" s="2852"/>
      <c r="G1531" s="1998"/>
      <c r="H1531" s="1998"/>
      <c r="I1531" s="1998"/>
      <c r="J1531" s="2806">
        <f>'Part VIII Scoring Criteria'!J382</f>
        <v>0</v>
      </c>
      <c r="K1531" s="2806">
        <f>MAX($K$251,$P$238)</f>
        <v>0</v>
      </c>
      <c r="L1531" s="2842"/>
      <c r="M1531" s="2467"/>
      <c r="N1531" s="2012"/>
      <c r="O1531" s="2027"/>
      <c r="P1531" s="2027"/>
      <c r="Q1531" s="2467"/>
      <c r="R1531" s="2467"/>
      <c r="S1531" s="2467"/>
      <c r="T1531" s="2467"/>
      <c r="U1531" s="2467"/>
      <c r="V1531" s="2467"/>
      <c r="W1531" s="2467"/>
      <c r="X1531" s="2467"/>
      <c r="Y1531" s="2467"/>
      <c r="Z1531" s="2467"/>
      <c r="AA1531" s="2467"/>
      <c r="AB1531" s="1998"/>
      <c r="AC1531" s="1998"/>
      <c r="AD1531" s="1998"/>
      <c r="AE1531" s="1998"/>
      <c r="AF1531" s="1998"/>
    </row>
    <row r="1532" spans="1:32" ht="14">
      <c r="A1532" s="2467"/>
      <c r="B1532" s="1997"/>
      <c r="C1532" s="1998"/>
      <c r="D1532" s="1998" t="s">
        <v>3180</v>
      </c>
      <c r="E1532" s="1998"/>
      <c r="F1532" s="2852"/>
      <c r="G1532" s="1998"/>
      <c r="H1532" s="1998"/>
      <c r="I1532" s="1998"/>
      <c r="J1532" s="2806">
        <f>'Part VIII Scoring Criteria'!J383</f>
        <v>0</v>
      </c>
      <c r="K1532" s="2806">
        <f>$P$265</f>
        <v>0</v>
      </c>
      <c r="L1532" s="2842"/>
      <c r="M1532" s="2467"/>
      <c r="N1532" s="2012"/>
      <c r="O1532" s="2027"/>
      <c r="P1532" s="2027"/>
      <c r="Q1532" s="2467"/>
      <c r="R1532" s="2467"/>
      <c r="S1532" s="2467"/>
      <c r="T1532" s="2467"/>
      <c r="U1532" s="2467"/>
      <c r="V1532" s="2467"/>
      <c r="W1532" s="2467"/>
      <c r="X1532" s="2467"/>
      <c r="Y1532" s="2467"/>
      <c r="Z1532" s="2467"/>
      <c r="AA1532" s="2467"/>
      <c r="AB1532" s="1998"/>
      <c r="AC1532" s="1998"/>
      <c r="AD1532" s="1998"/>
      <c r="AE1532" s="1998"/>
      <c r="AF1532" s="1998"/>
    </row>
    <row r="1533" spans="1:32" ht="14">
      <c r="A1533" s="2467" t="s">
        <v>1610</v>
      </c>
      <c r="B1533" s="1997" t="s">
        <v>4857</v>
      </c>
      <c r="C1533" s="1998"/>
      <c r="D1533" s="2463"/>
      <c r="E1533" s="1998"/>
      <c r="F1533" s="1998"/>
      <c r="G1533" s="2811"/>
      <c r="H1533" s="1998"/>
      <c r="I1533" s="1998"/>
      <c r="J1533" s="1998"/>
      <c r="K1533" s="2813" t="str">
        <f>IF(OR($O1533&lt;=$M1533,$O1533=0,$O1533=""),"","*CHECK!*")</f>
        <v/>
      </c>
      <c r="L1533" s="2465" t="s">
        <v>4899</v>
      </c>
      <c r="M1533" s="2467">
        <v>22</v>
      </c>
      <c r="N1533" s="2012"/>
      <c r="O1533" s="2027">
        <f>'Part VIII Scoring Criteria'!O384</f>
        <v>0</v>
      </c>
      <c r="P1533" s="2027">
        <f>'Part VIII Scoring Criteria'!P384</f>
        <v>0</v>
      </c>
      <c r="Q1533" s="2467" t="s">
        <v>415</v>
      </c>
      <c r="R1533" s="2814"/>
      <c r="S1533" s="1998"/>
      <c r="T1533" s="1998"/>
      <c r="U1533" s="1998"/>
      <c r="V1533" s="1998"/>
      <c r="W1533" s="1998"/>
      <c r="X1533" s="1998"/>
      <c r="Y1533" s="1998"/>
      <c r="Z1533" s="1998"/>
      <c r="AA1533" s="1998"/>
      <c r="AB1533" s="1998"/>
      <c r="AC1533" s="1998"/>
      <c r="AD1533" s="1998"/>
      <c r="AE1533" s="1998"/>
      <c r="AF1533" s="1998"/>
    </row>
    <row r="1534" spans="1:32" ht="14">
      <c r="A1534" s="2467"/>
      <c r="B1534" s="2815"/>
      <c r="C1534" s="2031" t="s">
        <v>4930</v>
      </c>
      <c r="D1534" s="1998"/>
      <c r="E1534" s="1998"/>
      <c r="F1534" s="1998"/>
      <c r="G1534" s="1998"/>
      <c r="H1534" s="2905" t="s">
        <v>4942</v>
      </c>
      <c r="I1534" s="2467"/>
      <c r="J1534" s="2851">
        <f>'Part VIII Scoring Criteria'!J385</f>
        <v>0</v>
      </c>
      <c r="K1534" s="2031"/>
      <c r="L1534" s="2842" t="s">
        <v>4899</v>
      </c>
      <c r="M1534" s="2844">
        <v>3</v>
      </c>
      <c r="N1534" s="2465"/>
      <c r="O1534" s="2027">
        <f>'Part VIII Scoring Criteria'!O385</f>
        <v>0</v>
      </c>
      <c r="P1534" s="2027"/>
      <c r="Q1534" s="2814"/>
      <c r="R1534" s="1998"/>
      <c r="S1534" s="1998"/>
      <c r="T1534" s="1998"/>
      <c r="U1534" s="1998"/>
      <c r="V1534" s="2463"/>
      <c r="W1534" s="1998"/>
      <c r="X1534" s="1998"/>
      <c r="Y1534" s="1998"/>
      <c r="Z1534" s="1998"/>
      <c r="AA1534" s="1998"/>
      <c r="AB1534" s="1998"/>
      <c r="AC1534" s="1998"/>
      <c r="AD1534" s="1998"/>
      <c r="AE1534" s="1998"/>
      <c r="AF1534" s="1998"/>
    </row>
    <row r="1535" spans="1:32" ht="14">
      <c r="A1535" s="2467"/>
      <c r="B1535" s="2817"/>
      <c r="C1535" s="2034" t="s">
        <v>4931</v>
      </c>
      <c r="D1535" s="2034"/>
      <c r="E1535" s="2034"/>
      <c r="F1535" s="1998"/>
      <c r="G1535" s="1998"/>
      <c r="H1535" s="2852" t="s">
        <v>4941</v>
      </c>
      <c r="I1535" s="2034"/>
      <c r="J1535" s="2033">
        <f>'Part VIII Scoring Criteria'!J386</f>
        <v>0</v>
      </c>
      <c r="K1535" s="2034"/>
      <c r="L1535" s="2842" t="s">
        <v>4899</v>
      </c>
      <c r="M1535" s="2844">
        <v>3</v>
      </c>
      <c r="N1535" s="2465"/>
      <c r="O1535" s="2027">
        <f>'Part VIII Scoring Criteria'!O386</f>
        <v>0</v>
      </c>
      <c r="P1535" s="2027"/>
      <c r="Q1535" s="2465"/>
      <c r="R1535" s="1998"/>
      <c r="S1535" s="1998"/>
      <c r="T1535" s="1998"/>
      <c r="U1535" s="1998"/>
      <c r="V1535" s="2463"/>
      <c r="W1535" s="1998"/>
      <c r="X1535" s="1998"/>
      <c r="Y1535" s="1998"/>
      <c r="Z1535" s="1998"/>
      <c r="AA1535" s="1998"/>
      <c r="AB1535" s="1998"/>
      <c r="AC1535" s="1998"/>
      <c r="AD1535" s="1998"/>
      <c r="AE1535" s="1998"/>
      <c r="AF1535" s="1998"/>
    </row>
    <row r="1536" spans="1:32" ht="14">
      <c r="A1536" s="2028"/>
      <c r="B1536" s="2815"/>
      <c r="C1536" s="1998" t="s">
        <v>4743</v>
      </c>
      <c r="D1536" s="2028"/>
      <c r="E1536" s="2028"/>
      <c r="F1536" s="2852" t="s">
        <v>4932</v>
      </c>
      <c r="G1536" s="2028"/>
      <c r="H1536" s="2028"/>
      <c r="I1536" s="2028"/>
      <c r="J1536" s="2028"/>
      <c r="K1536" s="2012" t="str">
        <f>IF(OR($O1536="",$O$12="4%"),"","Ineligible!")</f>
        <v>Ineligible!</v>
      </c>
      <c r="L1536" s="2842" t="s">
        <v>4899</v>
      </c>
      <c r="M1536" s="2012">
        <v>10</v>
      </c>
      <c r="N1536" s="2465"/>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4">
      <c r="A1537" s="2467"/>
      <c r="B1537" s="2028" t="s">
        <v>1132</v>
      </c>
      <c r="C1537" s="2028"/>
      <c r="D1537" s="2028" t="s">
        <v>4747</v>
      </c>
      <c r="E1537" s="1998"/>
      <c r="F1537" s="1998"/>
      <c r="G1537" s="1998" t="s">
        <v>4124</v>
      </c>
      <c r="H1537" s="1998"/>
      <c r="I1537" s="1998"/>
      <c r="J1537" s="1998" t="s">
        <v>574</v>
      </c>
      <c r="K1537" s="2028"/>
      <c r="L1537" s="2017" t="s">
        <v>4748</v>
      </c>
      <c r="M1537" s="2028" t="s">
        <v>4752</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6">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6">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6">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
      <c r="A1541" s="2816" t="s">
        <v>3744</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6">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
      <c r="A1542" s="2816" t="s">
        <v>4694</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6">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
      <c r="A1543" s="2816" t="s">
        <v>4695</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6">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
      <c r="A1544" s="2816" t="s">
        <v>4933</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6">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
      <c r="A1545" s="2816" t="s">
        <v>4934</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6">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
      <c r="A1546" s="2816" t="s">
        <v>4907</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6">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
      <c r="A1547" s="2816" t="s">
        <v>4935</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6">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4">
      <c r="A1548" s="2819"/>
      <c r="B1548" s="2817"/>
      <c r="C1548" s="2034" t="s">
        <v>4744</v>
      </c>
      <c r="D1548" s="2034"/>
      <c r="E1548" s="2034"/>
      <c r="F1548" s="2852" t="s">
        <v>4932</v>
      </c>
      <c r="G1548" s="2034"/>
      <c r="H1548" s="2852" t="s">
        <v>4940</v>
      </c>
      <c r="I1548" s="2034"/>
      <c r="J1548" s="2851">
        <f>'Part VIII Scoring Criteria'!J399</f>
        <v>0</v>
      </c>
      <c r="K1548" s="2012" t="str">
        <f>IF(OR($O1548="",$O$12="4%"),"","Ineligible!")</f>
        <v>Ineligible!</v>
      </c>
      <c r="L1548" s="2842" t="s">
        <v>4899</v>
      </c>
      <c r="M1548" s="2012">
        <v>6</v>
      </c>
      <c r="N1548" s="2465"/>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5">
      <c r="A1549" s="1998"/>
      <c r="B1549" s="2808" t="s">
        <v>5123</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5">
      <c r="A1550" s="2823">
        <f>'Part VIII Scoring Criteria'!A401</f>
        <v>0</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5">
      <c r="A1551" s="2808"/>
      <c r="B1551" s="2808" t="s">
        <v>1725</v>
      </c>
      <c r="C1551" s="1998"/>
      <c r="D1551" s="2808"/>
      <c r="E1551" s="2031"/>
      <c r="F1551" s="2031"/>
      <c r="G1551" s="2031"/>
      <c r="H1551" s="2031"/>
      <c r="I1551" s="2031"/>
      <c r="J1551" s="2031"/>
      <c r="K1551" s="2031"/>
      <c r="L1551" s="2031"/>
      <c r="M1551" s="2031"/>
      <c r="N1551" s="2012"/>
      <c r="O1551" s="2467"/>
      <c r="P1551" s="2467"/>
      <c r="Q1551" s="1998"/>
      <c r="R1551" s="1998"/>
      <c r="S1551" s="1998"/>
      <c r="T1551" s="1998"/>
      <c r="U1551" s="1998"/>
      <c r="V1551" s="1998"/>
      <c r="W1551" s="1998"/>
      <c r="X1551" s="1998"/>
      <c r="Y1551" s="1998"/>
      <c r="Z1551" s="1998"/>
      <c r="AA1551" s="1998"/>
      <c r="AB1551" s="1998"/>
      <c r="AC1551" s="1998"/>
      <c r="AD1551" s="1998"/>
      <c r="AE1551" s="1998"/>
      <c r="AF1551" s="1998"/>
    </row>
    <row r="1552" spans="1:32" ht="14">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5" customHeight="1">
      <c r="A1553" s="1998"/>
      <c r="B1553" s="1998"/>
      <c r="C1553" s="2035"/>
      <c r="D1553" s="2035"/>
      <c r="E1553" s="2035"/>
      <c r="F1553" s="2035"/>
      <c r="G1553" s="2035"/>
      <c r="H1553" s="2035"/>
      <c r="I1553" s="2035"/>
      <c r="J1553" s="2035"/>
      <c r="K1553" s="2035"/>
      <c r="L1553" s="2035"/>
      <c r="M1553" s="2035"/>
      <c r="N1553" s="2033"/>
      <c r="O1553" s="2819"/>
      <c r="P1553" s="2467"/>
      <c r="Q1553" s="2900" t="s">
        <v>5137</v>
      </c>
      <c r="R1553" s="2900"/>
      <c r="S1553" s="2900"/>
      <c r="T1553" s="2900"/>
      <c r="U1553" s="2900"/>
      <c r="V1553" s="2900"/>
      <c r="W1553" s="2900"/>
      <c r="X1553" s="2900"/>
      <c r="Y1553" s="2900"/>
      <c r="Z1553" s="2900"/>
      <c r="AA1553" s="2900"/>
      <c r="AB1553" s="2900"/>
      <c r="AC1553" s="2900"/>
      <c r="AD1553" s="2900"/>
      <c r="AE1553" s="2900"/>
      <c r="AF1553" s="2900"/>
    </row>
    <row r="1554" spans="1:32" ht="14">
      <c r="A1554" s="1998"/>
      <c r="B1554" s="1998"/>
      <c r="C1554" s="2035"/>
      <c r="D1554" s="2035"/>
      <c r="E1554" s="2035"/>
      <c r="F1554" s="2035"/>
      <c r="G1554" s="2035"/>
      <c r="H1554" s="2035"/>
      <c r="I1554" s="2035"/>
      <c r="J1554" s="2035"/>
      <c r="K1554" s="2035"/>
      <c r="L1554" s="2035"/>
      <c r="M1554" s="2035"/>
      <c r="N1554" s="2033"/>
      <c r="O1554" s="2819"/>
      <c r="P1554" s="2467"/>
      <c r="Q1554" s="2900"/>
      <c r="R1554" s="2900"/>
      <c r="S1554" s="2900"/>
      <c r="T1554" s="2900"/>
      <c r="U1554" s="2900"/>
      <c r="V1554" s="2900"/>
      <c r="W1554" s="2900"/>
      <c r="X1554" s="2900"/>
      <c r="Y1554" s="2900"/>
      <c r="Z1554" s="2900"/>
      <c r="AA1554" s="2900"/>
      <c r="AB1554" s="2900"/>
      <c r="AC1554" s="2900"/>
      <c r="AD1554" s="2900"/>
      <c r="AE1554" s="2900"/>
      <c r="AF1554" s="2900"/>
    </row>
    <row r="1555" spans="1:32" ht="14">
      <c r="A1555" s="2028"/>
      <c r="B1555" s="2028"/>
      <c r="C1555" s="2028"/>
      <c r="D1555" s="2028"/>
      <c r="E1555" s="2028"/>
      <c r="F1555" s="2028"/>
      <c r="G1555" s="2028"/>
      <c r="H1555" s="2028"/>
      <c r="I1555" s="2028"/>
      <c r="J1555" s="2028"/>
      <c r="K1555" s="2028"/>
      <c r="L1555" s="2028"/>
      <c r="M1555" s="2028"/>
      <c r="N1555" s="2017"/>
      <c r="O1555" s="2030"/>
      <c r="P1555" s="2030"/>
      <c r="Q1555" s="2900"/>
      <c r="R1555" s="2900"/>
      <c r="S1555" s="2900"/>
      <c r="T1555" s="2900"/>
      <c r="U1555" s="2900"/>
      <c r="V1555" s="2900"/>
      <c r="W1555" s="2900"/>
      <c r="X1555" s="2900"/>
      <c r="Y1555" s="2900"/>
      <c r="Z1555" s="2900"/>
      <c r="AA1555" s="2900"/>
      <c r="AB1555" s="2900"/>
      <c r="AC1555" s="2900"/>
      <c r="AD1555" s="2900"/>
      <c r="AE1555" s="2900"/>
      <c r="AF1555" s="2900"/>
    </row>
    <row r="1556" spans="1:32" ht="14">
      <c r="A1556" s="1997" t="s">
        <v>401</v>
      </c>
      <c r="B1556" s="2028"/>
      <c r="C1556" s="1998"/>
      <c r="D1556" s="2028"/>
      <c r="E1556" s="2028"/>
      <c r="F1556" s="2028"/>
      <c r="G1556" s="1998"/>
      <c r="H1556" s="1998"/>
      <c r="I1556" s="1998"/>
      <c r="J1556" s="1998"/>
      <c r="K1556" s="1998"/>
      <c r="L1556" s="1998"/>
      <c r="M1556" s="2027"/>
      <c r="N1556" s="2806"/>
      <c r="O1556" s="2807">
        <f>'Part VIII Scoring Criteria'!O407</f>
        <v>0</v>
      </c>
      <c r="P1556" s="2807">
        <f>'Part VIII Scoring Criteria'!P407</f>
        <v>0</v>
      </c>
      <c r="Q1556" s="2900"/>
      <c r="R1556" s="2900"/>
      <c r="S1556" s="2900"/>
      <c r="T1556" s="2900"/>
      <c r="U1556" s="2900"/>
      <c r="V1556" s="2900"/>
      <c r="W1556" s="2900"/>
      <c r="X1556" s="2900"/>
      <c r="Y1556" s="2900"/>
      <c r="Z1556" s="2900"/>
      <c r="AA1556" s="2900"/>
      <c r="AB1556" s="2900"/>
      <c r="AC1556" s="2900"/>
      <c r="AD1556" s="2900"/>
      <c r="AE1556" s="2900"/>
      <c r="AF1556" s="2900"/>
    </row>
    <row r="1557" spans="1:32" ht="14">
      <c r="A1557" s="1998"/>
      <c r="B1557" s="2028"/>
      <c r="C1557" s="2035"/>
      <c r="D1557" s="2035"/>
      <c r="E1557" s="2035"/>
      <c r="F1557" s="2035"/>
      <c r="G1557" s="2035"/>
      <c r="H1557" s="2035"/>
      <c r="I1557" s="2035"/>
      <c r="J1557" s="2035"/>
      <c r="K1557" s="2035"/>
      <c r="L1557" s="2035"/>
      <c r="M1557" s="2035"/>
      <c r="N1557" s="2035"/>
      <c r="O1557" s="2035"/>
      <c r="P1557" s="2035"/>
      <c r="Q1557" s="2900"/>
      <c r="R1557" s="2900"/>
      <c r="S1557" s="2900"/>
      <c r="T1557" s="2900"/>
      <c r="U1557" s="2900"/>
      <c r="V1557" s="2900"/>
      <c r="W1557" s="2900"/>
      <c r="X1557" s="2900"/>
      <c r="Y1557" s="2900"/>
      <c r="Z1557" s="2900"/>
      <c r="AA1557" s="2900"/>
      <c r="AB1557" s="2900"/>
      <c r="AC1557" s="2900"/>
      <c r="AD1557" s="2900"/>
      <c r="AE1557" s="2900"/>
      <c r="AF1557" s="2900"/>
    </row>
    <row r="1558" spans="1:32" ht="14">
      <c r="A1558" s="2028"/>
      <c r="B1558" s="2028"/>
      <c r="C1558" s="2028"/>
      <c r="D1558" s="2028"/>
      <c r="E1558" s="2028"/>
      <c r="F1558" s="2031"/>
      <c r="G1558" s="2031"/>
      <c r="H1558" s="2467"/>
      <c r="I1558" s="2467"/>
      <c r="J1558" s="2028"/>
      <c r="K1558" s="2028"/>
      <c r="L1558" s="2028"/>
      <c r="M1558" s="2028"/>
      <c r="N1558" s="2467"/>
      <c r="O1558" s="2467"/>
      <c r="P1558" s="2027"/>
      <c r="Q1558" s="2900"/>
      <c r="R1558" s="2900"/>
      <c r="S1558" s="2900"/>
      <c r="T1558" s="2900"/>
      <c r="U1558" s="2900"/>
      <c r="V1558" s="2900"/>
      <c r="W1558" s="2900"/>
      <c r="X1558" s="2900"/>
      <c r="Y1558" s="2900"/>
      <c r="Z1558" s="2900"/>
      <c r="AA1558" s="2900"/>
      <c r="AB1558" s="2900"/>
      <c r="AC1558" s="2900"/>
      <c r="AD1558" s="2900"/>
      <c r="AE1558" s="2900"/>
      <c r="AF1558" s="2900"/>
    </row>
    <row r="1559" spans="1:32" ht="14.5" customHeight="1">
      <c r="A1559" s="2808" t="s">
        <v>5138</v>
      </c>
      <c r="B1559" s="2808"/>
      <c r="C1559" s="2808"/>
      <c r="D1559" s="2808"/>
      <c r="E1559" s="2808"/>
      <c r="F1559" s="2808"/>
      <c r="G1559" s="2808"/>
      <c r="H1559" s="2808"/>
      <c r="I1559" s="2808"/>
      <c r="J1559" s="2808"/>
      <c r="K1559" s="2808"/>
      <c r="L1559" s="2808"/>
      <c r="M1559" s="2808"/>
      <c r="N1559" s="2808"/>
      <c r="O1559" s="2808"/>
      <c r="P1559" s="2808"/>
      <c r="Q1559" s="2900"/>
      <c r="R1559" s="2900"/>
      <c r="S1559" s="2900"/>
      <c r="T1559" s="2900"/>
      <c r="U1559" s="2900"/>
      <c r="V1559" s="2900"/>
      <c r="W1559" s="2900"/>
      <c r="X1559" s="2900"/>
      <c r="Y1559" s="2900"/>
      <c r="Z1559" s="2900"/>
      <c r="AA1559" s="2900"/>
      <c r="AB1559" s="2900"/>
      <c r="AC1559" s="2900"/>
      <c r="AD1559" s="2900"/>
      <c r="AE1559" s="2900"/>
      <c r="AF1559" s="2900"/>
    </row>
    <row r="1560" spans="1:32" ht="14.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v64fXyKgvfZx0E2g/oxDaE4da4r7NGB/KnTBT6nDLA5ITUGE5JbuKCyOuJOg0sahfLrLn1LB83pGAgFroK0Jdg==" saltValue="bf4paMTyJh9t+Exudn+ggQ==" spinCount="100000" sheet="1" objects="1" scenarios="1"/>
  <mergeCells count="4">
    <mergeCell ref="D1024:O1024"/>
    <mergeCell ref="S715:S718"/>
    <mergeCell ref="Q717:Q718"/>
    <mergeCell ref="R717:R718"/>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265625" defaultRowHeight="15.5"/>
  <cols>
    <col min="1" max="1" width="2.26953125" style="796" customWidth="1"/>
    <col min="2" max="13" width="7.7265625" style="796" customWidth="1"/>
    <col min="14" max="15" width="5.7265625" style="796" customWidth="1"/>
    <col min="16" max="16384" width="8.7265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7" t="s">
        <v>2474</v>
      </c>
      <c r="B5" s="4017"/>
      <c r="C5" s="4017"/>
      <c r="D5" s="4017"/>
      <c r="E5" s="4017"/>
      <c r="F5" s="4017"/>
      <c r="G5" s="4017"/>
      <c r="H5" s="4017"/>
      <c r="I5" s="4017"/>
      <c r="J5" s="4017"/>
      <c r="K5" s="4017"/>
      <c r="L5" s="4017"/>
      <c r="M5" s="4017"/>
    </row>
    <row r="6" spans="1:26" ht="11.65"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c r="A9" s="4018" t="s">
        <v>1762</v>
      </c>
      <c r="B9" s="4018"/>
      <c r="C9" s="4018"/>
      <c r="D9" s="4018"/>
      <c r="E9" s="4018"/>
      <c r="F9" s="4018"/>
      <c r="G9" s="4018"/>
      <c r="H9" s="4018"/>
      <c r="I9" s="4018"/>
      <c r="J9" s="4018"/>
      <c r="K9" s="4018"/>
      <c r="L9" s="4018"/>
      <c r="M9" s="4018"/>
    </row>
    <row r="10" spans="1:26" ht="6.75" customHeight="1">
      <c r="A10" s="4018"/>
      <c r="B10" s="4018"/>
      <c r="C10" s="4018"/>
      <c r="D10" s="4018"/>
      <c r="E10" s="4018"/>
      <c r="F10" s="4018"/>
      <c r="G10" s="4018"/>
      <c r="H10" s="4018"/>
      <c r="I10" s="4018"/>
      <c r="J10" s="4018"/>
      <c r="K10" s="4018"/>
      <c r="L10" s="4018"/>
      <c r="M10" s="4018"/>
    </row>
    <row r="11" spans="1:26" ht="44.25" customHeight="1">
      <c r="A11" s="4019" t="s">
        <v>4950</v>
      </c>
      <c r="B11" s="4019"/>
      <c r="C11" s="4019"/>
      <c r="D11" s="4019"/>
      <c r="E11" s="4019"/>
      <c r="F11" s="4019"/>
      <c r="G11" s="4019"/>
      <c r="H11" s="4019"/>
      <c r="I11" s="4019"/>
      <c r="J11" s="4019"/>
      <c r="K11" s="4019"/>
      <c r="L11" s="4019"/>
      <c r="M11" s="4019"/>
    </row>
    <row r="12" spans="1:26" ht="3" customHeight="1">
      <c r="A12" s="4018"/>
      <c r="B12" s="4018"/>
      <c r="C12" s="4018"/>
      <c r="D12" s="4018"/>
      <c r="E12" s="4018"/>
      <c r="F12" s="4018"/>
      <c r="G12" s="4018"/>
      <c r="H12" s="4018"/>
      <c r="I12" s="4018"/>
      <c r="J12" s="4018"/>
      <c r="K12" s="4018"/>
      <c r="L12" s="4018"/>
      <c r="M12" s="4018"/>
    </row>
    <row r="13" spans="1:26" ht="101.25" customHeight="1">
      <c r="A13" s="802" t="s">
        <v>1611</v>
      </c>
      <c r="B13" s="4020" t="s">
        <v>3105</v>
      </c>
      <c r="C13" s="4020"/>
      <c r="D13" s="4020"/>
      <c r="E13" s="4020"/>
      <c r="F13" s="4020"/>
      <c r="G13" s="4020"/>
      <c r="H13" s="4020"/>
      <c r="I13" s="4020"/>
      <c r="J13" s="4020"/>
      <c r="K13" s="4020"/>
      <c r="L13" s="4020"/>
      <c r="M13" s="4020"/>
      <c r="U13" s="796" t="s">
        <v>4172</v>
      </c>
    </row>
    <row r="14" spans="1:26" ht="47.25" customHeight="1">
      <c r="A14" s="802" t="s">
        <v>1612</v>
      </c>
      <c r="B14" s="4020" t="s">
        <v>3106</v>
      </c>
      <c r="C14" s="4020"/>
      <c r="D14" s="4020"/>
      <c r="E14" s="4020"/>
      <c r="F14" s="4020"/>
      <c r="G14" s="4020"/>
      <c r="H14" s="4020"/>
      <c r="I14" s="4020"/>
      <c r="J14" s="4020"/>
      <c r="K14" s="4020"/>
      <c r="L14" s="4020"/>
      <c r="M14" s="4020"/>
    </row>
    <row r="15" spans="1:26" ht="117" customHeight="1">
      <c r="A15" s="802" t="s">
        <v>1613</v>
      </c>
      <c r="B15" s="4020" t="s">
        <v>3107</v>
      </c>
      <c r="C15" s="4020"/>
      <c r="D15" s="4020"/>
      <c r="E15" s="4020"/>
      <c r="F15" s="4020"/>
      <c r="G15" s="4020"/>
      <c r="H15" s="4020"/>
      <c r="I15" s="4020"/>
      <c r="J15" s="4020"/>
      <c r="K15" s="4020"/>
      <c r="L15" s="4020"/>
      <c r="M15" s="4020"/>
    </row>
    <row r="16" spans="1:26" ht="147" customHeight="1">
      <c r="A16" s="802" t="s">
        <v>2176</v>
      </c>
      <c r="B16" s="4020" t="s">
        <v>2986</v>
      </c>
      <c r="C16" s="4020"/>
      <c r="D16" s="4020"/>
      <c r="E16" s="4020"/>
      <c r="F16" s="4020"/>
      <c r="G16" s="4020"/>
      <c r="H16" s="4020"/>
      <c r="I16" s="4020"/>
      <c r="J16" s="4020"/>
      <c r="K16" s="4020"/>
      <c r="L16" s="4020"/>
      <c r="M16" s="4020"/>
    </row>
    <row r="17" spans="1:13" ht="48.75" customHeight="1">
      <c r="A17" s="802" t="s">
        <v>1446</v>
      </c>
      <c r="B17" s="4020" t="s">
        <v>636</v>
      </c>
      <c r="C17" s="4020"/>
      <c r="D17" s="4020"/>
      <c r="E17" s="4020"/>
      <c r="F17" s="4020"/>
      <c r="G17" s="4020"/>
      <c r="H17" s="4020"/>
      <c r="I17" s="4020"/>
      <c r="J17" s="4020"/>
      <c r="K17" s="4020"/>
      <c r="L17" s="4020"/>
      <c r="M17" s="4020"/>
    </row>
    <row r="18" spans="1:13" ht="165" customHeight="1">
      <c r="A18" s="802" t="s">
        <v>1447</v>
      </c>
      <c r="B18" s="4020" t="s">
        <v>2985</v>
      </c>
      <c r="C18" s="4020"/>
      <c r="D18" s="4020"/>
      <c r="E18" s="4020"/>
      <c r="F18" s="4020"/>
      <c r="G18" s="4020"/>
      <c r="H18" s="4020"/>
      <c r="I18" s="4020"/>
      <c r="J18" s="4020"/>
      <c r="K18" s="4020"/>
      <c r="L18" s="4020"/>
      <c r="M18" s="4020"/>
    </row>
    <row r="19" spans="1:13" ht="48.75" customHeight="1">
      <c r="A19" s="802" t="s">
        <v>93</v>
      </c>
      <c r="B19" s="4016" t="s">
        <v>3108</v>
      </c>
      <c r="C19" s="4016"/>
      <c r="D19" s="4016"/>
      <c r="E19" s="4016"/>
      <c r="F19" s="4016"/>
      <c r="G19" s="4016"/>
      <c r="H19" s="4016"/>
      <c r="I19" s="4016"/>
      <c r="J19" s="4016"/>
      <c r="K19" s="4016"/>
      <c r="L19" s="4016"/>
      <c r="M19" s="4016"/>
    </row>
    <row r="20" spans="1:13" ht="50.25" customHeight="1">
      <c r="A20" s="802" t="s">
        <v>480</v>
      </c>
      <c r="B20" s="4020" t="s">
        <v>2987</v>
      </c>
      <c r="C20" s="4020"/>
      <c r="D20" s="4020"/>
      <c r="E20" s="4020"/>
      <c r="F20" s="4020"/>
      <c r="G20" s="4020"/>
      <c r="H20" s="4020"/>
      <c r="I20" s="4020"/>
      <c r="J20" s="4020"/>
      <c r="K20" s="4020"/>
      <c r="L20" s="4020"/>
      <c r="M20" s="4020"/>
    </row>
    <row r="21" spans="1:13" ht="31.5" customHeight="1">
      <c r="A21" s="802" t="s">
        <v>481</v>
      </c>
      <c r="B21" s="4020" t="s">
        <v>3004</v>
      </c>
      <c r="C21" s="4020"/>
      <c r="D21" s="4020"/>
      <c r="E21" s="4020"/>
      <c r="F21" s="4020"/>
      <c r="G21" s="4020"/>
      <c r="H21" s="4020"/>
      <c r="I21" s="4020"/>
      <c r="J21" s="4020"/>
      <c r="K21" s="4020"/>
      <c r="L21" s="4020"/>
      <c r="M21" s="4020"/>
    </row>
    <row r="22" spans="1:13" ht="1.5" customHeight="1">
      <c r="A22" s="4018"/>
      <c r="B22" s="4018"/>
      <c r="C22" s="4018"/>
      <c r="D22" s="4018"/>
      <c r="E22" s="4018"/>
      <c r="F22" s="4018"/>
      <c r="G22" s="4018"/>
      <c r="H22" s="4018"/>
      <c r="I22" s="4018"/>
      <c r="J22" s="4018"/>
      <c r="K22" s="4018"/>
      <c r="L22" s="4018"/>
      <c r="M22" s="4018"/>
    </row>
    <row r="23" spans="1:13" ht="3" customHeight="1">
      <c r="A23" s="4018"/>
      <c r="B23" s="4018"/>
      <c r="C23" s="4018"/>
      <c r="D23" s="4018"/>
      <c r="E23" s="4018"/>
      <c r="F23" s="4018"/>
      <c r="G23" s="4018"/>
      <c r="H23" s="4018"/>
      <c r="I23" s="4018"/>
      <c r="J23" s="4018"/>
      <c r="K23" s="4018"/>
      <c r="L23" s="4018"/>
      <c r="M23" s="4018"/>
    </row>
    <row r="24" spans="1:13" ht="13.5" customHeight="1">
      <c r="A24" s="4018" t="s">
        <v>1372</v>
      </c>
      <c r="B24" s="4018"/>
      <c r="C24" s="4018"/>
      <c r="D24" s="4018"/>
      <c r="E24" s="4018"/>
      <c r="F24" s="4018"/>
      <c r="G24" s="4018"/>
      <c r="H24" s="4018"/>
      <c r="I24" s="4018"/>
      <c r="J24" s="4018"/>
      <c r="K24" s="4018"/>
      <c r="L24" s="4018"/>
      <c r="M24" s="4018"/>
    </row>
    <row r="25" spans="1:13" ht="32.25" customHeight="1">
      <c r="A25" s="802" t="s">
        <v>1373</v>
      </c>
      <c r="B25" s="4020" t="s">
        <v>3005</v>
      </c>
      <c r="C25" s="4020"/>
      <c r="D25" s="4020"/>
      <c r="E25" s="4020"/>
      <c r="F25" s="4020"/>
      <c r="G25" s="4020"/>
      <c r="H25" s="4020"/>
      <c r="I25" s="4020"/>
      <c r="J25" s="4020"/>
      <c r="K25" s="4020"/>
      <c r="L25" s="4020"/>
      <c r="M25" s="4020"/>
    </row>
    <row r="26" spans="1:13" ht="31.5" customHeight="1">
      <c r="A26" s="802" t="s">
        <v>1373</v>
      </c>
      <c r="B26" s="4020" t="s">
        <v>3006</v>
      </c>
      <c r="C26" s="4020"/>
      <c r="D26" s="4020"/>
      <c r="E26" s="4020"/>
      <c r="F26" s="4020"/>
      <c r="G26" s="4020"/>
      <c r="H26" s="4020"/>
      <c r="I26" s="4020"/>
      <c r="J26" s="4020"/>
      <c r="K26" s="4020"/>
      <c r="L26" s="4020"/>
      <c r="M26" s="4020"/>
    </row>
    <row r="27" spans="1:13" ht="78.75" customHeight="1">
      <c r="A27" s="802" t="s">
        <v>1373</v>
      </c>
      <c r="B27" s="4020" t="s">
        <v>2475</v>
      </c>
      <c r="C27" s="4020"/>
      <c r="D27" s="4020"/>
      <c r="E27" s="4020"/>
      <c r="F27" s="4020"/>
      <c r="G27" s="4020"/>
      <c r="H27" s="4020"/>
      <c r="I27" s="4020"/>
      <c r="J27" s="4020"/>
      <c r="K27" s="4020"/>
      <c r="L27" s="4020"/>
      <c r="M27" s="4020"/>
    </row>
    <row r="28" spans="1:13" ht="7.5" customHeight="1">
      <c r="A28" s="4018"/>
      <c r="B28" s="4018"/>
      <c r="C28" s="4018"/>
      <c r="D28" s="4018"/>
      <c r="E28" s="4018"/>
      <c r="F28" s="4018"/>
      <c r="G28" s="4018"/>
      <c r="H28" s="4018"/>
      <c r="I28" s="4018"/>
      <c r="J28" s="4018"/>
      <c r="K28" s="4018"/>
      <c r="L28" s="4018"/>
      <c r="M28" s="4018"/>
    </row>
    <row r="29" spans="1:13" ht="43.5" customHeight="1">
      <c r="A29" s="4020" t="s">
        <v>886</v>
      </c>
      <c r="B29" s="4020"/>
      <c r="C29" s="4020"/>
      <c r="D29" s="4020"/>
      <c r="E29" s="4020"/>
      <c r="F29" s="4020"/>
      <c r="G29" s="4020"/>
      <c r="H29" s="4020"/>
      <c r="I29" s="4020"/>
      <c r="J29" s="4020"/>
      <c r="K29" s="4020"/>
      <c r="L29" s="4020"/>
      <c r="M29" s="4020"/>
    </row>
    <row r="30" spans="1:13" ht="3" customHeight="1">
      <c r="A30" s="4018"/>
      <c r="B30" s="4018"/>
      <c r="C30" s="4018"/>
      <c r="D30" s="4018"/>
      <c r="E30" s="4018"/>
      <c r="F30" s="4018"/>
      <c r="G30" s="4018"/>
      <c r="H30" s="4018"/>
      <c r="I30" s="4018"/>
      <c r="J30" s="4018"/>
      <c r="K30" s="4018"/>
      <c r="L30" s="4018"/>
      <c r="M30" s="4018"/>
    </row>
    <row r="31" spans="1:13" ht="32.25" customHeight="1">
      <c r="A31" s="4020" t="s">
        <v>2476</v>
      </c>
      <c r="B31" s="4020"/>
      <c r="C31" s="4020"/>
      <c r="D31" s="4020"/>
      <c r="E31" s="4020"/>
      <c r="F31" s="4020"/>
      <c r="G31" s="4020"/>
      <c r="H31" s="4020"/>
      <c r="I31" s="4020"/>
      <c r="J31" s="4020"/>
      <c r="K31" s="4020"/>
      <c r="L31" s="4020"/>
      <c r="M31" s="4020"/>
    </row>
    <row r="32" spans="1:13" ht="4.5" customHeight="1">
      <c r="A32" s="4018"/>
      <c r="B32" s="4018"/>
      <c r="C32" s="4018"/>
      <c r="D32" s="4018"/>
      <c r="E32" s="4018"/>
      <c r="F32" s="4018"/>
      <c r="G32" s="4018"/>
      <c r="H32" s="4018"/>
      <c r="I32" s="4018"/>
      <c r="J32" s="4018"/>
      <c r="K32" s="4018"/>
      <c r="L32" s="4018"/>
      <c r="M32" s="4018"/>
    </row>
    <row r="33" spans="1:13">
      <c r="A33" s="4018" t="s">
        <v>863</v>
      </c>
      <c r="B33" s="4018"/>
      <c r="C33" s="4018"/>
      <c r="D33" s="4018"/>
      <c r="E33" s="4018"/>
      <c r="F33" s="4018"/>
      <c r="G33" s="4018"/>
      <c r="H33" s="4018"/>
      <c r="I33" s="4018"/>
      <c r="J33" s="4018"/>
      <c r="K33" s="4018"/>
      <c r="L33" s="4018"/>
      <c r="M33" s="4018"/>
    </row>
    <row r="34" spans="1:13" ht="6" customHeight="1">
      <c r="A34" s="822"/>
      <c r="B34" s="822"/>
      <c r="C34" s="822"/>
      <c r="D34" s="822"/>
      <c r="E34" s="822"/>
      <c r="F34" s="822"/>
      <c r="G34" s="822"/>
      <c r="H34" s="822"/>
      <c r="I34" s="822"/>
      <c r="J34" s="822"/>
      <c r="K34" s="822"/>
      <c r="L34" s="822"/>
      <c r="M34" s="822"/>
    </row>
    <row r="35" spans="1:13">
      <c r="A35" s="4021"/>
      <c r="B35" s="4021"/>
      <c r="C35" s="4021"/>
      <c r="D35" s="4021"/>
      <c r="E35" s="4021"/>
      <c r="F35" s="4021"/>
      <c r="G35" s="800"/>
      <c r="H35" s="4021"/>
      <c r="I35" s="4021"/>
      <c r="J35" s="4021"/>
      <c r="K35" s="4021"/>
      <c r="L35" s="4021"/>
      <c r="M35" s="4021"/>
    </row>
    <row r="36" spans="1:13" ht="12" customHeight="1">
      <c r="A36" s="4022" t="s">
        <v>864</v>
      </c>
      <c r="B36" s="4022"/>
      <c r="C36" s="4022"/>
      <c r="D36" s="4022"/>
      <c r="E36" s="4022"/>
      <c r="F36" s="4022"/>
      <c r="G36" s="800"/>
      <c r="H36" s="4022" t="s">
        <v>1834</v>
      </c>
      <c r="I36" s="4022"/>
      <c r="J36" s="4022"/>
      <c r="K36" s="4022"/>
      <c r="L36" s="4022"/>
      <c r="M36" s="4022"/>
    </row>
    <row r="37" spans="1:13" ht="6" customHeight="1">
      <c r="A37" s="800"/>
      <c r="B37" s="800"/>
      <c r="C37" s="800"/>
      <c r="D37" s="800"/>
      <c r="E37" s="800"/>
      <c r="F37" s="800"/>
      <c r="G37" s="800"/>
      <c r="H37" s="800"/>
      <c r="I37" s="800"/>
      <c r="J37" s="800"/>
      <c r="K37" s="800"/>
      <c r="L37" s="800"/>
      <c r="M37" s="800"/>
    </row>
    <row r="38" spans="1:13">
      <c r="A38" s="4023"/>
      <c r="B38" s="4023"/>
      <c r="C38" s="4023"/>
      <c r="D38" s="4023"/>
      <c r="E38" s="4023"/>
      <c r="F38" s="4023"/>
      <c r="G38" s="800"/>
      <c r="H38" s="4024"/>
      <c r="I38" s="4024"/>
      <c r="J38" s="4024"/>
      <c r="K38" s="4024"/>
      <c r="L38" s="4024"/>
      <c r="M38" s="4024"/>
    </row>
    <row r="39" spans="1:13" ht="12" customHeight="1">
      <c r="A39" s="4022" t="s">
        <v>865</v>
      </c>
      <c r="B39" s="4022"/>
      <c r="C39" s="4022"/>
      <c r="D39" s="4022"/>
      <c r="E39" s="4022"/>
      <c r="F39" s="4022"/>
      <c r="G39" s="800"/>
      <c r="H39" s="4022" t="s">
        <v>866</v>
      </c>
      <c r="I39" s="4022"/>
      <c r="J39" s="4022"/>
      <c r="K39" s="4022"/>
      <c r="L39" s="4022"/>
      <c r="M39" s="4022"/>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25" t="s">
        <v>867</v>
      </c>
      <c r="I41" s="4025"/>
      <c r="J41" s="4025"/>
      <c r="K41" s="4025"/>
      <c r="L41" s="4025"/>
      <c r="M41" s="4025"/>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6953125" defaultRowHeight="14"/>
  <cols>
    <col min="1" max="1" width="5.453125" style="1264" customWidth="1"/>
    <col min="2" max="2" width="6.26953125" style="1264" customWidth="1"/>
    <col min="3" max="3" width="9.7265625" style="1264" customWidth="1"/>
    <col min="4" max="4" width="10.453125" style="1264" customWidth="1"/>
    <col min="5" max="5" width="7.7265625" style="1268" customWidth="1"/>
    <col min="6" max="6" width="8" style="1264" customWidth="1"/>
    <col min="7" max="7" width="8.7265625" style="1264" customWidth="1"/>
    <col min="8" max="8" width="10.26953125" style="1264" customWidth="1"/>
    <col min="9" max="9" width="10.7265625" style="1264" customWidth="1"/>
    <col min="10" max="11" width="11.7265625" style="1264" customWidth="1"/>
    <col min="12" max="16384" width="9.26953125" style="1264"/>
  </cols>
  <sheetData>
    <row r="1" spans="1:11" ht="18">
      <c r="A1" s="1311" t="s">
        <v>3841</v>
      </c>
      <c r="B1" s="1311"/>
      <c r="C1" s="1311"/>
      <c r="D1" s="1311"/>
      <c r="E1" s="1311"/>
      <c r="F1" s="1311"/>
      <c r="G1" s="1311"/>
      <c r="H1" s="1311"/>
    </row>
    <row r="2" spans="1:11" ht="18.5" thickBot="1">
      <c r="A2" s="1311" t="s">
        <v>3842</v>
      </c>
      <c r="B2" s="1311"/>
      <c r="C2" s="1311"/>
      <c r="D2" s="1311"/>
      <c r="E2" s="1311"/>
      <c r="F2" s="1311"/>
      <c r="G2" s="1311"/>
      <c r="H2" s="1311"/>
    </row>
    <row r="3" spans="1:11" ht="15" customHeight="1" thickBot="1">
      <c r="A3" s="1265" t="s">
        <v>3843</v>
      </c>
      <c r="B3" s="1266"/>
      <c r="C3" s="1267"/>
      <c r="D3" s="4085">
        <f>'Part I-Project Identification'!F26</f>
        <v>0</v>
      </c>
      <c r="E3" s="4086"/>
      <c r="F3" s="4086"/>
      <c r="G3" s="4086"/>
      <c r="H3" s="4086"/>
      <c r="I3" s="4086"/>
      <c r="J3" s="4087" t="s">
        <v>4072</v>
      </c>
      <c r="K3" s="4088"/>
    </row>
    <row r="4" spans="1:11" ht="15" customHeight="1">
      <c r="A4" s="1269" t="s">
        <v>3844</v>
      </c>
      <c r="B4" s="1270"/>
      <c r="C4" s="1271"/>
      <c r="D4" s="4089"/>
      <c r="E4" s="4090"/>
      <c r="F4" s="4090"/>
      <c r="G4" s="4090"/>
      <c r="H4" s="4090"/>
      <c r="I4" s="4090"/>
      <c r="J4" s="4091" t="s">
        <v>3885</v>
      </c>
      <c r="K4" s="4092"/>
    </row>
    <row r="5" spans="1:11" ht="15" customHeight="1" thickBot="1">
      <c r="A5" s="1272" t="s">
        <v>3845</v>
      </c>
      <c r="B5" s="1273"/>
      <c r="C5" s="1274"/>
      <c r="D5" s="4095"/>
      <c r="E5" s="4096"/>
      <c r="F5" s="4096"/>
      <c r="G5" s="4096"/>
      <c r="H5" s="4096"/>
      <c r="I5" s="4096"/>
      <c r="J5" s="4093"/>
      <c r="K5" s="4094"/>
    </row>
    <row r="6" spans="1:11" ht="9" customHeight="1" thickBot="1">
      <c r="E6" s="1264"/>
    </row>
    <row r="7" spans="1:11">
      <c r="A7" s="4079" t="s">
        <v>3847</v>
      </c>
      <c r="B7" s="4080"/>
      <c r="C7" s="4080"/>
      <c r="D7" s="4080"/>
      <c r="E7" s="4080"/>
      <c r="F7" s="4080"/>
      <c r="G7" s="4080"/>
      <c r="H7" s="4080"/>
      <c r="I7" s="4080"/>
      <c r="J7" s="4080"/>
      <c r="K7" s="4081"/>
    </row>
    <row r="8" spans="1:11" ht="14.25" customHeight="1">
      <c r="A8" s="1270"/>
      <c r="B8" s="1270"/>
      <c r="C8" s="1482">
        <v>1</v>
      </c>
      <c r="D8" s="1289" t="s">
        <v>3848</v>
      </c>
      <c r="E8" s="1289"/>
      <c r="F8" s="1289"/>
      <c r="G8" s="1289"/>
      <c r="H8" s="1289"/>
      <c r="I8" s="1289"/>
      <c r="J8" s="4099"/>
      <c r="K8" s="4100"/>
    </row>
    <row r="9" spans="1:11" ht="7.15" customHeight="1">
      <c r="A9" s="4075"/>
      <c r="B9" s="4075"/>
      <c r="C9" s="4075"/>
      <c r="D9" s="4076"/>
      <c r="E9" s="4076"/>
      <c r="F9" s="4076"/>
      <c r="G9" s="4076"/>
      <c r="H9" s="4076"/>
      <c r="I9" s="4076"/>
      <c r="J9" s="4076"/>
      <c r="K9" s="1290"/>
    </row>
    <row r="10" spans="1:11">
      <c r="A10" s="4101" t="s">
        <v>3849</v>
      </c>
      <c r="B10" s="4102"/>
      <c r="C10" s="4102"/>
      <c r="D10" s="4102"/>
      <c r="E10" s="4102"/>
      <c r="F10" s="4102"/>
      <c r="G10" s="4102"/>
      <c r="H10" s="4102"/>
      <c r="I10" s="4102"/>
      <c r="J10" s="4102"/>
      <c r="K10" s="4103"/>
    </row>
    <row r="11" spans="1:11" ht="14.25" customHeight="1">
      <c r="A11" s="1270"/>
      <c r="B11" s="1270"/>
      <c r="C11" s="1482">
        <v>2</v>
      </c>
      <c r="D11" s="1289" t="s">
        <v>3850</v>
      </c>
      <c r="E11" s="1291"/>
      <c r="F11" s="1291"/>
      <c r="G11" s="1291"/>
      <c r="H11" s="1291"/>
      <c r="I11" s="1291"/>
      <c r="J11" s="4104"/>
      <c r="K11" s="4105"/>
    </row>
    <row r="12" spans="1:11" ht="7.15" customHeight="1">
      <c r="A12" s="4075"/>
      <c r="B12" s="4075"/>
      <c r="C12" s="4075"/>
      <c r="D12" s="4076"/>
      <c r="E12" s="4076"/>
      <c r="F12" s="4076"/>
      <c r="G12" s="4076"/>
      <c r="H12" s="4076"/>
      <c r="I12" s="4076"/>
      <c r="J12" s="4076"/>
      <c r="K12" s="1292"/>
    </row>
    <row r="13" spans="1:11">
      <c r="A13" s="4101" t="s">
        <v>3851</v>
      </c>
      <c r="B13" s="4102"/>
      <c r="C13" s="4102"/>
      <c r="D13" s="4102"/>
      <c r="E13" s="4102"/>
      <c r="F13" s="4102"/>
      <c r="G13" s="4102"/>
      <c r="H13" s="4102"/>
      <c r="I13" s="4102"/>
      <c r="J13" s="4102"/>
      <c r="K13" s="4103"/>
    </row>
    <row r="14" spans="1:11" ht="14.25" customHeight="1">
      <c r="A14" s="1270"/>
      <c r="B14" s="1270"/>
      <c r="C14" s="1483">
        <v>3</v>
      </c>
      <c r="D14" s="1293" t="s">
        <v>3852</v>
      </c>
      <c r="E14" s="1293"/>
      <c r="F14" s="1293"/>
      <c r="G14" s="1293"/>
      <c r="H14" s="1293"/>
      <c r="I14" s="1293"/>
      <c r="J14" s="4106"/>
      <c r="K14" s="4107"/>
    </row>
    <row r="15" spans="1:11" ht="14.25" customHeight="1">
      <c r="A15" s="1270"/>
      <c r="B15" s="1270"/>
      <c r="C15" s="1484">
        <v>4</v>
      </c>
      <c r="D15" s="1270" t="s">
        <v>3853</v>
      </c>
      <c r="E15" s="1270"/>
      <c r="F15" s="1270"/>
      <c r="G15" s="1270"/>
      <c r="H15" s="1270"/>
      <c r="I15" s="1270"/>
      <c r="J15" s="4071"/>
      <c r="K15" s="4072"/>
    </row>
    <row r="16" spans="1:11" ht="14.25" customHeight="1">
      <c r="A16" s="1270"/>
      <c r="B16" s="1270"/>
      <c r="C16" s="1484">
        <v>5</v>
      </c>
      <c r="D16" s="1270" t="s">
        <v>3854</v>
      </c>
      <c r="E16" s="1270"/>
      <c r="F16" s="1270"/>
      <c r="G16" s="1270"/>
      <c r="H16" s="1270"/>
      <c r="I16" s="1270"/>
      <c r="J16" s="4071"/>
      <c r="K16" s="4072"/>
    </row>
    <row r="17" spans="1:13" ht="14.25" customHeight="1">
      <c r="A17" s="1270"/>
      <c r="B17" s="1270"/>
      <c r="C17" s="1485">
        <v>6</v>
      </c>
      <c r="D17" s="1273" t="s">
        <v>3855</v>
      </c>
      <c r="E17" s="1273"/>
      <c r="F17" s="1273"/>
      <c r="G17" s="1273"/>
      <c r="H17" s="1273"/>
      <c r="I17" s="1273"/>
      <c r="J17" s="4073"/>
      <c r="K17" s="4074"/>
    </row>
    <row r="18" spans="1:13" ht="7.15" customHeight="1">
      <c r="A18" s="4075"/>
      <c r="B18" s="4075"/>
      <c r="C18" s="4075"/>
      <c r="D18" s="4076"/>
      <c r="E18" s="4076"/>
      <c r="F18" s="4076"/>
      <c r="G18" s="4076"/>
      <c r="H18" s="4076"/>
      <c r="I18" s="4076"/>
      <c r="J18" s="4076"/>
      <c r="K18" s="1292"/>
    </row>
    <row r="19" spans="1:13" ht="14.25" customHeight="1">
      <c r="A19" s="1270"/>
      <c r="B19" s="1270"/>
      <c r="C19" s="1483">
        <v>7</v>
      </c>
      <c r="D19" s="1293" t="s">
        <v>3856</v>
      </c>
      <c r="E19" s="1293"/>
      <c r="F19" s="1293"/>
      <c r="G19" s="1293"/>
      <c r="H19" s="1293"/>
      <c r="I19" s="1293"/>
      <c r="J19" s="4097" t="str">
        <f>IF(J17="No",J14-J15,IF(J17="Yes",J14-J15-J16,"Error"))</f>
        <v>Error</v>
      </c>
      <c r="K19" s="4098"/>
    </row>
    <row r="20" spans="1:13" ht="14.25" customHeight="1">
      <c r="A20" s="1270"/>
      <c r="B20" s="1270"/>
      <c r="C20" s="1485">
        <v>8</v>
      </c>
      <c r="D20" s="1273" t="s">
        <v>3857</v>
      </c>
      <c r="E20" s="1273"/>
      <c r="F20" s="1273"/>
      <c r="G20" s="1273"/>
      <c r="H20" s="1273"/>
      <c r="I20" s="1273"/>
      <c r="J20" s="4077" t="e">
        <f>ROUNDDOWN(J19/J8,2)</f>
        <v>#VALUE!</v>
      </c>
      <c r="K20" s="4078"/>
    </row>
    <row r="21" spans="1:13" ht="7.15" customHeight="1">
      <c r="A21" s="4075"/>
      <c r="B21" s="4075"/>
      <c r="C21" s="4075"/>
      <c r="D21" s="4076"/>
      <c r="E21" s="4076"/>
      <c r="F21" s="4076"/>
      <c r="G21" s="4076"/>
      <c r="H21" s="4076"/>
      <c r="I21" s="4076"/>
      <c r="J21" s="4076"/>
      <c r="K21" s="1292"/>
    </row>
    <row r="22" spans="1:13" ht="14.25" customHeight="1" thickBot="1">
      <c r="A22" s="1270"/>
      <c r="B22" s="1270"/>
      <c r="C22" s="1482">
        <v>9</v>
      </c>
      <c r="D22" s="1294" t="s">
        <v>3858</v>
      </c>
      <c r="E22" s="1294"/>
      <c r="F22" s="1294"/>
      <c r="G22" s="1294"/>
      <c r="H22" s="1294"/>
      <c r="I22" s="1294"/>
      <c r="J22" s="4060" t="e">
        <f>J11/J19</f>
        <v>#VALUE!</v>
      </c>
      <c r="K22" s="4061"/>
    </row>
    <row r="23" spans="1:13" ht="9" customHeight="1">
      <c r="A23" s="1279"/>
      <c r="C23" s="1280"/>
      <c r="D23" s="1280"/>
      <c r="E23" s="1280"/>
      <c r="F23" s="1280"/>
      <c r="G23" s="1280"/>
      <c r="H23" s="1280"/>
      <c r="I23" s="1280"/>
      <c r="J23" s="1280"/>
      <c r="K23" s="1281"/>
    </row>
    <row r="24" spans="1:13" ht="18">
      <c r="A24" s="1282" t="s">
        <v>3859</v>
      </c>
      <c r="C24" s="1280"/>
      <c r="D24" s="1280"/>
      <c r="E24" s="1280"/>
      <c r="F24" s="1280"/>
      <c r="G24" s="1280"/>
      <c r="H24" s="1280"/>
      <c r="I24" s="1280"/>
      <c r="J24" s="1280"/>
      <c r="K24" s="1281"/>
    </row>
    <row r="25" spans="1:13" ht="14.25" customHeight="1">
      <c r="A25" s="1334" t="s">
        <v>3890</v>
      </c>
      <c r="C25" s="1280"/>
      <c r="D25" s="1280"/>
      <c r="E25" s="1280"/>
      <c r="F25" s="1280"/>
      <c r="G25" s="1280"/>
      <c r="H25" s="1280"/>
      <c r="I25" s="1280"/>
      <c r="J25" s="1280"/>
      <c r="K25" s="1281"/>
    </row>
    <row r="26" spans="1:13" ht="14.25" customHeight="1">
      <c r="A26" s="1334" t="s">
        <v>3891</v>
      </c>
      <c r="C26" s="1280"/>
      <c r="D26" s="1280"/>
      <c r="E26" s="1280"/>
      <c r="F26" s="1280"/>
      <c r="G26" s="1280"/>
      <c r="H26" s="1280"/>
      <c r="I26" s="1280"/>
      <c r="J26" s="1280"/>
      <c r="K26" s="1281"/>
    </row>
    <row r="27" spans="1:13" ht="14.25" customHeight="1">
      <c r="A27" s="1334" t="s">
        <v>3892</v>
      </c>
      <c r="C27" s="1280"/>
      <c r="D27" s="1280"/>
      <c r="E27" s="1280"/>
      <c r="F27" s="1280"/>
      <c r="G27" s="1280"/>
      <c r="H27" s="1280"/>
      <c r="I27" s="1280"/>
      <c r="J27" s="1280"/>
      <c r="K27" s="1281"/>
    </row>
    <row r="28" spans="1:13" ht="14.25" customHeight="1">
      <c r="A28" s="1334" t="s">
        <v>3893</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62" t="s">
        <v>3889</v>
      </c>
      <c r="B30" s="4063"/>
      <c r="C30" s="4063"/>
      <c r="D30" s="4063"/>
      <c r="E30" s="4063"/>
      <c r="F30" s="4063"/>
      <c r="G30" s="4063"/>
      <c r="H30" s="4063"/>
      <c r="I30" s="4063"/>
      <c r="J30" s="4063"/>
      <c r="K30" s="4064"/>
    </row>
    <row r="31" spans="1:13">
      <c r="B31" s="4065" t="s">
        <v>4072</v>
      </c>
      <c r="C31" s="4065"/>
      <c r="D31" s="4065"/>
      <c r="E31" s="4065"/>
      <c r="F31" s="4065"/>
      <c r="G31" s="4066" t="s">
        <v>3860</v>
      </c>
      <c r="H31" s="4067"/>
      <c r="I31" s="4067"/>
      <c r="J31" s="4067"/>
      <c r="K31" s="4068"/>
    </row>
    <row r="32" spans="1:13" ht="56.25" customHeight="1">
      <c r="A32" s="1288"/>
      <c r="B32" s="1306" t="s">
        <v>3888</v>
      </c>
      <c r="C32" s="1307" t="s">
        <v>3884</v>
      </c>
      <c r="D32" s="1307" t="s">
        <v>3883</v>
      </c>
      <c r="E32" s="4069" t="s">
        <v>4004</v>
      </c>
      <c r="F32" s="4070"/>
      <c r="G32" s="1308" t="s">
        <v>3861</v>
      </c>
      <c r="H32" s="1308" t="s">
        <v>3862</v>
      </c>
      <c r="J32" s="1308" t="s">
        <v>3863</v>
      </c>
      <c r="K32" s="1308" t="s">
        <v>3864</v>
      </c>
      <c r="L32" s="4055" t="s">
        <v>3865</v>
      </c>
      <c r="M32" s="4055"/>
    </row>
    <row r="33" spans="2:14" ht="12.75" customHeight="1">
      <c r="B33" s="1473"/>
      <c r="C33" s="1474"/>
      <c r="D33" s="1475"/>
      <c r="E33" s="4056"/>
      <c r="F33" s="4057"/>
      <c r="G33" s="1324" t="e">
        <f t="shared" ref="G33:G51" si="0">$J$22*B33</f>
        <v>#VALUE!</v>
      </c>
      <c r="H33" s="1325" t="e">
        <f>ROUNDUP(G33,0)</f>
        <v>#VALUE!</v>
      </c>
      <c r="I33" s="1326"/>
      <c r="J33" s="1327" t="e">
        <f t="shared" ref="J33:J51" si="1">$J$20*E33</f>
        <v>#VALUE!</v>
      </c>
      <c r="K33" s="1327" t="e">
        <f t="shared" ref="K33:K51" si="2">ROUNDDOWN(J33*H33,0)</f>
        <v>#VALUE!</v>
      </c>
      <c r="L33" s="4055"/>
      <c r="M33" s="4055"/>
    </row>
    <row r="34" spans="2:14" ht="12.75" customHeight="1">
      <c r="B34" s="1476"/>
      <c r="C34" s="1477"/>
      <c r="D34" s="1478"/>
      <c r="E34" s="4051"/>
      <c r="F34" s="4052"/>
      <c r="G34" s="1328" t="e">
        <f t="shared" si="0"/>
        <v>#VALUE!</v>
      </c>
      <c r="H34" s="1329" t="e">
        <f t="shared" ref="H34:H51" si="3">ROUNDUP(G34,0)</f>
        <v>#VALUE!</v>
      </c>
      <c r="I34" s="1326"/>
      <c r="J34" s="1330" t="e">
        <f t="shared" si="1"/>
        <v>#VALUE!</v>
      </c>
      <c r="K34" s="1330" t="e">
        <f t="shared" si="2"/>
        <v>#VALUE!</v>
      </c>
      <c r="L34" s="4055"/>
      <c r="M34" s="4055"/>
    </row>
    <row r="35" spans="2:14" ht="12.75" customHeight="1">
      <c r="B35" s="1476"/>
      <c r="C35" s="1477"/>
      <c r="D35" s="1478"/>
      <c r="E35" s="4051"/>
      <c r="F35" s="4052"/>
      <c r="G35" s="1328" t="e">
        <f t="shared" si="0"/>
        <v>#VALUE!</v>
      </c>
      <c r="H35" s="1329" t="e">
        <f t="shared" si="3"/>
        <v>#VALUE!</v>
      </c>
      <c r="I35" s="1326"/>
      <c r="J35" s="1330" t="e">
        <f t="shared" si="1"/>
        <v>#VALUE!</v>
      </c>
      <c r="K35" s="1330" t="e">
        <f t="shared" si="2"/>
        <v>#VALUE!</v>
      </c>
      <c r="L35" s="4055"/>
      <c r="M35" s="4055"/>
    </row>
    <row r="36" spans="2:14" ht="12.75" customHeight="1">
      <c r="B36" s="1476"/>
      <c r="C36" s="1477"/>
      <c r="D36" s="1478"/>
      <c r="E36" s="4051"/>
      <c r="F36" s="4052"/>
      <c r="G36" s="1328" t="e">
        <f t="shared" si="0"/>
        <v>#VALUE!</v>
      </c>
      <c r="H36" s="1329" t="e">
        <f t="shared" si="3"/>
        <v>#VALUE!</v>
      </c>
      <c r="I36" s="1326"/>
      <c r="J36" s="1330" t="e">
        <f t="shared" si="1"/>
        <v>#VALUE!</v>
      </c>
      <c r="K36" s="1330" t="e">
        <f t="shared" si="2"/>
        <v>#VALUE!</v>
      </c>
      <c r="L36" s="4055"/>
      <c r="M36" s="4055"/>
      <c r="N36" s="1283"/>
    </row>
    <row r="37" spans="2:14" ht="12.75" customHeight="1">
      <c r="B37" s="1476"/>
      <c r="C37" s="1477"/>
      <c r="D37" s="1478"/>
      <c r="E37" s="4051"/>
      <c r="F37" s="4052"/>
      <c r="G37" s="1328" t="e">
        <f t="shared" si="0"/>
        <v>#VALUE!</v>
      </c>
      <c r="H37" s="1329" t="e">
        <f t="shared" si="3"/>
        <v>#VALUE!</v>
      </c>
      <c r="I37" s="1326"/>
      <c r="J37" s="1330" t="e">
        <f t="shared" si="1"/>
        <v>#VALUE!</v>
      </c>
      <c r="K37" s="1330" t="e">
        <f t="shared" si="2"/>
        <v>#VALUE!</v>
      </c>
      <c r="L37" s="4055"/>
      <c r="M37" s="4055"/>
    </row>
    <row r="38" spans="2:14" ht="12.75" customHeight="1">
      <c r="B38" s="1476"/>
      <c r="C38" s="1477"/>
      <c r="D38" s="1478"/>
      <c r="E38" s="4051"/>
      <c r="F38" s="4052"/>
      <c r="G38" s="1328" t="e">
        <f t="shared" si="0"/>
        <v>#VALUE!</v>
      </c>
      <c r="H38" s="1329" t="e">
        <f t="shared" si="3"/>
        <v>#VALUE!</v>
      </c>
      <c r="I38" s="1326"/>
      <c r="J38" s="1330" t="e">
        <f t="shared" si="1"/>
        <v>#VALUE!</v>
      </c>
      <c r="K38" s="1330" t="e">
        <f t="shared" si="2"/>
        <v>#VALUE!</v>
      </c>
      <c r="L38" s="4055"/>
      <c r="M38" s="4055"/>
    </row>
    <row r="39" spans="2:14" ht="12.75" customHeight="1">
      <c r="B39" s="1476"/>
      <c r="C39" s="1477"/>
      <c r="D39" s="1478"/>
      <c r="E39" s="4051"/>
      <c r="F39" s="4052"/>
      <c r="G39" s="1328" t="e">
        <f t="shared" si="0"/>
        <v>#VALUE!</v>
      </c>
      <c r="H39" s="1329" t="e">
        <f t="shared" si="3"/>
        <v>#VALUE!</v>
      </c>
      <c r="I39" s="1326"/>
      <c r="J39" s="1330" t="e">
        <f t="shared" si="1"/>
        <v>#VALUE!</v>
      </c>
      <c r="K39" s="1330" t="e">
        <f t="shared" si="2"/>
        <v>#VALUE!</v>
      </c>
      <c r="L39" s="4055"/>
      <c r="M39" s="4055"/>
    </row>
    <row r="40" spans="2:14" ht="12.75" customHeight="1">
      <c r="B40" s="1476"/>
      <c r="C40" s="1477"/>
      <c r="D40" s="1478"/>
      <c r="E40" s="4051"/>
      <c r="F40" s="4052"/>
      <c r="G40" s="1328" t="e">
        <f t="shared" si="0"/>
        <v>#VALUE!</v>
      </c>
      <c r="H40" s="1329" t="e">
        <f t="shared" si="3"/>
        <v>#VALUE!</v>
      </c>
      <c r="I40" s="1326"/>
      <c r="J40" s="1330" t="e">
        <f t="shared" si="1"/>
        <v>#VALUE!</v>
      </c>
      <c r="K40" s="1330" t="e">
        <f t="shared" si="2"/>
        <v>#VALUE!</v>
      </c>
      <c r="L40" s="4055"/>
      <c r="M40" s="4055"/>
    </row>
    <row r="41" spans="2:14" ht="12.75" customHeight="1">
      <c r="B41" s="1476"/>
      <c r="C41" s="1477"/>
      <c r="D41" s="1478"/>
      <c r="E41" s="4051"/>
      <c r="F41" s="4052"/>
      <c r="G41" s="1328" t="e">
        <f t="shared" si="0"/>
        <v>#VALUE!</v>
      </c>
      <c r="H41" s="1329" t="e">
        <f t="shared" si="3"/>
        <v>#VALUE!</v>
      </c>
      <c r="I41" s="1326"/>
      <c r="J41" s="1330" t="e">
        <f t="shared" si="1"/>
        <v>#VALUE!</v>
      </c>
      <c r="K41" s="1330" t="e">
        <f t="shared" si="2"/>
        <v>#VALUE!</v>
      </c>
      <c r="L41" s="4055"/>
      <c r="M41" s="4055"/>
    </row>
    <row r="42" spans="2:14" ht="12.75" customHeight="1">
      <c r="B42" s="1476"/>
      <c r="C42" s="1477"/>
      <c r="D42" s="1478"/>
      <c r="E42" s="4051"/>
      <c r="F42" s="4052"/>
      <c r="G42" s="1328" t="e">
        <f t="shared" si="0"/>
        <v>#VALUE!</v>
      </c>
      <c r="H42" s="1329" t="e">
        <f t="shared" si="3"/>
        <v>#VALUE!</v>
      </c>
      <c r="I42" s="1326"/>
      <c r="J42" s="1330" t="e">
        <f t="shared" si="1"/>
        <v>#VALUE!</v>
      </c>
      <c r="K42" s="1330" t="e">
        <f t="shared" si="2"/>
        <v>#VALUE!</v>
      </c>
      <c r="L42" s="4055"/>
      <c r="M42" s="4055"/>
    </row>
    <row r="43" spans="2:14" ht="12.75" customHeight="1">
      <c r="B43" s="1476"/>
      <c r="C43" s="1477"/>
      <c r="D43" s="1478"/>
      <c r="E43" s="4051"/>
      <c r="F43" s="4052"/>
      <c r="G43" s="1328" t="e">
        <f t="shared" si="0"/>
        <v>#VALUE!</v>
      </c>
      <c r="H43" s="1329" t="e">
        <f t="shared" si="3"/>
        <v>#VALUE!</v>
      </c>
      <c r="I43" s="1326"/>
      <c r="J43" s="1330" t="e">
        <f t="shared" si="1"/>
        <v>#VALUE!</v>
      </c>
      <c r="K43" s="1330" t="e">
        <f t="shared" si="2"/>
        <v>#VALUE!</v>
      </c>
      <c r="L43" s="4055"/>
      <c r="M43" s="4055"/>
    </row>
    <row r="44" spans="2:14" ht="12.75" customHeight="1">
      <c r="B44" s="1476"/>
      <c r="C44" s="1477"/>
      <c r="D44" s="1478"/>
      <c r="E44" s="4051"/>
      <c r="F44" s="4052"/>
      <c r="G44" s="1328" t="e">
        <f t="shared" si="0"/>
        <v>#VALUE!</v>
      </c>
      <c r="H44" s="1329" t="e">
        <f t="shared" si="3"/>
        <v>#VALUE!</v>
      </c>
      <c r="I44" s="1326"/>
      <c r="J44" s="1330" t="e">
        <f t="shared" si="1"/>
        <v>#VALUE!</v>
      </c>
      <c r="K44" s="1330" t="e">
        <f t="shared" si="2"/>
        <v>#VALUE!</v>
      </c>
      <c r="L44" s="4055"/>
      <c r="M44" s="4055"/>
    </row>
    <row r="45" spans="2:14" ht="12.75" customHeight="1">
      <c r="B45" s="1476"/>
      <c r="C45" s="1477"/>
      <c r="D45" s="1478"/>
      <c r="E45" s="4051"/>
      <c r="F45" s="4052"/>
      <c r="G45" s="1328" t="e">
        <f t="shared" si="0"/>
        <v>#VALUE!</v>
      </c>
      <c r="H45" s="1329" t="e">
        <f t="shared" si="3"/>
        <v>#VALUE!</v>
      </c>
      <c r="I45" s="1326"/>
      <c r="J45" s="1330" t="e">
        <f t="shared" si="1"/>
        <v>#VALUE!</v>
      </c>
      <c r="K45" s="1330" t="e">
        <f t="shared" si="2"/>
        <v>#VALUE!</v>
      </c>
      <c r="L45" s="4055"/>
      <c r="M45" s="4055"/>
    </row>
    <row r="46" spans="2:14" ht="12.75" customHeight="1">
      <c r="B46" s="1476"/>
      <c r="C46" s="1477"/>
      <c r="D46" s="1478"/>
      <c r="E46" s="4051"/>
      <c r="F46" s="4052"/>
      <c r="G46" s="1328" t="e">
        <f t="shared" si="0"/>
        <v>#VALUE!</v>
      </c>
      <c r="H46" s="1329" t="e">
        <f t="shared" si="3"/>
        <v>#VALUE!</v>
      </c>
      <c r="I46" s="1326"/>
      <c r="J46" s="1330" t="e">
        <f t="shared" si="1"/>
        <v>#VALUE!</v>
      </c>
      <c r="K46" s="1330" t="e">
        <f t="shared" si="2"/>
        <v>#VALUE!</v>
      </c>
      <c r="L46" s="4055"/>
      <c r="M46" s="4055"/>
    </row>
    <row r="47" spans="2:14" ht="12.75" customHeight="1">
      <c r="B47" s="1476"/>
      <c r="C47" s="1477"/>
      <c r="D47" s="1478"/>
      <c r="E47" s="4051"/>
      <c r="F47" s="4052"/>
      <c r="G47" s="1328" t="e">
        <f t="shared" si="0"/>
        <v>#VALUE!</v>
      </c>
      <c r="H47" s="1329" t="e">
        <f t="shared" si="3"/>
        <v>#VALUE!</v>
      </c>
      <c r="I47" s="1326"/>
      <c r="J47" s="1330" t="e">
        <f t="shared" si="1"/>
        <v>#VALUE!</v>
      </c>
      <c r="K47" s="1330" t="e">
        <f t="shared" si="2"/>
        <v>#VALUE!</v>
      </c>
      <c r="L47" s="4055"/>
      <c r="M47" s="4055"/>
    </row>
    <row r="48" spans="2:14" ht="12.75" customHeight="1">
      <c r="B48" s="1476"/>
      <c r="C48" s="1477"/>
      <c r="D48" s="1478"/>
      <c r="E48" s="4051"/>
      <c r="F48" s="4052"/>
      <c r="G48" s="1328" t="e">
        <f t="shared" si="0"/>
        <v>#VALUE!</v>
      </c>
      <c r="H48" s="1329" t="e">
        <f t="shared" si="3"/>
        <v>#VALUE!</v>
      </c>
      <c r="I48" s="1326"/>
      <c r="J48" s="1330" t="e">
        <f t="shared" si="1"/>
        <v>#VALUE!</v>
      </c>
      <c r="K48" s="1330" t="e">
        <f t="shared" si="2"/>
        <v>#VALUE!</v>
      </c>
      <c r="L48" s="4055"/>
      <c r="M48" s="4055"/>
    </row>
    <row r="49" spans="1:13" ht="12.75" customHeight="1">
      <c r="B49" s="1476"/>
      <c r="C49" s="1477"/>
      <c r="D49" s="1478"/>
      <c r="E49" s="4051"/>
      <c r="F49" s="4052"/>
      <c r="G49" s="1328" t="e">
        <f t="shared" si="0"/>
        <v>#VALUE!</v>
      </c>
      <c r="H49" s="1329" t="e">
        <f t="shared" si="3"/>
        <v>#VALUE!</v>
      </c>
      <c r="I49" s="1326"/>
      <c r="J49" s="1330" t="e">
        <f t="shared" si="1"/>
        <v>#VALUE!</v>
      </c>
      <c r="K49" s="1330" t="e">
        <f t="shared" si="2"/>
        <v>#VALUE!</v>
      </c>
      <c r="L49" s="4055"/>
      <c r="M49" s="4055"/>
    </row>
    <row r="50" spans="1:13" ht="12.75" customHeight="1">
      <c r="B50" s="1476"/>
      <c r="C50" s="1477"/>
      <c r="D50" s="1478"/>
      <c r="E50" s="4051"/>
      <c r="F50" s="4052"/>
      <c r="G50" s="1328" t="e">
        <f t="shared" si="0"/>
        <v>#VALUE!</v>
      </c>
      <c r="H50" s="1329" t="e">
        <f t="shared" si="3"/>
        <v>#VALUE!</v>
      </c>
      <c r="I50" s="1326"/>
      <c r="J50" s="1330" t="e">
        <f t="shared" si="1"/>
        <v>#VALUE!</v>
      </c>
      <c r="K50" s="1330" t="e">
        <f t="shared" si="2"/>
        <v>#VALUE!</v>
      </c>
      <c r="L50" s="4055"/>
      <c r="M50" s="4055"/>
    </row>
    <row r="51" spans="1:13" ht="12.75" customHeight="1" thickBot="1">
      <c r="B51" s="1479"/>
      <c r="C51" s="1480"/>
      <c r="D51" s="1481"/>
      <c r="E51" s="4053"/>
      <c r="F51" s="4054"/>
      <c r="G51" s="1331" t="e">
        <f t="shared" si="0"/>
        <v>#VALUE!</v>
      </c>
      <c r="H51" s="1332" t="e">
        <f t="shared" si="3"/>
        <v>#VALUE!</v>
      </c>
      <c r="I51" s="1326"/>
      <c r="J51" s="1333" t="e">
        <f t="shared" si="1"/>
        <v>#VALUE!</v>
      </c>
      <c r="K51" s="1333" t="e">
        <f t="shared" si="2"/>
        <v>#VALUE!</v>
      </c>
      <c r="L51" s="4055"/>
      <c r="M51" s="4055"/>
    </row>
    <row r="52" spans="1:13" ht="15" customHeight="1" thickBot="1">
      <c r="B52" s="1299"/>
      <c r="D52" s="1293"/>
      <c r="E52" s="1293"/>
      <c r="F52" s="1293"/>
      <c r="G52" s="1310" t="s">
        <v>3866</v>
      </c>
      <c r="H52" s="1309" t="e">
        <f>SUM(H33:H51)</f>
        <v>#VALUE!</v>
      </c>
      <c r="I52" s="1293"/>
      <c r="J52" s="1299" t="s">
        <v>3867</v>
      </c>
      <c r="K52" s="1295" t="e">
        <f>SUM(K33:K51)</f>
        <v>#VALUE!</v>
      </c>
      <c r="L52" s="4055"/>
      <c r="M52" s="4055"/>
    </row>
    <row r="53" spans="1:13" ht="15" customHeight="1">
      <c r="B53" s="1300"/>
      <c r="C53" s="4058" t="s">
        <v>3868</v>
      </c>
      <c r="D53" s="4058"/>
      <c r="E53" s="4058"/>
      <c r="F53" s="4058"/>
      <c r="G53" s="4058"/>
      <c r="H53" s="4058"/>
      <c r="I53" s="4058"/>
      <c r="J53" s="4059"/>
      <c r="K53" s="1301" t="str">
        <f>IF(J17="no",0,IF(J17="yes",J16,"Error"))</f>
        <v>Error</v>
      </c>
      <c r="L53" s="4055"/>
      <c r="M53" s="4055"/>
    </row>
    <row r="54" spans="1:13" ht="15" customHeight="1" thickBot="1">
      <c r="B54" s="1300"/>
      <c r="C54" s="4039" t="s">
        <v>3869</v>
      </c>
      <c r="D54" s="4039"/>
      <c r="E54" s="4039"/>
      <c r="F54" s="4039"/>
      <c r="G54" s="4039"/>
      <c r="H54" s="4039"/>
      <c r="I54" s="4039"/>
      <c r="J54" s="4040"/>
      <c r="K54" s="1312" t="e">
        <f>K52+K53</f>
        <v>#VALUE!</v>
      </c>
    </row>
    <row r="55" spans="1:13" ht="7.9" customHeight="1">
      <c r="A55" s="4041"/>
      <c r="B55" s="4035"/>
      <c r="C55" s="4035"/>
      <c r="D55" s="4035"/>
      <c r="E55" s="4035"/>
      <c r="F55" s="4035"/>
      <c r="G55" s="4035"/>
      <c r="H55" s="4035"/>
      <c r="I55" s="4035"/>
      <c r="J55" s="4035"/>
      <c r="K55" s="1323"/>
    </row>
    <row r="56" spans="1:13" ht="15" customHeight="1">
      <c r="A56" s="4036" t="s">
        <v>3870</v>
      </c>
      <c r="B56" s="4037"/>
      <c r="C56" s="4037"/>
      <c r="D56" s="4037"/>
      <c r="E56" s="4037"/>
      <c r="F56" s="4037"/>
      <c r="G56" s="4037"/>
      <c r="H56" s="4037"/>
      <c r="I56" s="4037"/>
      <c r="J56" s="4037"/>
      <c r="K56" s="4038"/>
    </row>
    <row r="57" spans="1:13" ht="48" customHeight="1">
      <c r="A57" s="1285"/>
      <c r="B57" s="1276"/>
      <c r="C57" s="1287" t="s">
        <v>3871</v>
      </c>
      <c r="D57" s="1398" t="s">
        <v>3969</v>
      </c>
      <c r="E57" s="4042" t="s">
        <v>3887</v>
      </c>
      <c r="F57" s="4043"/>
      <c r="G57" s="4044" t="s">
        <v>3872</v>
      </c>
      <c r="H57" s="4045"/>
      <c r="I57" s="4042" t="s">
        <v>3886</v>
      </c>
      <c r="J57" s="4043"/>
      <c r="K57" s="4046"/>
      <c r="L57" s="4082" t="s">
        <v>5029</v>
      </c>
      <c r="M57" s="4083"/>
    </row>
    <row r="58" spans="1:13" ht="15" customHeight="1">
      <c r="A58" s="1388"/>
      <c r="B58" s="1318"/>
      <c r="C58" s="1296">
        <f>SUMIF(C33:C51, "0", H33:H51)</f>
        <v>0</v>
      </c>
      <c r="D58" s="1399">
        <f t="shared" ref="D58:D63" si="4">ROUNDUP(C58*1.1,0)</f>
        <v>0</v>
      </c>
      <c r="E58" s="4048" t="s">
        <v>3873</v>
      </c>
      <c r="F58" s="4049"/>
      <c r="G58" s="4029" t="e">
        <f>#REF!</f>
        <v>#REF!</v>
      </c>
      <c r="H58" s="4030"/>
      <c r="I58" s="4050" t="e">
        <f t="shared" ref="I58:I63" si="5">D58*G58</f>
        <v>#REF!</v>
      </c>
      <c r="J58" s="4050"/>
      <c r="K58" s="4047"/>
      <c r="L58" s="4084"/>
      <c r="M58" s="4083"/>
    </row>
    <row r="59" spans="1:13">
      <c r="A59" s="1388"/>
      <c r="B59" s="1318"/>
      <c r="C59" s="1297">
        <f>SUMIF(C33:C51, "1", H33:H51)</f>
        <v>0</v>
      </c>
      <c r="D59" s="1400">
        <f t="shared" si="4"/>
        <v>0</v>
      </c>
      <c r="E59" s="4027" t="s">
        <v>2456</v>
      </c>
      <c r="F59" s="4028"/>
      <c r="G59" s="4029" t="e">
        <f>#REF!</f>
        <v>#REF!</v>
      </c>
      <c r="H59" s="4030"/>
      <c r="I59" s="4031" t="e">
        <f t="shared" si="5"/>
        <v>#REF!</v>
      </c>
      <c r="J59" s="4031"/>
      <c r="K59" s="4047"/>
      <c r="L59" s="4084"/>
      <c r="M59" s="4083"/>
    </row>
    <row r="60" spans="1:13" ht="15" customHeight="1">
      <c r="A60" s="1388"/>
      <c r="B60" s="1318"/>
      <c r="C60" s="1297">
        <f>SUMIF(C33:C51, "2", H33:H51)</f>
        <v>0</v>
      </c>
      <c r="D60" s="1400">
        <f t="shared" si="4"/>
        <v>0</v>
      </c>
      <c r="E60" s="4027" t="s">
        <v>2457</v>
      </c>
      <c r="F60" s="4028"/>
      <c r="G60" s="4029" t="e">
        <f>#REF!</f>
        <v>#REF!</v>
      </c>
      <c r="H60" s="4030"/>
      <c r="I60" s="4031" t="e">
        <f t="shared" si="5"/>
        <v>#REF!</v>
      </c>
      <c r="J60" s="4031"/>
      <c r="K60" s="4047"/>
      <c r="L60" s="4084"/>
      <c r="M60" s="4083"/>
    </row>
    <row r="61" spans="1:13">
      <c r="A61" s="1388"/>
      <c r="B61" s="1318"/>
      <c r="C61" s="1297">
        <f>SUMIF(C33:C51, "3", H33:H51)</f>
        <v>0</v>
      </c>
      <c r="D61" s="1400">
        <f t="shared" si="4"/>
        <v>0</v>
      </c>
      <c r="E61" s="4027" t="s">
        <v>2460</v>
      </c>
      <c r="F61" s="4028"/>
      <c r="G61" s="4029" t="e">
        <f>#REF!</f>
        <v>#REF!</v>
      </c>
      <c r="H61" s="4030"/>
      <c r="I61" s="4031" t="e">
        <f t="shared" si="5"/>
        <v>#REF!</v>
      </c>
      <c r="J61" s="4031"/>
      <c r="K61" s="4047"/>
      <c r="L61" s="4084"/>
      <c r="M61" s="4083"/>
    </row>
    <row r="62" spans="1:13">
      <c r="A62" s="1388"/>
      <c r="B62" s="1318"/>
      <c r="C62" s="1297">
        <f>SUMIF(C33:C51, "4", H33:H51)</f>
        <v>0</v>
      </c>
      <c r="D62" s="1400">
        <f t="shared" si="4"/>
        <v>0</v>
      </c>
      <c r="E62" s="4027" t="s">
        <v>3874</v>
      </c>
      <c r="F62" s="4028"/>
      <c r="G62" s="4029" t="e">
        <f>#REF!</f>
        <v>#REF!</v>
      </c>
      <c r="H62" s="4030"/>
      <c r="I62" s="4031" t="e">
        <f t="shared" si="5"/>
        <v>#REF!</v>
      </c>
      <c r="J62" s="4031"/>
      <c r="K62" s="4047"/>
      <c r="L62" s="4084"/>
      <c r="M62" s="4083"/>
    </row>
    <row r="63" spans="1:13">
      <c r="A63" s="1397"/>
      <c r="B63" s="1319"/>
      <c r="C63" s="1298">
        <f>SUMIF(C33:C51, "5", H33:H51)</f>
        <v>0</v>
      </c>
      <c r="D63" s="1401">
        <f t="shared" si="4"/>
        <v>0</v>
      </c>
      <c r="E63" s="4032" t="s">
        <v>3875</v>
      </c>
      <c r="F63" s="4033"/>
      <c r="G63" s="4029" t="e">
        <f>#REF!</f>
        <v>#REF!</v>
      </c>
      <c r="H63" s="4030"/>
      <c r="I63" s="4034" t="e">
        <f t="shared" si="5"/>
        <v>#REF!</v>
      </c>
      <c r="J63" s="4034"/>
      <c r="K63" s="1321"/>
      <c r="L63" s="4084"/>
      <c r="M63" s="4083"/>
    </row>
    <row r="64" spans="1:13" ht="14.5" thickBot="1">
      <c r="A64" s="1396" t="s">
        <v>3876</v>
      </c>
      <c r="B64" s="1314">
        <f>SUM(C58:C63)</f>
        <v>0</v>
      </c>
      <c r="C64" s="1402"/>
      <c r="D64" s="1402">
        <f>SUM(D58:D63)</f>
        <v>0</v>
      </c>
      <c r="E64" s="1395"/>
      <c r="F64" s="1395"/>
      <c r="G64" s="1395"/>
      <c r="H64" s="1395"/>
      <c r="I64" s="1395"/>
      <c r="J64" s="1389" t="s">
        <v>3877</v>
      </c>
      <c r="K64" s="1313" t="e">
        <f>SUM(I58:I62)</f>
        <v>#REF!</v>
      </c>
    </row>
    <row r="65" spans="1:11">
      <c r="A65" s="4035"/>
      <c r="B65" s="4035"/>
      <c r="C65" s="4035"/>
      <c r="D65" s="4035"/>
      <c r="E65" s="4035"/>
      <c r="F65" s="4035"/>
      <c r="G65" s="4035"/>
      <c r="H65" s="4035"/>
      <c r="I65" s="4035"/>
      <c r="J65" s="4035"/>
    </row>
    <row r="66" spans="1:11">
      <c r="A66" s="4036" t="s">
        <v>3878</v>
      </c>
      <c r="B66" s="4037"/>
      <c r="C66" s="4037"/>
      <c r="D66" s="4037"/>
      <c r="E66" s="4037"/>
      <c r="F66" s="4037"/>
      <c r="G66" s="4037"/>
      <c r="H66" s="4037"/>
      <c r="I66" s="4037"/>
      <c r="J66" s="4037"/>
      <c r="K66" s="4038"/>
    </row>
    <row r="67" spans="1:11" ht="15" customHeight="1">
      <c r="A67" s="1315"/>
      <c r="B67" s="1275"/>
      <c r="C67" s="1275"/>
      <c r="D67" s="1275"/>
      <c r="E67" s="1275" t="s">
        <v>3879</v>
      </c>
      <c r="F67" s="1275"/>
      <c r="G67" s="1275"/>
      <c r="H67" s="1275"/>
      <c r="I67" s="1275"/>
      <c r="J67" s="1276"/>
      <c r="K67" s="1284">
        <f>J11</f>
        <v>0</v>
      </c>
    </row>
    <row r="68" spans="1:11">
      <c r="A68" s="1316"/>
      <c r="E68" s="1264" t="s">
        <v>3880</v>
      </c>
      <c r="J68" s="1318"/>
      <c r="K68" s="1284" t="e">
        <f>K54</f>
        <v>#VALUE!</v>
      </c>
    </row>
    <row r="69" spans="1:11" ht="14.5" thickBot="1">
      <c r="A69" s="1317"/>
      <c r="B69" s="1277"/>
      <c r="C69" s="1277"/>
      <c r="D69" s="1277"/>
      <c r="E69" s="1277" t="s">
        <v>3881</v>
      </c>
      <c r="F69" s="1277"/>
      <c r="G69" s="1277"/>
      <c r="H69" s="1277"/>
      <c r="I69" s="1277"/>
      <c r="J69" s="1319"/>
      <c r="K69" s="1322" t="e">
        <f>K64</f>
        <v>#REF!</v>
      </c>
    </row>
    <row r="70" spans="1:11" ht="14.5" thickBot="1">
      <c r="A70" s="1286"/>
      <c r="B70" s="1278"/>
      <c r="C70" s="4026" t="s">
        <v>3882</v>
      </c>
      <c r="D70" s="4026"/>
      <c r="E70" s="4026"/>
      <c r="F70" s="4026"/>
      <c r="G70" s="4026"/>
      <c r="H70" s="4026"/>
      <c r="I70" s="4026"/>
      <c r="J70" s="402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2DxM5j08dVFzhbjRB8AFUkxVdNaPysCfzjMidYC0ajnbCN+p49ABHUjZf+K3Z3BsZG9lXqCOYmrdKnT0iQPmRg==" saltValue="yaYkAuuOBj6PIEdaFAuVyg=="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221" t="e">
        <f>CONCATENATE("PART SEVEN - THRESHOLD CRITERIA","  -  ",#REF!," ",#REF!,", ",#REF!,", ",#REF!," County")</f>
        <v>#REF!</v>
      </c>
      <c r="B1" s="3222"/>
      <c r="C1" s="3222"/>
      <c r="D1" s="3222"/>
      <c r="E1" s="3222"/>
      <c r="F1" s="3222"/>
      <c r="G1" s="3222"/>
      <c r="H1" s="3222"/>
      <c r="I1" s="3222"/>
      <c r="J1" s="3222"/>
      <c r="K1" s="3222"/>
      <c r="L1" s="3222"/>
      <c r="M1" s="3222"/>
      <c r="N1" s="3222"/>
      <c r="O1" s="3222"/>
      <c r="P1" s="3222"/>
      <c r="Q1" s="3222"/>
      <c r="R1" s="1714"/>
      <c r="S1" s="1714"/>
    </row>
    <row r="2" spans="1:19" customFormat="1" ht="3" customHeight="1">
      <c r="R2" s="1714"/>
      <c r="S2" s="1714"/>
    </row>
    <row r="3" spans="1:19" ht="13.5" customHeight="1">
      <c r="A3" s="422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28"/>
      <c r="C3" s="4228"/>
      <c r="D3" s="4228"/>
      <c r="E3" s="4228"/>
      <c r="F3" s="4228"/>
      <c r="G3" s="4228"/>
      <c r="H3" s="422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28"/>
      <c r="J3" s="4228"/>
      <c r="K3" s="4228"/>
      <c r="L3" s="4228"/>
      <c r="M3" s="4228"/>
      <c r="N3" s="4228"/>
      <c r="P3" s="4238" t="s">
        <v>875</v>
      </c>
      <c r="Q3" s="4284" t="s">
        <v>4430</v>
      </c>
      <c r="R3" s="1714"/>
      <c r="S3" s="1714"/>
    </row>
    <row r="4" spans="1:19" ht="3" customHeight="1">
      <c r="A4" s="674"/>
      <c r="B4" s="4229"/>
      <c r="C4" s="4229"/>
      <c r="D4" s="4229"/>
      <c r="E4" s="674"/>
      <c r="F4" s="674"/>
      <c r="G4" s="674"/>
      <c r="H4" s="674"/>
      <c r="J4" s="489"/>
      <c r="K4" s="674"/>
      <c r="L4" s="674"/>
      <c r="M4" s="674"/>
      <c r="N4" s="674"/>
      <c r="P4" s="4239"/>
      <c r="Q4" s="4285"/>
      <c r="R4" s="1714"/>
      <c r="S4" s="1714"/>
    </row>
    <row r="5" spans="1:19" ht="13">
      <c r="E5" s="4237" t="e">
        <f>#REF!</f>
        <v>#REF!</v>
      </c>
      <c r="F5" s="4237"/>
      <c r="G5" s="4237"/>
      <c r="H5" s="4237"/>
      <c r="I5" s="4237"/>
      <c r="J5" s="489"/>
      <c r="K5" s="1715"/>
      <c r="L5" s="1716" t="s">
        <v>4429</v>
      </c>
      <c r="M5" s="1717" t="e">
        <f>#REF!</f>
        <v>#REF!</v>
      </c>
      <c r="N5" s="1718"/>
      <c r="O5" s="1719"/>
      <c r="P5" s="4240"/>
      <c r="Q5" s="4286"/>
      <c r="R5" s="1516"/>
      <c r="S5" s="1516"/>
    </row>
    <row r="6" spans="1:19" ht="17.25" customHeight="1">
      <c r="A6" s="96" t="s">
        <v>4428</v>
      </c>
      <c r="I6" s="489"/>
      <c r="J6" s="489"/>
      <c r="K6" s="4235" t="s">
        <v>3199</v>
      </c>
      <c r="L6" s="4235"/>
      <c r="M6" s="4235"/>
      <c r="N6" s="4235"/>
      <c r="O6" s="4236"/>
      <c r="P6" s="4230"/>
      <c r="Q6" s="4231"/>
      <c r="R6" s="1516"/>
      <c r="S6" s="1516"/>
    </row>
    <row r="7" spans="1:19" ht="12.65" customHeight="1">
      <c r="A7" s="97" t="s">
        <v>2983</v>
      </c>
      <c r="H7" s="985"/>
      <c r="I7" s="1713"/>
      <c r="J7" s="1713"/>
      <c r="K7" s="985"/>
      <c r="L7" s="985"/>
      <c r="M7" s="674"/>
      <c r="N7" s="674"/>
    </row>
    <row r="8" spans="1:19" ht="23.25" customHeight="1">
      <c r="A8" s="4232" t="s">
        <v>1327</v>
      </c>
      <c r="B8" s="4233"/>
      <c r="C8" s="4233"/>
      <c r="D8" s="4233"/>
      <c r="E8" s="4233"/>
      <c r="F8" s="4233"/>
      <c r="G8" s="4233"/>
      <c r="H8" s="4233"/>
      <c r="I8" s="4233"/>
      <c r="J8" s="4233"/>
      <c r="K8" s="4233"/>
      <c r="L8" s="4233"/>
      <c r="M8" s="4233"/>
      <c r="N8" s="4233"/>
      <c r="O8" s="4233"/>
      <c r="P8" s="4233"/>
      <c r="Q8" s="4234"/>
      <c r="R8" s="2912" t="s">
        <v>1878</v>
      </c>
      <c r="S8" s="2908"/>
    </row>
    <row r="9" spans="1:19" ht="23.25" customHeight="1">
      <c r="A9" s="4214" t="s">
        <v>218</v>
      </c>
      <c r="B9" s="4215"/>
      <c r="C9" s="4215"/>
      <c r="D9" s="4215"/>
      <c r="E9" s="4215"/>
      <c r="F9" s="4215"/>
      <c r="G9" s="4215"/>
      <c r="H9" s="4215"/>
      <c r="I9" s="4215"/>
      <c r="J9" s="4215"/>
      <c r="K9" s="4215"/>
      <c r="L9" s="4215"/>
      <c r="M9" s="4215"/>
      <c r="N9" s="4215"/>
      <c r="O9" s="4215"/>
      <c r="P9" s="4215"/>
      <c r="Q9" s="4216"/>
      <c r="R9" s="2912"/>
      <c r="S9" s="2908"/>
    </row>
    <row r="10" spans="1:19" ht="23.25" customHeight="1">
      <c r="A10" s="4214" t="s">
        <v>1323</v>
      </c>
      <c r="B10" s="4215"/>
      <c r="C10" s="4215"/>
      <c r="D10" s="4215"/>
      <c r="E10" s="4215"/>
      <c r="F10" s="4215"/>
      <c r="G10" s="4215"/>
      <c r="H10" s="4215"/>
      <c r="I10" s="4215"/>
      <c r="J10" s="4215"/>
      <c r="K10" s="4215"/>
      <c r="L10" s="4215"/>
      <c r="M10" s="4215"/>
      <c r="N10" s="4215"/>
      <c r="O10" s="4215"/>
      <c r="P10" s="4215"/>
      <c r="Q10" s="4216"/>
      <c r="R10" s="2912"/>
      <c r="S10" s="2908"/>
    </row>
    <row r="11" spans="1:19" ht="23.25" customHeight="1">
      <c r="A11" s="4214" t="s">
        <v>1324</v>
      </c>
      <c r="B11" s="4215"/>
      <c r="C11" s="4215"/>
      <c r="D11" s="4215"/>
      <c r="E11" s="4215"/>
      <c r="F11" s="4215"/>
      <c r="G11" s="4215"/>
      <c r="H11" s="4215"/>
      <c r="I11" s="4215"/>
      <c r="J11" s="4215"/>
      <c r="K11" s="4215"/>
      <c r="L11" s="4215"/>
      <c r="M11" s="4215"/>
      <c r="N11" s="4215"/>
      <c r="O11" s="4215"/>
      <c r="P11" s="4215"/>
      <c r="Q11" s="4216"/>
      <c r="R11" s="2912"/>
      <c r="S11" s="2908"/>
    </row>
    <row r="12" spans="1:19" ht="23.25" customHeight="1">
      <c r="A12" s="4214" t="s">
        <v>1325</v>
      </c>
      <c r="B12" s="4215"/>
      <c r="C12" s="4215"/>
      <c r="D12" s="4215"/>
      <c r="E12" s="4215"/>
      <c r="F12" s="4215"/>
      <c r="G12" s="4215"/>
      <c r="H12" s="4215"/>
      <c r="I12" s="4215"/>
      <c r="J12" s="4215"/>
      <c r="K12" s="4215"/>
      <c r="L12" s="4215"/>
      <c r="M12" s="4215"/>
      <c r="N12" s="4215"/>
      <c r="O12" s="4215"/>
      <c r="P12" s="4215"/>
      <c r="Q12" s="4216"/>
      <c r="R12" s="873"/>
      <c r="S12" s="873"/>
    </row>
    <row r="13" spans="1:19" ht="23.25" customHeight="1">
      <c r="A13" s="4214" t="s">
        <v>1326</v>
      </c>
      <c r="B13" s="4215"/>
      <c r="C13" s="4215"/>
      <c r="D13" s="4215"/>
      <c r="E13" s="4215"/>
      <c r="F13" s="4215"/>
      <c r="G13" s="4215"/>
      <c r="H13" s="4215"/>
      <c r="I13" s="4215"/>
      <c r="J13" s="4215"/>
      <c r="K13" s="4215"/>
      <c r="L13" s="4215"/>
      <c r="M13" s="4215"/>
      <c r="N13" s="4215"/>
      <c r="O13" s="4215"/>
      <c r="P13" s="4215"/>
      <c r="Q13" s="4216"/>
      <c r="R13" s="873"/>
      <c r="S13" s="873"/>
    </row>
    <row r="14" spans="1:19" ht="23.25" customHeight="1">
      <c r="A14" s="4214" t="s">
        <v>1328</v>
      </c>
      <c r="B14" s="4215"/>
      <c r="C14" s="4215"/>
      <c r="D14" s="4215"/>
      <c r="E14" s="4215"/>
      <c r="F14" s="4215"/>
      <c r="G14" s="4215"/>
      <c r="H14" s="4215"/>
      <c r="I14" s="4215"/>
      <c r="J14" s="4215"/>
      <c r="K14" s="4215"/>
      <c r="L14" s="4215"/>
      <c r="M14" s="4215"/>
      <c r="N14" s="4215"/>
      <c r="O14" s="4215"/>
      <c r="P14" s="4215"/>
      <c r="Q14" s="4216"/>
    </row>
    <row r="15" spans="1:19" ht="11.25" customHeight="1">
      <c r="A15" s="4214" t="s">
        <v>1867</v>
      </c>
      <c r="B15" s="4215"/>
      <c r="C15" s="4215"/>
      <c r="D15" s="4215"/>
      <c r="E15" s="4215"/>
      <c r="F15" s="4215"/>
      <c r="G15" s="4215"/>
      <c r="H15" s="4215"/>
      <c r="I15" s="4215"/>
      <c r="J15" s="4215"/>
      <c r="K15" s="4215"/>
      <c r="L15" s="4215"/>
      <c r="M15" s="4215"/>
      <c r="N15" s="4215"/>
      <c r="O15" s="4215"/>
      <c r="P15" s="4215"/>
      <c r="Q15" s="4216"/>
      <c r="R15" s="2912"/>
      <c r="S15" s="2908"/>
    </row>
    <row r="16" spans="1:19" ht="11.25" customHeight="1">
      <c r="A16" s="4214" t="s">
        <v>1868</v>
      </c>
      <c r="B16" s="4215"/>
      <c r="C16" s="4215"/>
      <c r="D16" s="4215"/>
      <c r="E16" s="4215"/>
      <c r="F16" s="4215"/>
      <c r="G16" s="4215"/>
      <c r="H16" s="4215"/>
      <c r="I16" s="4215"/>
      <c r="J16" s="4215"/>
      <c r="K16" s="4215"/>
      <c r="L16" s="4215"/>
      <c r="M16" s="4215"/>
      <c r="N16" s="4215"/>
      <c r="O16" s="4215"/>
      <c r="P16" s="4215"/>
      <c r="Q16" s="4216"/>
      <c r="R16" s="2912"/>
      <c r="S16" s="2908"/>
    </row>
    <row r="17" spans="1:31" ht="11.25" customHeight="1">
      <c r="A17" s="4214" t="s">
        <v>1869</v>
      </c>
      <c r="B17" s="4215"/>
      <c r="C17" s="4215"/>
      <c r="D17" s="4215"/>
      <c r="E17" s="4215"/>
      <c r="F17" s="4215"/>
      <c r="G17" s="4215"/>
      <c r="H17" s="4215"/>
      <c r="I17" s="4215"/>
      <c r="J17" s="4215"/>
      <c r="K17" s="4215"/>
      <c r="L17" s="4215"/>
      <c r="M17" s="4215"/>
      <c r="N17" s="4215"/>
      <c r="O17" s="4215"/>
      <c r="P17" s="4215"/>
      <c r="Q17" s="4216"/>
      <c r="R17" s="2912"/>
      <c r="S17" s="2908"/>
    </row>
    <row r="18" spans="1:31" ht="11.25" customHeight="1">
      <c r="A18" s="4214" t="s">
        <v>1870</v>
      </c>
      <c r="B18" s="4215"/>
      <c r="C18" s="4215"/>
      <c r="D18" s="4215"/>
      <c r="E18" s="4215"/>
      <c r="F18" s="4215"/>
      <c r="G18" s="4215"/>
      <c r="H18" s="4215"/>
      <c r="I18" s="4215"/>
      <c r="J18" s="4215"/>
      <c r="K18" s="4215"/>
      <c r="L18" s="4215"/>
      <c r="M18" s="4215"/>
      <c r="N18" s="4215"/>
      <c r="O18" s="4215"/>
      <c r="P18" s="4215"/>
      <c r="Q18" s="4216"/>
      <c r="R18" s="2912"/>
      <c r="S18" s="2908"/>
    </row>
    <row r="19" spans="1:31" ht="11.25" customHeight="1">
      <c r="A19" s="4214" t="s">
        <v>1871</v>
      </c>
      <c r="B19" s="4215"/>
      <c r="C19" s="4215"/>
      <c r="D19" s="4215"/>
      <c r="E19" s="4215"/>
      <c r="F19" s="4215"/>
      <c r="G19" s="4215"/>
      <c r="H19" s="4215"/>
      <c r="I19" s="4215"/>
      <c r="J19" s="4215"/>
      <c r="K19" s="4215"/>
      <c r="L19" s="4215"/>
      <c r="M19" s="4215"/>
      <c r="N19" s="4215"/>
      <c r="O19" s="4215"/>
      <c r="P19" s="4215"/>
      <c r="Q19" s="4216"/>
      <c r="R19" s="2912"/>
      <c r="S19" s="2908"/>
    </row>
    <row r="20" spans="1:31" ht="11.25" customHeight="1">
      <c r="A20" s="4214" t="s">
        <v>1872</v>
      </c>
      <c r="B20" s="4215"/>
      <c r="C20" s="4215"/>
      <c r="D20" s="4215"/>
      <c r="E20" s="4215"/>
      <c r="F20" s="4215"/>
      <c r="G20" s="4215"/>
      <c r="H20" s="4215"/>
      <c r="I20" s="4215"/>
      <c r="J20" s="4215"/>
      <c r="K20" s="4215"/>
      <c r="L20" s="4215"/>
      <c r="M20" s="4215"/>
      <c r="N20" s="4215"/>
      <c r="O20" s="4215"/>
      <c r="P20" s="4215"/>
      <c r="Q20" s="4216"/>
      <c r="R20" s="2912"/>
      <c r="S20" s="2908"/>
    </row>
    <row r="21" spans="1:31" ht="11.25" customHeight="1">
      <c r="A21" s="4214" t="s">
        <v>1873</v>
      </c>
      <c r="B21" s="4215"/>
      <c r="C21" s="4215"/>
      <c r="D21" s="4215"/>
      <c r="E21" s="4215"/>
      <c r="F21" s="4215"/>
      <c r="G21" s="4215"/>
      <c r="H21" s="4215"/>
      <c r="I21" s="4215"/>
      <c r="J21" s="4215"/>
      <c r="K21" s="4215"/>
      <c r="L21" s="4215"/>
      <c r="M21" s="4215"/>
      <c r="N21" s="4215"/>
      <c r="O21" s="4215"/>
      <c r="P21" s="4215"/>
      <c r="Q21" s="4216"/>
    </row>
    <row r="22" spans="1:31" ht="11.25" customHeight="1">
      <c r="A22" s="4214" t="s">
        <v>1874</v>
      </c>
      <c r="B22" s="4215"/>
      <c r="C22" s="4215"/>
      <c r="D22" s="4215"/>
      <c r="E22" s="4215"/>
      <c r="F22" s="4215"/>
      <c r="G22" s="4215"/>
      <c r="H22" s="4215"/>
      <c r="I22" s="4215"/>
      <c r="J22" s="4215"/>
      <c r="K22" s="4215"/>
      <c r="L22" s="4215"/>
      <c r="M22" s="4215"/>
      <c r="N22" s="4215"/>
      <c r="O22" s="4215"/>
      <c r="P22" s="4215"/>
      <c r="Q22" s="4216"/>
      <c r="R22" s="2912"/>
      <c r="S22" s="2908"/>
    </row>
    <row r="23" spans="1:31" ht="11.25" customHeight="1">
      <c r="A23" s="4214" t="s">
        <v>1875</v>
      </c>
      <c r="B23" s="4215"/>
      <c r="C23" s="4215"/>
      <c r="D23" s="4215"/>
      <c r="E23" s="4215"/>
      <c r="F23" s="4215"/>
      <c r="G23" s="4215"/>
      <c r="H23" s="4215"/>
      <c r="I23" s="4215"/>
      <c r="J23" s="4215"/>
      <c r="K23" s="4215"/>
      <c r="L23" s="4215"/>
      <c r="M23" s="4215"/>
      <c r="N23" s="4215"/>
      <c r="O23" s="4215"/>
      <c r="P23" s="4215"/>
      <c r="Q23" s="4216"/>
      <c r="R23" s="2912"/>
      <c r="S23" s="2908"/>
    </row>
    <row r="24" spans="1:31" ht="11.25" customHeight="1">
      <c r="A24" s="4214" t="s">
        <v>1876</v>
      </c>
      <c r="B24" s="4215"/>
      <c r="C24" s="4215"/>
      <c r="D24" s="4215"/>
      <c r="E24" s="4215"/>
      <c r="F24" s="4215"/>
      <c r="G24" s="4215"/>
      <c r="H24" s="4215"/>
      <c r="I24" s="4215"/>
      <c r="J24" s="4215"/>
      <c r="K24" s="4215"/>
      <c r="L24" s="4215"/>
      <c r="M24" s="4215"/>
      <c r="N24" s="4215"/>
      <c r="O24" s="4215"/>
      <c r="P24" s="4215"/>
      <c r="Q24" s="4216"/>
      <c r="R24" s="2912"/>
      <c r="S24" s="2908"/>
    </row>
    <row r="25" spans="1:31" ht="11.25" customHeight="1">
      <c r="A25" s="4217" t="s">
        <v>1877</v>
      </c>
      <c r="B25" s="4218"/>
      <c r="C25" s="4218"/>
      <c r="D25" s="4218"/>
      <c r="E25" s="4218"/>
      <c r="F25" s="4218"/>
      <c r="G25" s="4218"/>
      <c r="H25" s="4218"/>
      <c r="I25" s="4218"/>
      <c r="J25" s="4218"/>
      <c r="K25" s="4218"/>
      <c r="L25" s="4218"/>
      <c r="M25" s="4218"/>
      <c r="N25" s="4218"/>
      <c r="O25" s="4218"/>
      <c r="P25" s="4218"/>
      <c r="Q25" s="4219"/>
      <c r="R25" s="2912"/>
      <c r="S25" s="2908"/>
    </row>
    <row r="26" spans="1:31" ht="6" customHeight="1"/>
    <row r="27" spans="1:31" ht="14.15" customHeight="1">
      <c r="A27" s="98" t="s">
        <v>688</v>
      </c>
      <c r="B27" s="99" t="s">
        <v>4532</v>
      </c>
      <c r="C27" s="100"/>
      <c r="D27" s="66"/>
      <c r="E27" s="66"/>
      <c r="F27" s="66"/>
      <c r="G27" s="66"/>
      <c r="I27" s="878"/>
      <c r="J27" s="878"/>
      <c r="K27" s="878"/>
      <c r="L27" s="674"/>
      <c r="M27" s="674"/>
      <c r="O27" s="101" t="s">
        <v>1726</v>
      </c>
      <c r="P27" s="4117"/>
      <c r="Q27" s="4118"/>
    </row>
    <row r="28" spans="1:31" ht="3" customHeight="1"/>
    <row r="29" spans="1:31" ht="11.25" customHeight="1">
      <c r="B29" s="42" t="s">
        <v>3158</v>
      </c>
      <c r="C29" s="42"/>
      <c r="D29" s="42"/>
      <c r="E29" s="42"/>
      <c r="F29" s="42"/>
      <c r="G29" s="878"/>
      <c r="H29" s="878"/>
      <c r="I29" s="878"/>
      <c r="J29" s="878"/>
      <c r="K29" s="674"/>
      <c r="L29" s="674"/>
      <c r="M29" s="674"/>
      <c r="N29" s="674"/>
      <c r="O29" s="674"/>
      <c r="P29" s="674"/>
      <c r="S29" s="125"/>
      <c r="T29" s="125"/>
    </row>
    <row r="30" spans="1:31" ht="108.75" customHeight="1">
      <c r="A30" s="4125"/>
      <c r="B30" s="4126"/>
      <c r="C30" s="4126"/>
      <c r="D30" s="4126"/>
      <c r="E30" s="4126"/>
      <c r="F30" s="4126"/>
      <c r="G30" s="4126"/>
      <c r="H30" s="4126"/>
      <c r="I30" s="4126"/>
      <c r="J30" s="4126"/>
      <c r="K30" s="4126"/>
      <c r="L30" s="4126"/>
      <c r="M30" s="4126"/>
      <c r="N30" s="4126"/>
      <c r="O30" s="4126"/>
      <c r="P30" s="4126"/>
      <c r="Q30" s="4127"/>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27"/>
      <c r="B32" s="4227"/>
      <c r="C32" s="4227"/>
      <c r="D32" s="4227"/>
      <c r="E32" s="4227"/>
      <c r="F32" s="4227"/>
      <c r="G32" s="4227"/>
      <c r="H32" s="4227"/>
      <c r="I32" s="4227"/>
      <c r="J32" s="4227"/>
      <c r="K32" s="4227"/>
      <c r="L32" s="4227"/>
      <c r="M32" s="4227"/>
      <c r="N32" s="4227"/>
      <c r="O32" s="4227"/>
      <c r="P32" s="4227"/>
      <c r="Q32" s="4227"/>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17"/>
      <c r="Q34" s="4118"/>
    </row>
    <row r="35" spans="1:31" ht="12.75" customHeight="1">
      <c r="A35" s="2"/>
      <c r="B35" s="108" t="s">
        <v>4540</v>
      </c>
      <c r="C35" s="4"/>
      <c r="D35" s="4"/>
      <c r="E35" s="874"/>
      <c r="F35" s="874"/>
      <c r="H35" s="874"/>
      <c r="J35" s="2966" t="s">
        <v>4366</v>
      </c>
      <c r="K35" s="2967"/>
      <c r="L35" s="2968"/>
      <c r="M35" s="147" t="s">
        <v>1642</v>
      </c>
      <c r="N35" s="4108"/>
      <c r="O35" s="4109"/>
      <c r="P35" s="4109"/>
      <c r="Q35" s="4110"/>
    </row>
    <row r="36" spans="1:31" ht="12.75" customHeight="1">
      <c r="A36" s="2"/>
      <c r="B36" s="108" t="s">
        <v>4539</v>
      </c>
      <c r="C36" s="4"/>
      <c r="D36" s="4"/>
      <c r="E36" s="874"/>
      <c r="F36" s="874"/>
      <c r="G36" s="1576"/>
      <c r="H36" s="874"/>
      <c r="J36" s="2966" t="s">
        <v>4367</v>
      </c>
      <c r="K36" s="2967"/>
      <c r="L36" s="2968"/>
      <c r="M36" s="147" t="s">
        <v>1642</v>
      </c>
      <c r="N36" s="4108"/>
      <c r="O36" s="4109"/>
      <c r="P36" s="4109"/>
      <c r="Q36" s="4110"/>
    </row>
    <row r="37" spans="1:31" ht="12.75" customHeight="1">
      <c r="B37" s="73" t="s">
        <v>3158</v>
      </c>
      <c r="D37" s="73"/>
      <c r="E37" s="73"/>
      <c r="F37" s="73"/>
      <c r="G37" s="73"/>
      <c r="H37" s="33"/>
      <c r="I37" s="878"/>
      <c r="J37" s="878"/>
      <c r="K37" s="1680" t="s">
        <v>1725</v>
      </c>
      <c r="L37" s="674"/>
      <c r="M37" s="674"/>
      <c r="N37" s="674"/>
      <c r="O37" s="674"/>
      <c r="P37" s="674"/>
      <c r="Q37" s="674"/>
    </row>
    <row r="38" spans="1:31" ht="10.5" customHeight="1">
      <c r="A38" s="4125"/>
      <c r="B38" s="4126"/>
      <c r="C38" s="4126"/>
      <c r="D38" s="4126"/>
      <c r="E38" s="4126"/>
      <c r="F38" s="4126"/>
      <c r="G38" s="4126"/>
      <c r="H38" s="4126"/>
      <c r="I38" s="4126"/>
      <c r="J38" s="4127"/>
      <c r="K38" s="4122"/>
      <c r="L38" s="4123"/>
      <c r="M38" s="4123"/>
      <c r="N38" s="4123"/>
      <c r="O38" s="4123"/>
      <c r="P38" s="4123"/>
      <c r="Q38" s="4124"/>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3668</v>
      </c>
      <c r="M40" s="1256" t="s">
        <v>3669</v>
      </c>
      <c r="O40" s="101" t="s">
        <v>1726</v>
      </c>
      <c r="P40" s="4117"/>
      <c r="Q40" s="4118"/>
    </row>
    <row r="41" spans="1:31" ht="1.5" customHeight="1"/>
    <row r="42" spans="1:31" ht="12" customHeight="1">
      <c r="A42" s="110" t="s">
        <v>1836</v>
      </c>
      <c r="B42" s="4111" t="s">
        <v>3663</v>
      </c>
      <c r="C42" s="4111"/>
      <c r="D42" s="4111"/>
      <c r="E42" s="4111"/>
      <c r="F42" s="4111"/>
      <c r="G42" s="4111"/>
      <c r="H42" s="4111"/>
      <c r="I42" s="4111"/>
      <c r="J42" s="4111"/>
      <c r="K42" s="115"/>
      <c r="L42" s="346" t="s">
        <v>2574</v>
      </c>
      <c r="M42" s="1144">
        <v>2</v>
      </c>
      <c r="N42" s="108" t="s">
        <v>3896</v>
      </c>
      <c r="P42" s="4263"/>
      <c r="Q42" s="4273"/>
    </row>
    <row r="43" spans="1:31" ht="12" customHeight="1">
      <c r="A43" s="110"/>
      <c r="B43" s="4111"/>
      <c r="C43" s="4111"/>
      <c r="D43" s="4111"/>
      <c r="E43" s="4111"/>
      <c r="F43" s="4111"/>
      <c r="G43" s="4111"/>
      <c r="H43" s="4111"/>
      <c r="I43" s="4111"/>
      <c r="J43" s="4111"/>
      <c r="K43" s="115"/>
      <c r="L43" s="346" t="s">
        <v>3667</v>
      </c>
      <c r="M43" s="1145">
        <v>4</v>
      </c>
      <c r="O43" s="111"/>
      <c r="P43" s="4264"/>
      <c r="Q43" s="4274"/>
    </row>
    <row r="44" spans="1:31" ht="12" customHeight="1">
      <c r="A44" s="110"/>
      <c r="D44" s="874"/>
      <c r="E44" s="874"/>
      <c r="F44" s="874"/>
      <c r="G44" s="874"/>
      <c r="H44" s="874"/>
      <c r="I44" s="874"/>
      <c r="J44" s="874"/>
      <c r="K44" s="115"/>
      <c r="L44" s="371" t="s">
        <v>4062</v>
      </c>
      <c r="M44" s="1145"/>
      <c r="O44" s="111"/>
      <c r="P44" s="1468"/>
      <c r="Q44" s="1469"/>
    </row>
    <row r="45" spans="1:31" ht="12" customHeight="1">
      <c r="A45" s="40" t="s">
        <v>1838</v>
      </c>
      <c r="B45" s="108" t="s">
        <v>3670</v>
      </c>
      <c r="C45" s="108"/>
      <c r="D45" s="108"/>
      <c r="E45" s="108"/>
      <c r="F45" s="108"/>
      <c r="G45" s="108"/>
      <c r="H45" s="108"/>
      <c r="I45" s="108"/>
      <c r="J45" s="108"/>
      <c r="K45" s="456"/>
      <c r="L45" s="108"/>
      <c r="M45" s="115"/>
      <c r="N45" s="704"/>
      <c r="O45" s="704"/>
      <c r="P45" s="704"/>
    </row>
    <row r="46" spans="1:31" ht="12.75" customHeight="1">
      <c r="A46" s="395"/>
      <c r="B46" s="1161" t="s">
        <v>1611</v>
      </c>
      <c r="C46" s="108" t="s">
        <v>3674</v>
      </c>
      <c r="D46" s="1116"/>
      <c r="E46" s="1116"/>
      <c r="F46" s="1116"/>
      <c r="G46" s="1116"/>
      <c r="H46" s="1116"/>
      <c r="I46" s="1116"/>
      <c r="J46" s="1116"/>
      <c r="K46" s="1115"/>
      <c r="L46" s="703"/>
      <c r="N46" s="108" t="s">
        <v>3897</v>
      </c>
      <c r="O46" s="704"/>
      <c r="P46" s="175"/>
      <c r="Q46" s="418"/>
    </row>
    <row r="47" spans="1:31" ht="12.75" customHeight="1">
      <c r="A47" s="395"/>
      <c r="B47" s="1161" t="s">
        <v>1612</v>
      </c>
      <c r="C47" s="108" t="s">
        <v>3671</v>
      </c>
      <c r="D47" s="1116"/>
      <c r="E47" s="1116"/>
      <c r="F47" s="1116"/>
      <c r="G47" s="1116"/>
      <c r="H47" s="1116"/>
      <c r="I47" s="1116"/>
      <c r="J47" s="1116"/>
      <c r="K47" s="1115"/>
      <c r="L47" s="703"/>
      <c r="N47" s="108" t="s">
        <v>3898</v>
      </c>
      <c r="O47" s="704"/>
      <c r="P47" s="299"/>
      <c r="Q47" s="419"/>
    </row>
    <row r="48" spans="1:31" ht="12.75" customHeight="1">
      <c r="A48" s="1114"/>
      <c r="B48" s="371" t="s">
        <v>1613</v>
      </c>
      <c r="C48" s="108" t="s">
        <v>3672</v>
      </c>
      <c r="E48" s="1116"/>
      <c r="F48" s="1116"/>
      <c r="G48" s="1116"/>
      <c r="H48" s="1116"/>
      <c r="I48" s="1116"/>
      <c r="J48" s="1116"/>
      <c r="K48" s="1115"/>
      <c r="L48" s="703"/>
      <c r="M48" s="704"/>
      <c r="N48" s="108" t="s">
        <v>3899</v>
      </c>
      <c r="O48" s="704"/>
      <c r="P48" s="299"/>
      <c r="Q48" s="419"/>
    </row>
    <row r="49" spans="1:31" ht="12.75" customHeight="1">
      <c r="A49" s="112"/>
      <c r="B49" s="371" t="s">
        <v>2176</v>
      </c>
      <c r="C49" s="371" t="s">
        <v>3675</v>
      </c>
      <c r="D49" s="103"/>
      <c r="E49" s="103"/>
      <c r="F49" s="103"/>
      <c r="G49" s="103"/>
      <c r="H49" s="103"/>
      <c r="I49" s="35"/>
      <c r="J49" s="35"/>
      <c r="N49" s="108" t="s">
        <v>3900</v>
      </c>
      <c r="O49" s="704"/>
      <c r="P49" s="176"/>
      <c r="Q49" s="420"/>
    </row>
    <row r="50" spans="1:31" ht="12.75" customHeight="1">
      <c r="A50" s="112"/>
      <c r="B50" s="371"/>
      <c r="C50" s="108" t="s">
        <v>3676</v>
      </c>
      <c r="D50" s="103"/>
      <c r="E50" s="103"/>
      <c r="F50" s="103"/>
      <c r="G50" s="103"/>
      <c r="H50" s="103"/>
      <c r="I50" s="35"/>
      <c r="J50" s="35"/>
      <c r="L50" s="4134"/>
      <c r="M50" s="4135"/>
      <c r="N50" s="4135"/>
      <c r="O50" s="4135"/>
      <c r="P50" s="4135"/>
      <c r="Q50" s="4213"/>
    </row>
    <row r="51" spans="1:31" ht="12.75" customHeight="1">
      <c r="A51" s="112"/>
      <c r="B51" s="371" t="s">
        <v>1446</v>
      </c>
      <c r="C51" s="4111" t="s">
        <v>3673</v>
      </c>
      <c r="D51" s="4111"/>
      <c r="E51" s="4111"/>
      <c r="F51" s="4111"/>
      <c r="G51" s="4111"/>
      <c r="H51" s="4111"/>
      <c r="I51" s="4111"/>
      <c r="J51" s="4111"/>
      <c r="K51" s="4111"/>
      <c r="L51" s="4111"/>
      <c r="M51" s="412"/>
      <c r="N51" s="108" t="s">
        <v>3901</v>
      </c>
      <c r="O51" s="704"/>
      <c r="P51" s="372"/>
      <c r="Q51" s="417"/>
    </row>
    <row r="52" spans="1:31" ht="12.75" customHeight="1">
      <c r="A52" s="40"/>
      <c r="C52" s="4111"/>
      <c r="D52" s="4111"/>
      <c r="E52" s="4111"/>
      <c r="F52" s="4111"/>
      <c r="G52" s="4111"/>
      <c r="H52" s="4111"/>
      <c r="I52" s="4111"/>
      <c r="J52" s="4111"/>
      <c r="K52" s="4111"/>
      <c r="L52" s="4111"/>
      <c r="M52" s="412"/>
    </row>
    <row r="53" spans="1:31" ht="10.5" customHeight="1">
      <c r="B53" s="73" t="s">
        <v>3158</v>
      </c>
      <c r="D53" s="73"/>
      <c r="E53" s="73"/>
      <c r="F53" s="73"/>
      <c r="G53" s="73"/>
      <c r="H53" s="33"/>
      <c r="I53" s="878"/>
      <c r="J53" s="878"/>
      <c r="K53" s="105" t="s">
        <v>1725</v>
      </c>
      <c r="L53" s="674"/>
      <c r="M53" s="674"/>
      <c r="N53" s="674"/>
      <c r="O53" s="674"/>
      <c r="P53" s="674"/>
      <c r="Q53" s="674"/>
    </row>
    <row r="54" spans="1:31" ht="10.5" customHeight="1">
      <c r="A54" s="4125"/>
      <c r="B54" s="4126"/>
      <c r="C54" s="4126"/>
      <c r="D54" s="4126"/>
      <c r="E54" s="4126"/>
      <c r="F54" s="4126"/>
      <c r="G54" s="4126"/>
      <c r="H54" s="4126"/>
      <c r="I54" s="4126"/>
      <c r="J54" s="4127"/>
      <c r="K54" s="4122"/>
      <c r="L54" s="4123"/>
      <c r="M54" s="4123"/>
      <c r="N54" s="4123"/>
      <c r="O54" s="4123"/>
      <c r="P54" s="4123"/>
      <c r="Q54" s="4124"/>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5" customHeight="1">
      <c r="A56" s="2" t="s">
        <v>1663</v>
      </c>
      <c r="B56" s="2" t="s">
        <v>3894</v>
      </c>
      <c r="C56" s="2"/>
      <c r="D56" s="874"/>
      <c r="E56" s="874"/>
      <c r="F56" s="874"/>
      <c r="G56" s="874"/>
      <c r="H56" s="1263" t="e">
        <f>#REF!</f>
        <v>#REF!</v>
      </c>
      <c r="J56" s="1720" t="s">
        <v>4533</v>
      </c>
      <c r="K56" s="429" t="str">
        <f>'Part VIII Scoring Criteria OLD'!$M$60</f>
        <v>&lt;&lt; Select Pool &gt;&gt;</v>
      </c>
      <c r="L56" s="1720" t="s">
        <v>3700</v>
      </c>
      <c r="M56" s="854" t="str">
        <f>J35</f>
        <v>&lt;&lt; Select PROPOSED Tenancy &gt;&gt;</v>
      </c>
      <c r="O56" s="101" t="s">
        <v>1726</v>
      </c>
      <c r="P56" s="4117"/>
      <c r="Q56" s="4118"/>
    </row>
    <row r="57" spans="1:31" ht="3" customHeight="1"/>
    <row r="58" spans="1:31" ht="12.75" customHeight="1">
      <c r="A58" s="40" t="s">
        <v>1836</v>
      </c>
      <c r="B58" s="32" t="s">
        <v>2258</v>
      </c>
      <c r="D58" s="103"/>
      <c r="E58" s="103"/>
      <c r="F58" s="103"/>
      <c r="G58" s="103"/>
      <c r="H58" s="103"/>
      <c r="I58" s="35"/>
      <c r="J58" s="35"/>
      <c r="K58" s="35"/>
      <c r="L58" s="48" t="s">
        <v>1836</v>
      </c>
      <c r="M58" s="4138"/>
      <c r="N58" s="4139"/>
      <c r="O58" s="4139"/>
      <c r="P58" s="4226"/>
      <c r="Q58" s="418"/>
    </row>
    <row r="59" spans="1:31" ht="12.75" customHeight="1">
      <c r="A59" s="40" t="s">
        <v>1838</v>
      </c>
      <c r="B59" s="29" t="s">
        <v>3825</v>
      </c>
      <c r="D59" s="103"/>
      <c r="E59" s="103"/>
      <c r="F59" s="103"/>
      <c r="L59" s="48" t="s">
        <v>1838</v>
      </c>
      <c r="M59" s="4261"/>
      <c r="N59" s="4262"/>
      <c r="O59" s="4262"/>
      <c r="P59" s="3208"/>
      <c r="Q59" s="419"/>
    </row>
    <row r="60" spans="1:31" ht="12.75" customHeight="1">
      <c r="A60" s="40" t="s">
        <v>697</v>
      </c>
      <c r="B60" s="29" t="s">
        <v>2551</v>
      </c>
      <c r="D60" s="103"/>
      <c r="E60" s="103"/>
      <c r="F60" s="103"/>
      <c r="L60" s="48" t="s">
        <v>697</v>
      </c>
      <c r="M60" s="4257"/>
      <c r="N60" s="4258"/>
      <c r="O60" s="4258"/>
      <c r="P60" s="4259"/>
      <c r="Q60" s="419"/>
    </row>
    <row r="61" spans="1:31" ht="12.75" customHeight="1">
      <c r="A61" s="40" t="s">
        <v>1957</v>
      </c>
      <c r="B61" s="29" t="s">
        <v>3222</v>
      </c>
      <c r="D61" s="103"/>
      <c r="E61" s="103"/>
      <c r="F61" s="103"/>
      <c r="J61" s="48" t="s">
        <v>3223</v>
      </c>
      <c r="K61" s="1446"/>
      <c r="L61" s="1443"/>
      <c r="M61" s="1445"/>
      <c r="N61" s="1444"/>
      <c r="O61" s="864" t="s">
        <v>3304</v>
      </c>
      <c r="P61" s="865"/>
      <c r="Q61" s="1442"/>
    </row>
    <row r="62" spans="1:31" ht="12.75" customHeight="1">
      <c r="A62" s="40" t="s">
        <v>1609</v>
      </c>
      <c r="B62" s="29" t="s">
        <v>3826</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53"/>
      <c r="F64" s="4153"/>
      <c r="G64" s="4153"/>
      <c r="H64" s="48" t="s">
        <v>2176</v>
      </c>
      <c r="I64" s="383"/>
      <c r="J64" s="4153"/>
      <c r="K64" s="4153"/>
      <c r="L64" s="4153"/>
      <c r="M64" s="48" t="s">
        <v>93</v>
      </c>
      <c r="N64" s="383"/>
      <c r="O64" s="4153"/>
      <c r="P64" s="4153"/>
      <c r="Q64" s="4153"/>
    </row>
    <row r="65" spans="1:31" ht="12.75" customHeight="1">
      <c r="C65" s="49" t="s">
        <v>1612</v>
      </c>
      <c r="D65" s="1682"/>
      <c r="E65" s="4154"/>
      <c r="F65" s="4154"/>
      <c r="G65" s="4154"/>
      <c r="H65" s="48" t="s">
        <v>1446</v>
      </c>
      <c r="I65" s="1682"/>
      <c r="J65" s="4154"/>
      <c r="K65" s="4154"/>
      <c r="L65" s="4154"/>
      <c r="M65" s="48" t="s">
        <v>480</v>
      </c>
      <c r="N65" s="1682"/>
      <c r="O65" s="4154"/>
      <c r="P65" s="4154"/>
      <c r="Q65" s="4154"/>
    </row>
    <row r="66" spans="1:31" ht="12.75" customHeight="1">
      <c r="C66" s="49" t="s">
        <v>1613</v>
      </c>
      <c r="D66" s="384"/>
      <c r="E66" s="4155"/>
      <c r="F66" s="4155"/>
      <c r="G66" s="4155"/>
      <c r="H66" s="48" t="s">
        <v>1447</v>
      </c>
      <c r="I66" s="384"/>
      <c r="J66" s="4155"/>
      <c r="K66" s="4155"/>
      <c r="L66" s="4155"/>
      <c r="M66" s="48" t="s">
        <v>481</v>
      </c>
      <c r="N66" s="384"/>
      <c r="O66" s="4155"/>
      <c r="P66" s="4155"/>
      <c r="Q66" s="4155"/>
    </row>
    <row r="67" spans="1:31" ht="12.75" customHeight="1">
      <c r="A67" s="40" t="s">
        <v>1610</v>
      </c>
      <c r="B67" s="29" t="s">
        <v>4010</v>
      </c>
      <c r="D67" s="103"/>
      <c r="E67" s="103"/>
      <c r="F67" s="103"/>
      <c r="G67" s="103"/>
      <c r="H67" s="103"/>
      <c r="I67" s="35"/>
      <c r="J67" s="35"/>
      <c r="K67" s="103"/>
      <c r="L67" s="876"/>
      <c r="M67" s="876"/>
      <c r="O67" s="48" t="s">
        <v>1610</v>
      </c>
      <c r="P67" s="1224"/>
      <c r="Q67" s="1225"/>
    </row>
    <row r="68" spans="1:31" ht="12.75" customHeight="1">
      <c r="A68" s="40" t="s">
        <v>1803</v>
      </c>
      <c r="B68" s="29" t="s">
        <v>4011</v>
      </c>
      <c r="D68" s="103"/>
      <c r="E68" s="103"/>
      <c r="F68" s="103"/>
      <c r="G68" s="103"/>
      <c r="H68" s="103"/>
      <c r="I68" s="35"/>
      <c r="J68" s="35"/>
      <c r="K68" s="103"/>
      <c r="L68" s="876"/>
      <c r="M68" s="876"/>
      <c r="O68" s="48" t="s">
        <v>1803</v>
      </c>
      <c r="P68" s="299"/>
      <c r="Q68" s="419"/>
    </row>
    <row r="69" spans="1:31" ht="10.5" customHeight="1">
      <c r="A69" s="40" t="s">
        <v>2933</v>
      </c>
      <c r="B69" s="29" t="s">
        <v>4012</v>
      </c>
      <c r="D69" s="103"/>
      <c r="E69" s="103"/>
      <c r="F69" s="103"/>
      <c r="G69" s="103"/>
      <c r="H69" s="103"/>
      <c r="I69" s="35"/>
      <c r="J69" s="35"/>
      <c r="K69" s="103"/>
      <c r="L69" s="876"/>
      <c r="M69" s="876"/>
      <c r="O69" s="48" t="s">
        <v>2933</v>
      </c>
      <c r="P69" s="865"/>
      <c r="Q69" s="1442"/>
    </row>
    <row r="70" spans="1:31" ht="9.75" customHeight="1">
      <c r="B70" s="109" t="s">
        <v>3158</v>
      </c>
      <c r="D70" s="109"/>
      <c r="E70" s="109"/>
      <c r="F70" s="109"/>
      <c r="G70" s="109"/>
      <c r="H70" s="33"/>
      <c r="I70" s="878"/>
      <c r="J70" s="878"/>
      <c r="K70" s="878"/>
      <c r="L70" s="674"/>
      <c r="M70" s="674"/>
      <c r="N70" s="674"/>
      <c r="O70" s="674"/>
      <c r="P70" s="674"/>
      <c r="Q70" s="674"/>
    </row>
    <row r="71" spans="1:31" ht="33" customHeight="1">
      <c r="A71" s="4125"/>
      <c r="B71" s="4126"/>
      <c r="C71" s="4126"/>
      <c r="D71" s="4126"/>
      <c r="E71" s="4126"/>
      <c r="F71" s="4126"/>
      <c r="G71" s="4126"/>
      <c r="H71" s="4126"/>
      <c r="I71" s="4126"/>
      <c r="J71" s="4126"/>
      <c r="K71" s="4126"/>
      <c r="L71" s="4126"/>
      <c r="M71" s="4126"/>
      <c r="N71" s="4126"/>
      <c r="O71" s="4126"/>
      <c r="P71" s="4126"/>
      <c r="Q71" s="4127"/>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22"/>
      <c r="B73" s="4123"/>
      <c r="C73" s="4123"/>
      <c r="D73" s="4123"/>
      <c r="E73" s="4123"/>
      <c r="F73" s="4123"/>
      <c r="G73" s="4123"/>
      <c r="H73" s="4123"/>
      <c r="I73" s="4123"/>
      <c r="J73" s="4123"/>
      <c r="K73" s="4123"/>
      <c r="L73" s="4123"/>
      <c r="M73" s="4123"/>
      <c r="N73" s="4123"/>
      <c r="O73" s="4123"/>
      <c r="P73" s="4123"/>
      <c r="Q73" s="4124"/>
    </row>
    <row r="74" spans="1:31" ht="14.15" customHeight="1">
      <c r="A74" s="2" t="s">
        <v>495</v>
      </c>
      <c r="B74" s="2" t="s">
        <v>2416</v>
      </c>
      <c r="C74" s="2"/>
      <c r="D74" s="874"/>
      <c r="E74" s="874"/>
      <c r="F74" s="874"/>
      <c r="G74" s="874"/>
      <c r="H74" s="874"/>
      <c r="I74" s="874"/>
      <c r="J74" s="874"/>
      <c r="K74" s="874"/>
      <c r="L74" s="874"/>
      <c r="M74" s="874"/>
      <c r="O74" s="101" t="s">
        <v>1726</v>
      </c>
      <c r="P74" s="4117"/>
      <c r="Q74" s="4118"/>
    </row>
    <row r="75" spans="1:31" ht="3" customHeight="1"/>
    <row r="76" spans="1:31" ht="12.75" customHeight="1">
      <c r="A76" s="40" t="s">
        <v>1836</v>
      </c>
      <c r="B76" s="29" t="s">
        <v>3902</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34"/>
      <c r="N77" s="4135"/>
      <c r="O77" s="4135"/>
      <c r="P77" s="4136"/>
      <c r="Q77" s="419"/>
    </row>
    <row r="78" spans="1:31" s="35" customFormat="1" ht="12.75" customHeight="1">
      <c r="B78" s="113" t="s">
        <v>1612</v>
      </c>
      <c r="C78" s="29" t="s">
        <v>3715</v>
      </c>
      <c r="O78" s="49" t="s">
        <v>1612</v>
      </c>
      <c r="P78" s="1224"/>
      <c r="Q78" s="1225"/>
    </row>
    <row r="79" spans="1:31" s="35" customFormat="1" ht="12.75" customHeight="1">
      <c r="B79" s="1161" t="s">
        <v>1613</v>
      </c>
      <c r="C79" s="29" t="s">
        <v>3928</v>
      </c>
      <c r="O79" s="117" t="s">
        <v>1613</v>
      </c>
      <c r="P79" s="1339"/>
      <c r="Q79" s="1340"/>
    </row>
    <row r="80" spans="1:31" ht="12.75" customHeight="1">
      <c r="A80" s="878"/>
      <c r="B80" s="371" t="s">
        <v>2176</v>
      </c>
      <c r="C80" s="33" t="s">
        <v>3677</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11" t="s">
        <v>3828</v>
      </c>
      <c r="D84" s="4111"/>
      <c r="E84" s="4111"/>
      <c r="F84" s="4111"/>
      <c r="G84" s="4111"/>
      <c r="H84" s="4111"/>
      <c r="I84" s="4111"/>
      <c r="J84" s="4111"/>
      <c r="K84" s="4111"/>
      <c r="L84" s="4111"/>
      <c r="M84" s="4111"/>
      <c r="N84" s="4111"/>
      <c r="O84" s="128" t="s">
        <v>480</v>
      </c>
      <c r="P84" s="883"/>
      <c r="Q84" s="882"/>
    </row>
    <row r="85" spans="1:31" ht="12.75" customHeight="1">
      <c r="A85" s="40" t="s">
        <v>1838</v>
      </c>
      <c r="B85" s="29" t="s">
        <v>3827</v>
      </c>
      <c r="C85" s="29"/>
      <c r="E85" s="29"/>
      <c r="F85" s="29"/>
      <c r="G85" s="29"/>
      <c r="H85" s="29"/>
      <c r="I85" s="29"/>
      <c r="J85" s="29"/>
      <c r="K85" s="29"/>
      <c r="L85" s="29"/>
      <c r="M85" s="29"/>
      <c r="O85" s="48" t="s">
        <v>1838</v>
      </c>
      <c r="P85" s="1224"/>
      <c r="Q85" s="1225"/>
    </row>
    <row r="86" spans="1:31" ht="12.75" customHeight="1">
      <c r="B86" s="1161" t="s">
        <v>1611</v>
      </c>
      <c r="C86" s="29" t="s">
        <v>3946</v>
      </c>
      <c r="D86" s="29"/>
      <c r="E86" s="29"/>
      <c r="F86" s="29"/>
      <c r="G86" s="29"/>
      <c r="H86" s="29"/>
      <c r="I86" s="29"/>
      <c r="J86" s="29"/>
      <c r="K86" s="29"/>
      <c r="L86" s="29"/>
      <c r="M86" s="29"/>
      <c r="O86" s="117" t="s">
        <v>1611</v>
      </c>
      <c r="P86" s="1224"/>
      <c r="Q86" s="1225"/>
    </row>
    <row r="87" spans="1:31" ht="12.75" customHeight="1">
      <c r="A87" s="40"/>
      <c r="B87" s="113" t="s">
        <v>1612</v>
      </c>
      <c r="C87" s="29" t="s">
        <v>3945</v>
      </c>
      <c r="D87" s="29"/>
      <c r="E87" s="29"/>
      <c r="F87" s="29"/>
      <c r="G87" s="29"/>
      <c r="H87" s="29"/>
      <c r="I87" s="29"/>
      <c r="J87" s="29"/>
      <c r="K87" s="29"/>
      <c r="L87" s="29"/>
      <c r="M87" s="29"/>
      <c r="O87" s="49" t="s">
        <v>1612</v>
      </c>
      <c r="P87" s="1337"/>
      <c r="Q87" s="1336"/>
    </row>
    <row r="88" spans="1:31" ht="10.5" customHeight="1">
      <c r="B88" s="109" t="s">
        <v>3158</v>
      </c>
      <c r="D88" s="109"/>
      <c r="E88" s="109"/>
      <c r="F88" s="109"/>
      <c r="G88" s="109"/>
      <c r="H88" s="33"/>
      <c r="I88" s="878"/>
      <c r="J88" s="878"/>
      <c r="K88" s="878"/>
      <c r="L88" s="674"/>
      <c r="M88" s="674"/>
      <c r="N88" s="674"/>
      <c r="O88" s="674"/>
      <c r="P88" s="674"/>
      <c r="Q88" s="674"/>
    </row>
    <row r="89" spans="1:31" ht="22.5" customHeight="1">
      <c r="A89" s="4125"/>
      <c r="B89" s="4126"/>
      <c r="C89" s="4126"/>
      <c r="D89" s="4126"/>
      <c r="E89" s="4126"/>
      <c r="F89" s="4126"/>
      <c r="G89" s="4126"/>
      <c r="H89" s="4126"/>
      <c r="I89" s="4126"/>
      <c r="J89" s="4126"/>
      <c r="K89" s="4126"/>
      <c r="L89" s="4126"/>
      <c r="M89" s="4126"/>
      <c r="N89" s="4126"/>
      <c r="O89" s="4126"/>
      <c r="P89" s="4126"/>
      <c r="Q89" s="4127"/>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22"/>
      <c r="B91" s="4123"/>
      <c r="C91" s="4123"/>
      <c r="D91" s="4123"/>
      <c r="E91" s="4123"/>
      <c r="F91" s="4123"/>
      <c r="G91" s="4123"/>
      <c r="H91" s="4123"/>
      <c r="I91" s="4123"/>
      <c r="J91" s="4123"/>
      <c r="K91" s="4123"/>
      <c r="L91" s="4123"/>
      <c r="M91" s="4123"/>
      <c r="N91" s="4123"/>
      <c r="O91" s="4123"/>
      <c r="P91" s="4123"/>
      <c r="Q91" s="4124"/>
    </row>
    <row r="92" spans="1:31" ht="14.15" customHeight="1">
      <c r="A92" s="2" t="s">
        <v>719</v>
      </c>
      <c r="B92" s="2" t="s">
        <v>2417</v>
      </c>
      <c r="C92" s="33"/>
      <c r="D92" s="874"/>
      <c r="E92" s="874"/>
      <c r="F92" s="874"/>
      <c r="G92" s="874"/>
      <c r="H92" s="874"/>
      <c r="I92" s="874"/>
      <c r="J92" s="874"/>
      <c r="K92" s="874"/>
      <c r="L92" s="874"/>
      <c r="M92" s="874"/>
      <c r="N92" s="845" t="s">
        <v>4431</v>
      </c>
      <c r="O92" s="101" t="s">
        <v>1726</v>
      </c>
      <c r="P92" s="4117"/>
      <c r="Q92" s="4118"/>
      <c r="R92" s="847" t="s">
        <v>4418</v>
      </c>
    </row>
    <row r="93" spans="1:31" ht="6.65" customHeight="1"/>
    <row r="94" spans="1:31">
      <c r="A94" s="40" t="s">
        <v>1836</v>
      </c>
      <c r="B94" s="29" t="s">
        <v>4087</v>
      </c>
      <c r="D94" s="103"/>
      <c r="E94" s="103"/>
      <c r="F94" s="103"/>
      <c r="G94" s="103"/>
      <c r="H94" s="103"/>
      <c r="I94" s="35"/>
      <c r="J94" s="35"/>
      <c r="K94" s="48" t="s">
        <v>1836</v>
      </c>
      <c r="L94" s="4156"/>
      <c r="M94" s="4156"/>
      <c r="N94" s="4156"/>
      <c r="O94" s="4156"/>
      <c r="P94" s="4157"/>
      <c r="Q94" s="1700"/>
    </row>
    <row r="95" spans="1:31" ht="12" customHeight="1">
      <c r="B95" s="44" t="s">
        <v>4525</v>
      </c>
      <c r="O95" s="49" t="s">
        <v>1612</v>
      </c>
      <c r="P95" s="299"/>
      <c r="Q95" s="419"/>
    </row>
    <row r="96" spans="1:31" ht="12" customHeight="1">
      <c r="B96" s="44" t="s">
        <v>4419</v>
      </c>
      <c r="I96" s="44" t="s">
        <v>4421</v>
      </c>
      <c r="K96" s="1708"/>
      <c r="L96" s="1709"/>
      <c r="N96" s="44" t="s">
        <v>4420</v>
      </c>
      <c r="P96" s="1706"/>
      <c r="Q96" s="1707"/>
    </row>
    <row r="97" spans="1:17" ht="12" customHeight="1">
      <c r="A97" s="40" t="s">
        <v>1838</v>
      </c>
      <c r="B97" s="29" t="s">
        <v>4530</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75"/>
      <c r="M99" s="4275"/>
      <c r="N99" s="4275"/>
      <c r="O99" s="4275"/>
      <c r="P99" s="4276"/>
      <c r="Q99" s="419"/>
    </row>
    <row r="100" spans="1:17" ht="12" customHeight="1">
      <c r="A100" s="107"/>
      <c r="B100" s="113" t="s">
        <v>1612</v>
      </c>
      <c r="C100" s="29" t="s">
        <v>2997</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3664</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4518</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4519</v>
      </c>
      <c r="E104" s="103"/>
      <c r="F104" s="103"/>
      <c r="G104" s="103"/>
      <c r="H104" s="72"/>
      <c r="I104" s="72"/>
      <c r="J104" s="72"/>
      <c r="K104" s="103"/>
      <c r="L104" s="876"/>
      <c r="M104" s="876"/>
      <c r="O104" s="48" t="s">
        <v>1612</v>
      </c>
      <c r="P104" s="299"/>
      <c r="Q104" s="419"/>
    </row>
    <row r="105" spans="1:17" s="115" customFormat="1" ht="12" customHeight="1">
      <c r="A105" s="40"/>
      <c r="B105" s="33"/>
      <c r="C105" s="29" t="s">
        <v>4520</v>
      </c>
      <c r="E105" s="48" t="s">
        <v>2234</v>
      </c>
      <c r="F105" s="29" t="s">
        <v>4521</v>
      </c>
      <c r="G105" s="72"/>
      <c r="H105" s="29"/>
      <c r="I105" s="72"/>
      <c r="J105" s="72"/>
      <c r="K105" s="103"/>
      <c r="L105" s="876"/>
      <c r="M105" s="876"/>
      <c r="O105" s="48" t="s">
        <v>2234</v>
      </c>
      <c r="P105" s="1774"/>
      <c r="Q105" s="1775"/>
    </row>
    <row r="106" spans="1:17" s="115" customFormat="1" ht="12" customHeight="1">
      <c r="A106" s="40"/>
      <c r="B106" s="33"/>
      <c r="E106" s="48" t="s">
        <v>2235</v>
      </c>
      <c r="F106" s="29" t="s">
        <v>4522</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4520</v>
      </c>
      <c r="E108" s="48" t="s">
        <v>2234</v>
      </c>
      <c r="F108" s="29" t="s">
        <v>4523</v>
      </c>
      <c r="G108" s="72"/>
      <c r="H108" s="29"/>
      <c r="I108" s="72"/>
      <c r="J108" s="72"/>
      <c r="K108" s="103"/>
      <c r="L108" s="876"/>
      <c r="O108" s="48" t="s">
        <v>2234</v>
      </c>
      <c r="P108" s="1774"/>
      <c r="Q108" s="1775"/>
    </row>
    <row r="109" spans="1:17" s="115" customFormat="1" ht="12" customHeight="1">
      <c r="A109" s="40"/>
      <c r="B109" s="48"/>
      <c r="E109" s="48" t="s">
        <v>2235</v>
      </c>
      <c r="F109" s="29" t="s">
        <v>4524</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3737</v>
      </c>
      <c r="I111" s="29" t="s">
        <v>2494</v>
      </c>
      <c r="J111" s="1224"/>
      <c r="K111" s="1225"/>
      <c r="L111" s="48" t="s">
        <v>3741</v>
      </c>
      <c r="M111" s="108" t="s">
        <v>4092</v>
      </c>
      <c r="P111" s="1224"/>
      <c r="Q111" s="1225"/>
    </row>
    <row r="112" spans="1:17" ht="12.75" customHeight="1">
      <c r="B112" s="113" t="s">
        <v>1612</v>
      </c>
      <c r="C112" s="29" t="s">
        <v>4088</v>
      </c>
      <c r="E112" s="103"/>
      <c r="F112" s="299"/>
      <c r="G112" s="419"/>
      <c r="H112" s="48" t="s">
        <v>3738</v>
      </c>
      <c r="I112" s="29" t="s">
        <v>4013</v>
      </c>
      <c r="J112" s="299"/>
      <c r="K112" s="419"/>
      <c r="L112" s="48" t="s">
        <v>3742</v>
      </c>
      <c r="M112" s="44" t="s">
        <v>3200</v>
      </c>
      <c r="O112" s="876"/>
      <c r="P112" s="299"/>
      <c r="Q112" s="419"/>
    </row>
    <row r="113" spans="1:31" ht="12" customHeight="1">
      <c r="A113" s="29"/>
      <c r="B113" s="113" t="s">
        <v>1613</v>
      </c>
      <c r="C113" s="29" t="s">
        <v>4089</v>
      </c>
      <c r="E113" s="103"/>
      <c r="F113" s="299"/>
      <c r="G113" s="419"/>
      <c r="H113" s="48" t="s">
        <v>3739</v>
      </c>
      <c r="I113" s="29" t="s">
        <v>4014</v>
      </c>
      <c r="J113" s="299"/>
      <c r="K113" s="419"/>
      <c r="L113" s="48" t="s">
        <v>3743</v>
      </c>
      <c r="M113" s="29" t="s">
        <v>1448</v>
      </c>
      <c r="P113" s="299"/>
      <c r="Q113" s="419"/>
    </row>
    <row r="114" spans="1:31" ht="12" customHeight="1">
      <c r="A114" s="29"/>
      <c r="B114" s="113" t="s">
        <v>2176</v>
      </c>
      <c r="C114" s="44" t="s">
        <v>2408</v>
      </c>
      <c r="E114" s="103"/>
      <c r="F114" s="176"/>
      <c r="G114" s="420"/>
      <c r="H114" s="48" t="s">
        <v>3740</v>
      </c>
      <c r="I114" s="44" t="s">
        <v>4090</v>
      </c>
      <c r="J114" s="176"/>
      <c r="K114" s="420"/>
      <c r="L114" s="48" t="s">
        <v>4091</v>
      </c>
      <c r="M114" s="44" t="s">
        <v>4015</v>
      </c>
      <c r="P114" s="176"/>
      <c r="Q114" s="420"/>
    </row>
    <row r="115" spans="1:31" ht="12" customHeight="1">
      <c r="A115" s="29"/>
      <c r="B115" s="48" t="s">
        <v>4422</v>
      </c>
      <c r="C115" s="29" t="s">
        <v>2495</v>
      </c>
      <c r="E115" s="103"/>
      <c r="F115" s="103"/>
      <c r="G115" s="103"/>
      <c r="H115" s="103"/>
      <c r="I115" s="103"/>
      <c r="J115" s="103"/>
      <c r="K115" s="103"/>
      <c r="L115" s="103"/>
      <c r="M115" s="29"/>
      <c r="O115" s="49"/>
      <c r="P115" s="49"/>
    </row>
    <row r="116" spans="1:31" ht="12" customHeight="1">
      <c r="A116" s="29"/>
      <c r="C116" s="4260"/>
      <c r="D116" s="4260"/>
      <c r="E116" s="4260"/>
      <c r="F116" s="4260"/>
      <c r="G116" s="4260"/>
      <c r="H116" s="4260"/>
      <c r="I116" s="4260"/>
      <c r="J116" s="4260"/>
      <c r="K116" s="4260"/>
      <c r="L116" s="4260"/>
      <c r="M116" s="4260"/>
      <c r="N116" s="4260"/>
      <c r="O116" s="4260"/>
      <c r="P116" s="4260"/>
      <c r="Q116" s="4260"/>
    </row>
    <row r="117" spans="1:31" ht="12" customHeight="1">
      <c r="A117" s="110" t="s">
        <v>1610</v>
      </c>
      <c r="B117" s="29" t="s">
        <v>3055</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4526</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3725</v>
      </c>
      <c r="E121" s="29"/>
      <c r="F121" s="29"/>
      <c r="G121" s="29"/>
      <c r="H121" s="29"/>
      <c r="I121" s="35"/>
      <c r="J121" s="35"/>
      <c r="K121" s="29"/>
      <c r="L121" s="29"/>
      <c r="M121" s="29"/>
      <c r="O121" s="48" t="s">
        <v>2176</v>
      </c>
      <c r="P121" s="176"/>
      <c r="Q121" s="420"/>
    </row>
    <row r="122" spans="1:31" ht="12" customHeight="1">
      <c r="A122" s="67" t="s">
        <v>3829</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11" t="s">
        <v>141</v>
      </c>
      <c r="C123" s="4111"/>
      <c r="D123" s="4111"/>
      <c r="E123" s="4111"/>
      <c r="F123" s="4111"/>
      <c r="G123" s="4111"/>
      <c r="H123" s="4111"/>
      <c r="I123" s="4111"/>
      <c r="J123" s="4111"/>
      <c r="K123" s="4111"/>
      <c r="L123" s="4111"/>
      <c r="M123" s="128" t="s">
        <v>1803</v>
      </c>
      <c r="N123" s="4291" t="s">
        <v>1641</v>
      </c>
      <c r="O123" s="4292"/>
      <c r="P123" s="4293" t="s">
        <v>1641</v>
      </c>
      <c r="Q123" s="4294"/>
    </row>
    <row r="124" spans="1:31" ht="11.25" customHeight="1">
      <c r="B124" s="109" t="s">
        <v>3158</v>
      </c>
      <c r="D124" s="109"/>
      <c r="E124" s="109"/>
      <c r="F124" s="109"/>
      <c r="G124" s="109"/>
      <c r="H124" s="33"/>
      <c r="I124" s="878"/>
      <c r="J124" s="878"/>
      <c r="K124" s="878"/>
      <c r="L124" s="674"/>
      <c r="M124" s="674"/>
      <c r="N124" s="674"/>
      <c r="O124" s="674"/>
      <c r="P124" s="674"/>
      <c r="Q124" s="674"/>
    </row>
    <row r="125" spans="1:31" ht="45" customHeight="1">
      <c r="A125" s="4125"/>
      <c r="B125" s="4126"/>
      <c r="C125" s="4126"/>
      <c r="D125" s="4126"/>
      <c r="E125" s="4126"/>
      <c r="F125" s="4126"/>
      <c r="G125" s="4126"/>
      <c r="H125" s="4126"/>
      <c r="I125" s="4126"/>
      <c r="J125" s="4126"/>
      <c r="K125" s="4126"/>
      <c r="L125" s="4126"/>
      <c r="M125" s="4126"/>
      <c r="N125" s="4126"/>
      <c r="O125" s="4126"/>
      <c r="P125" s="4126"/>
      <c r="Q125" s="4127"/>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22"/>
      <c r="B128" s="4123"/>
      <c r="C128" s="4123"/>
      <c r="D128" s="4123"/>
      <c r="E128" s="4123"/>
      <c r="F128" s="4123"/>
      <c r="G128" s="4123"/>
      <c r="H128" s="4123"/>
      <c r="I128" s="4123"/>
      <c r="J128" s="4123"/>
      <c r="K128" s="4123"/>
      <c r="L128" s="4123"/>
      <c r="M128" s="4123"/>
      <c r="N128" s="4123"/>
      <c r="O128" s="4123"/>
      <c r="P128" s="4123"/>
      <c r="Q128" s="4124"/>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5" customHeight="1">
      <c r="A130" s="2" t="s">
        <v>280</v>
      </c>
      <c r="B130" s="2" t="s">
        <v>2418</v>
      </c>
      <c r="C130" s="2"/>
      <c r="D130" s="874"/>
      <c r="E130" s="874"/>
      <c r="F130" s="874"/>
      <c r="G130" s="874"/>
      <c r="H130" s="874"/>
      <c r="I130" s="874"/>
      <c r="J130" s="874"/>
      <c r="K130" s="874"/>
      <c r="N130" s="845" t="s">
        <v>4431</v>
      </c>
      <c r="O130" s="101" t="s">
        <v>1726</v>
      </c>
      <c r="P130" s="4117"/>
      <c r="Q130" s="4118"/>
      <c r="R130" s="847" t="s">
        <v>4418</v>
      </c>
    </row>
    <row r="131" spans="1:31" ht="12" customHeight="1">
      <c r="A131" s="40" t="s">
        <v>1836</v>
      </c>
      <c r="B131" s="113" t="s">
        <v>1611</v>
      </c>
      <c r="C131" s="29" t="s">
        <v>4433</v>
      </c>
      <c r="D131" s="29"/>
      <c r="E131" s="29"/>
      <c r="F131" s="29"/>
      <c r="G131" s="29"/>
      <c r="K131" s="29" t="s">
        <v>2454</v>
      </c>
      <c r="M131" s="4220"/>
      <c r="N131" s="4221"/>
      <c r="O131" s="49" t="s">
        <v>1611</v>
      </c>
      <c r="P131" s="74"/>
      <c r="Q131" s="416"/>
    </row>
    <row r="132" spans="1:31" ht="12" customHeight="1">
      <c r="A132" s="40"/>
      <c r="B132" s="113" t="s">
        <v>1612</v>
      </c>
      <c r="C132" s="29" t="s">
        <v>3929</v>
      </c>
      <c r="D132" s="29"/>
      <c r="E132" s="29"/>
      <c r="F132" s="29"/>
      <c r="G132" s="29"/>
      <c r="K132" s="29" t="s">
        <v>2454</v>
      </c>
      <c r="M132" s="4220"/>
      <c r="N132" s="4221"/>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22" t="s">
        <v>4697</v>
      </c>
      <c r="N133" s="4223"/>
      <c r="P133" s="4224" t="s">
        <v>1641</v>
      </c>
      <c r="Q133" s="4225"/>
    </row>
    <row r="134" spans="1:31" ht="12" customHeight="1">
      <c r="A134" s="40" t="s">
        <v>697</v>
      </c>
      <c r="B134" s="108" t="s">
        <v>635</v>
      </c>
      <c r="D134" s="108"/>
      <c r="E134" s="108"/>
      <c r="F134" s="108"/>
      <c r="G134" s="108"/>
      <c r="H134" s="108"/>
      <c r="J134" s="48" t="s">
        <v>697</v>
      </c>
      <c r="K134" s="4134"/>
      <c r="L134" s="4135"/>
      <c r="M134" s="4135"/>
      <c r="N134" s="4135"/>
      <c r="O134" s="4135"/>
      <c r="P134" s="4213"/>
      <c r="Q134" s="416"/>
    </row>
    <row r="135" spans="1:31" ht="21.75" customHeight="1">
      <c r="A135" s="110" t="s">
        <v>1957</v>
      </c>
      <c r="B135" s="4111" t="s">
        <v>4093</v>
      </c>
      <c r="C135" s="4111"/>
      <c r="D135" s="4111"/>
      <c r="E135" s="4111"/>
      <c r="F135" s="4111"/>
      <c r="G135" s="4111"/>
      <c r="H135" s="4111"/>
      <c r="I135" s="4111"/>
      <c r="J135" s="4111"/>
      <c r="K135" s="4111"/>
      <c r="L135" s="4111"/>
      <c r="M135" s="4111"/>
      <c r="N135" s="4111"/>
      <c r="O135" s="128" t="s">
        <v>1957</v>
      </c>
      <c r="P135" s="883"/>
      <c r="Q135" s="882"/>
    </row>
    <row r="136" spans="1:31" ht="12" customHeight="1">
      <c r="B136" s="109" t="s">
        <v>3158</v>
      </c>
      <c r="D136" s="109"/>
      <c r="E136" s="109"/>
      <c r="F136" s="109"/>
      <c r="G136" s="109"/>
      <c r="H136" s="33"/>
      <c r="I136" s="878"/>
      <c r="J136" s="878"/>
      <c r="K136" s="878"/>
      <c r="L136" s="674"/>
      <c r="M136" s="674"/>
      <c r="N136" s="674"/>
      <c r="O136" s="674"/>
      <c r="P136" s="674"/>
      <c r="Q136" s="674"/>
    </row>
    <row r="137" spans="1:31" ht="11.65" customHeight="1">
      <c r="A137" s="4125"/>
      <c r="B137" s="4126"/>
      <c r="C137" s="4126"/>
      <c r="D137" s="4126"/>
      <c r="E137" s="4126"/>
      <c r="F137" s="4126"/>
      <c r="G137" s="4126"/>
      <c r="H137" s="4126"/>
      <c r="I137" s="4126"/>
      <c r="J137" s="4126"/>
      <c r="K137" s="4126"/>
      <c r="L137" s="4126"/>
      <c r="M137" s="4126"/>
      <c r="N137" s="4126"/>
      <c r="O137" s="4126"/>
      <c r="P137" s="4126"/>
      <c r="Q137" s="4127"/>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22"/>
      <c r="B139" s="4123"/>
      <c r="C139" s="4123"/>
      <c r="D139" s="4123"/>
      <c r="E139" s="4123"/>
      <c r="F139" s="4123"/>
      <c r="G139" s="4123"/>
      <c r="H139" s="4123"/>
      <c r="I139" s="4123"/>
      <c r="J139" s="4123"/>
      <c r="K139" s="4123"/>
      <c r="L139" s="4123"/>
      <c r="M139" s="4123"/>
      <c r="N139" s="4123"/>
      <c r="O139" s="4123"/>
      <c r="P139" s="4123"/>
      <c r="Q139" s="4124"/>
    </row>
    <row r="140" spans="1:31" ht="3" customHeight="1">
      <c r="A140" s="674"/>
      <c r="B140" s="878"/>
      <c r="C140" s="874"/>
      <c r="D140" s="874"/>
      <c r="E140" s="874"/>
      <c r="F140" s="874"/>
      <c r="G140" s="874"/>
      <c r="H140" s="874"/>
      <c r="I140" s="874"/>
      <c r="J140" s="874"/>
      <c r="K140" s="874"/>
      <c r="L140" s="874"/>
      <c r="M140" s="874"/>
      <c r="Q140" s="674"/>
    </row>
    <row r="141" spans="1:31" ht="14.15" customHeight="1">
      <c r="A141" s="2" t="s">
        <v>400</v>
      </c>
      <c r="B141" s="2" t="s">
        <v>2419</v>
      </c>
      <c r="C141" s="2"/>
      <c r="D141" s="874"/>
      <c r="E141" s="874"/>
      <c r="F141" s="874"/>
      <c r="G141" s="874"/>
      <c r="H141" s="874"/>
      <c r="I141" s="874"/>
      <c r="J141" s="874"/>
      <c r="K141" s="874"/>
      <c r="L141" s="874"/>
      <c r="M141" s="874"/>
      <c r="O141" s="101" t="s">
        <v>1726</v>
      </c>
      <c r="P141" s="4117"/>
      <c r="Q141" s="4118"/>
    </row>
    <row r="142" spans="1:31" ht="21.75" customHeight="1">
      <c r="A142" s="110" t="s">
        <v>1836</v>
      </c>
      <c r="B142" s="4111" t="s">
        <v>3151</v>
      </c>
      <c r="C142" s="4111"/>
      <c r="D142" s="4111"/>
      <c r="E142" s="4111"/>
      <c r="F142" s="4111"/>
      <c r="G142" s="4111"/>
      <c r="H142" s="4111"/>
      <c r="I142" s="4111"/>
      <c r="J142" s="4111"/>
      <c r="K142" s="4111"/>
      <c r="L142" s="4111"/>
      <c r="M142" s="4111"/>
      <c r="N142" s="4111"/>
      <c r="O142" s="128" t="s">
        <v>1836</v>
      </c>
      <c r="P142" s="881"/>
      <c r="Q142" s="880"/>
    </row>
    <row r="143" spans="1:31" ht="22.4" customHeight="1">
      <c r="A143" s="110" t="s">
        <v>1838</v>
      </c>
      <c r="B143" s="4111" t="s">
        <v>3678</v>
      </c>
      <c r="C143" s="4111"/>
      <c r="D143" s="4111"/>
      <c r="E143" s="4111"/>
      <c r="F143" s="4111"/>
      <c r="G143" s="4111"/>
      <c r="H143" s="4111"/>
      <c r="I143" s="4111"/>
      <c r="J143" s="4111"/>
      <c r="K143" s="4111"/>
      <c r="L143" s="4111"/>
      <c r="M143" s="4111"/>
      <c r="N143" s="4111"/>
      <c r="O143" s="128" t="s">
        <v>1838</v>
      </c>
      <c r="P143" s="430"/>
      <c r="Q143" s="421"/>
    </row>
    <row r="144" spans="1:31" ht="22.4" customHeight="1">
      <c r="A144" s="110" t="s">
        <v>697</v>
      </c>
      <c r="B144" s="4111" t="s">
        <v>3152</v>
      </c>
      <c r="C144" s="4111"/>
      <c r="D144" s="4111"/>
      <c r="E144" s="4111"/>
      <c r="F144" s="4111"/>
      <c r="G144" s="4111"/>
      <c r="H144" s="4111"/>
      <c r="I144" s="4111"/>
      <c r="J144" s="4111"/>
      <c r="K144" s="4111"/>
      <c r="L144" s="4111"/>
      <c r="M144" s="4111"/>
      <c r="N144" s="4111"/>
      <c r="O144" s="128" t="s">
        <v>697</v>
      </c>
      <c r="P144" s="430"/>
      <c r="Q144" s="421"/>
    </row>
    <row r="145" spans="1:44" ht="21.75" customHeight="1">
      <c r="A145" s="110" t="s">
        <v>1957</v>
      </c>
      <c r="B145" s="4111" t="s">
        <v>3711</v>
      </c>
      <c r="C145" s="4111"/>
      <c r="D145" s="4111"/>
      <c r="E145" s="4111"/>
      <c r="F145" s="4111"/>
      <c r="G145" s="4111"/>
      <c r="H145" s="4111"/>
      <c r="I145" s="4111"/>
      <c r="J145" s="4111"/>
      <c r="K145" s="4111"/>
      <c r="L145" s="4111"/>
      <c r="M145" s="4111"/>
      <c r="N145" s="4111"/>
      <c r="O145" s="128" t="s">
        <v>1957</v>
      </c>
      <c r="P145" s="883"/>
      <c r="Q145" s="882"/>
    </row>
    <row r="146" spans="1:44" ht="12" customHeight="1">
      <c r="B146" s="109" t="s">
        <v>3158</v>
      </c>
      <c r="D146" s="109"/>
      <c r="E146" s="109"/>
      <c r="F146" s="109"/>
      <c r="G146" s="109"/>
      <c r="H146" s="33"/>
      <c r="I146" s="878"/>
      <c r="J146" s="878"/>
      <c r="K146" s="878"/>
      <c r="L146" s="674"/>
      <c r="M146" s="674"/>
      <c r="N146" s="674"/>
      <c r="O146" s="674"/>
      <c r="P146" s="674"/>
      <c r="Q146" s="674"/>
    </row>
    <row r="147" spans="1:44" ht="11.65" customHeight="1">
      <c r="A147" s="4125"/>
      <c r="B147" s="4126"/>
      <c r="C147" s="4126"/>
      <c r="D147" s="4126"/>
      <c r="E147" s="4126"/>
      <c r="F147" s="4126"/>
      <c r="G147" s="4126"/>
      <c r="H147" s="4126"/>
      <c r="I147" s="4126"/>
      <c r="J147" s="4126"/>
      <c r="K147" s="4126"/>
      <c r="L147" s="4126"/>
      <c r="M147" s="4126"/>
      <c r="N147" s="4126"/>
      <c r="O147" s="4126"/>
      <c r="P147" s="4126"/>
      <c r="Q147" s="4127"/>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22"/>
      <c r="B149" s="4123"/>
      <c r="C149" s="4123"/>
      <c r="D149" s="4123"/>
      <c r="E149" s="4123"/>
      <c r="F149" s="4123"/>
      <c r="G149" s="4123"/>
      <c r="H149" s="4123"/>
      <c r="I149" s="4123"/>
      <c r="J149" s="4123"/>
      <c r="K149" s="4123"/>
      <c r="L149" s="4123"/>
      <c r="M149" s="4123"/>
      <c r="N149" s="4123"/>
      <c r="O149" s="4123"/>
      <c r="P149" s="4123"/>
      <c r="Q149" s="4124"/>
    </row>
    <row r="150" spans="1:44" ht="3" customHeight="1">
      <c r="B150" s="878"/>
      <c r="C150" s="874"/>
      <c r="D150" s="874"/>
      <c r="E150" s="874"/>
      <c r="F150" s="874"/>
      <c r="G150" s="874"/>
      <c r="H150" s="874"/>
      <c r="I150" s="874"/>
      <c r="J150" s="874"/>
      <c r="K150" s="874"/>
      <c r="L150" s="874"/>
      <c r="M150" s="874"/>
      <c r="N150" s="874"/>
      <c r="O150" s="874"/>
      <c r="P150" s="874"/>
      <c r="Q150" s="674"/>
    </row>
    <row r="151" spans="1:44" ht="14.15" customHeight="1">
      <c r="A151" s="23" t="s">
        <v>342</v>
      </c>
      <c r="B151" s="3503" t="s">
        <v>2420</v>
      </c>
      <c r="C151" s="3503"/>
      <c r="D151" s="3503"/>
      <c r="E151" s="236"/>
      <c r="N151" s="845" t="s">
        <v>4431</v>
      </c>
      <c r="O151" s="101" t="s">
        <v>1726</v>
      </c>
      <c r="P151" s="4117"/>
      <c r="Q151" s="4118"/>
      <c r="R151" s="847" t="s">
        <v>4418</v>
      </c>
    </row>
    <row r="152" spans="1:44" customFormat="1" ht="11.65" customHeight="1">
      <c r="B152" s="44" t="s">
        <v>4553</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4016</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3713</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11" t="s">
        <v>3153</v>
      </c>
      <c r="D158" s="4111"/>
      <c r="E158" s="4111"/>
      <c r="F158" s="4111"/>
      <c r="G158" s="4111"/>
      <c r="H158" s="4111"/>
      <c r="I158" s="4111"/>
      <c r="J158" s="4111"/>
      <c r="K158" s="4111"/>
      <c r="L158" s="4111"/>
      <c r="M158" s="4111"/>
      <c r="N158" s="4111"/>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11" t="s">
        <v>2413</v>
      </c>
      <c r="D160" s="4111"/>
      <c r="E160" s="4111"/>
      <c r="F160" s="4111"/>
      <c r="G160" s="4111"/>
      <c r="H160" s="4111"/>
      <c r="I160" s="4111"/>
      <c r="J160" s="4111"/>
      <c r="K160" s="4111"/>
      <c r="L160" s="4111"/>
      <c r="M160" s="4111"/>
      <c r="N160" s="4111"/>
      <c r="O160" s="128" t="s">
        <v>1446</v>
      </c>
      <c r="P160" s="430"/>
      <c r="Q160" s="421"/>
    </row>
    <row r="161" spans="1:44" s="102" customFormat="1" ht="21.75" customHeight="1">
      <c r="A161" s="110"/>
      <c r="B161" s="371" t="s">
        <v>1447</v>
      </c>
      <c r="C161" s="4111" t="s">
        <v>3224</v>
      </c>
      <c r="D161" s="4111"/>
      <c r="E161" s="4111"/>
      <c r="F161" s="4111"/>
      <c r="G161" s="4111"/>
      <c r="H161" s="4111"/>
      <c r="I161" s="4111"/>
      <c r="J161" s="4111"/>
      <c r="K161" s="4111"/>
      <c r="L161" s="4111"/>
      <c r="M161" s="4111"/>
      <c r="N161" s="4111"/>
      <c r="O161" s="128" t="s">
        <v>1447</v>
      </c>
      <c r="P161" s="430"/>
      <c r="Q161" s="421"/>
    </row>
    <row r="162" spans="1:44" ht="21.75" customHeight="1">
      <c r="A162" s="110" t="s">
        <v>1957</v>
      </c>
      <c r="B162" s="4111" t="s">
        <v>2414</v>
      </c>
      <c r="C162" s="4111"/>
      <c r="D162" s="4111"/>
      <c r="E162" s="4111"/>
      <c r="F162" s="4111"/>
      <c r="G162" s="4111"/>
      <c r="H162" s="4111"/>
      <c r="I162" s="4111"/>
      <c r="J162" s="4111"/>
      <c r="K162" s="4111"/>
      <c r="L162" s="4111"/>
      <c r="M162" s="4111"/>
      <c r="N162" s="4111"/>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3158</v>
      </c>
      <c r="D164" s="109"/>
      <c r="E164" s="109"/>
      <c r="F164" s="109"/>
      <c r="G164" s="109"/>
      <c r="H164" s="33"/>
      <c r="I164" s="878"/>
      <c r="J164" s="878"/>
      <c r="K164" s="878"/>
      <c r="L164" s="674"/>
      <c r="M164" s="674"/>
      <c r="N164" s="674"/>
      <c r="O164" s="674"/>
      <c r="P164" s="674"/>
      <c r="Q164" s="674"/>
    </row>
    <row r="165" spans="1:44" ht="11.65" customHeight="1">
      <c r="A165" s="4125"/>
      <c r="B165" s="4126"/>
      <c r="C165" s="4126"/>
      <c r="D165" s="4126"/>
      <c r="E165" s="4126"/>
      <c r="F165" s="4126"/>
      <c r="G165" s="4126"/>
      <c r="H165" s="4126"/>
      <c r="I165" s="4126"/>
      <c r="J165" s="4126"/>
      <c r="K165" s="4126"/>
      <c r="L165" s="4126"/>
      <c r="M165" s="4126"/>
      <c r="N165" s="4126"/>
      <c r="O165" s="4126"/>
      <c r="P165" s="4126"/>
      <c r="Q165" s="4127"/>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22"/>
      <c r="B167" s="4123"/>
      <c r="C167" s="4123"/>
      <c r="D167" s="4123"/>
      <c r="E167" s="4123"/>
      <c r="F167" s="4123"/>
      <c r="G167" s="4123"/>
      <c r="H167" s="4123"/>
      <c r="I167" s="4123"/>
      <c r="J167" s="4123"/>
      <c r="K167" s="4123"/>
      <c r="L167" s="4123"/>
      <c r="M167" s="4123"/>
      <c r="N167" s="4123"/>
      <c r="O167" s="4123"/>
      <c r="P167" s="4123"/>
      <c r="Q167" s="4124"/>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5" customHeight="1">
      <c r="A169" s="2" t="s">
        <v>343</v>
      </c>
      <c r="B169" s="2" t="s">
        <v>2421</v>
      </c>
      <c r="C169" s="2"/>
      <c r="D169" s="874"/>
      <c r="E169" s="114"/>
      <c r="F169" s="236"/>
      <c r="G169" s="874"/>
      <c r="J169" s="456"/>
      <c r="K169" s="456"/>
      <c r="L169" s="456"/>
      <c r="M169" s="456"/>
      <c r="N169" s="845" t="s">
        <v>4431</v>
      </c>
      <c r="O169" s="101" t="s">
        <v>1726</v>
      </c>
      <c r="P169" s="4117"/>
      <c r="Q169" s="4118"/>
      <c r="R169" s="847" t="s">
        <v>4418</v>
      </c>
    </row>
    <row r="170" spans="1:44" customFormat="1" ht="12.75" customHeight="1">
      <c r="B170" s="44" t="s">
        <v>4553</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38" t="s">
        <v>1705</v>
      </c>
      <c r="K171" s="4139"/>
      <c r="L171" s="4139"/>
      <c r="M171" s="4139"/>
      <c r="N171" s="4140"/>
      <c r="O171" s="49" t="s">
        <v>1611</v>
      </c>
      <c r="P171" s="175"/>
      <c r="Q171" s="418"/>
    </row>
    <row r="172" spans="1:44" ht="12.75" customHeight="1">
      <c r="A172" s="107"/>
      <c r="B172" s="109" t="s">
        <v>3158</v>
      </c>
      <c r="C172" s="82"/>
      <c r="D172" s="82"/>
      <c r="E172" s="82"/>
      <c r="F172" s="82"/>
      <c r="H172" s="49" t="s">
        <v>1612</v>
      </c>
      <c r="I172" s="29" t="s">
        <v>1489</v>
      </c>
      <c r="J172" s="4165" t="s">
        <v>1705</v>
      </c>
      <c r="K172" s="4166"/>
      <c r="L172" s="4166"/>
      <c r="M172" s="4166"/>
      <c r="N172" s="4167"/>
      <c r="O172" s="49" t="s">
        <v>1612</v>
      </c>
      <c r="P172" s="176"/>
      <c r="Q172" s="420"/>
    </row>
    <row r="173" spans="1:44" ht="12.75" customHeight="1">
      <c r="A173" s="4125"/>
      <c r="B173" s="4126"/>
      <c r="C173" s="4126"/>
      <c r="D173" s="4126"/>
      <c r="E173" s="4126"/>
      <c r="F173" s="4126"/>
      <c r="G173" s="4126"/>
      <c r="H173" s="4126"/>
      <c r="I173" s="4126"/>
      <c r="J173" s="4126"/>
      <c r="K173" s="4126"/>
      <c r="L173" s="4126"/>
      <c r="M173" s="4126"/>
      <c r="N173" s="4126"/>
      <c r="O173" s="4126"/>
      <c r="P173" s="4126"/>
      <c r="Q173" s="4127"/>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22"/>
      <c r="B175" s="4123"/>
      <c r="C175" s="4123"/>
      <c r="D175" s="4123"/>
      <c r="E175" s="4123"/>
      <c r="F175" s="4123"/>
      <c r="G175" s="4123"/>
      <c r="H175" s="4123"/>
      <c r="I175" s="4123"/>
      <c r="J175" s="4123"/>
      <c r="K175" s="4123"/>
      <c r="L175" s="4123"/>
      <c r="M175" s="4123"/>
      <c r="N175" s="4123"/>
      <c r="O175" s="4123"/>
      <c r="P175" s="4123"/>
      <c r="Q175" s="4124"/>
    </row>
    <row r="176" spans="1:44" ht="4.4000000000000004" customHeight="1">
      <c r="B176" s="878"/>
      <c r="C176" s="874"/>
      <c r="D176" s="874"/>
      <c r="E176" s="874"/>
      <c r="F176" s="874"/>
      <c r="G176" s="874"/>
      <c r="H176" s="874"/>
      <c r="I176" s="874"/>
      <c r="J176" s="874"/>
      <c r="K176" s="874"/>
      <c r="L176" s="874"/>
      <c r="M176" s="874"/>
      <c r="Q176" s="674"/>
    </row>
    <row r="177" spans="1:44" ht="14.15" customHeight="1">
      <c r="A177" s="2" t="s">
        <v>344</v>
      </c>
      <c r="B177" s="4" t="s">
        <v>2422</v>
      </c>
      <c r="C177" s="4"/>
      <c r="D177" s="66"/>
      <c r="E177" s="66"/>
      <c r="F177" s="66"/>
      <c r="G177" s="874"/>
      <c r="H177" s="874"/>
      <c r="I177" s="1459"/>
      <c r="J177" s="874"/>
      <c r="K177" s="874"/>
      <c r="L177" s="874"/>
      <c r="M177" s="874"/>
      <c r="N177" s="845" t="s">
        <v>4431</v>
      </c>
      <c r="O177" s="101" t="s">
        <v>1726</v>
      </c>
      <c r="P177" s="4117"/>
      <c r="Q177" s="4118"/>
      <c r="R177" s="847" t="s">
        <v>4418</v>
      </c>
    </row>
    <row r="178" spans="1:44" customFormat="1" ht="12.75" customHeight="1">
      <c r="B178" s="44" t="s">
        <v>4553</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11" t="s">
        <v>1708</v>
      </c>
      <c r="C179" s="4111"/>
      <c r="D179" s="4111"/>
      <c r="E179" s="4111"/>
      <c r="F179" s="4111"/>
      <c r="G179" s="4111"/>
      <c r="H179" s="49" t="s">
        <v>1611</v>
      </c>
      <c r="I179" s="29" t="s">
        <v>591</v>
      </c>
      <c r="J179" s="4138" t="s">
        <v>1705</v>
      </c>
      <c r="K179" s="4139"/>
      <c r="L179" s="4139"/>
      <c r="M179" s="4139"/>
      <c r="N179" s="4140"/>
      <c r="O179" s="128" t="s">
        <v>1389</v>
      </c>
      <c r="P179" s="1224"/>
      <c r="Q179" s="1225"/>
    </row>
    <row r="180" spans="1:44" ht="12.75" customHeight="1">
      <c r="A180" s="118"/>
      <c r="B180" s="4111"/>
      <c r="C180" s="4111"/>
      <c r="D180" s="4111"/>
      <c r="E180" s="4111"/>
      <c r="F180" s="4111"/>
      <c r="G180" s="4111"/>
      <c r="H180" s="49" t="s">
        <v>1612</v>
      </c>
      <c r="I180" s="29" t="s">
        <v>110</v>
      </c>
      <c r="J180" s="4165" t="s">
        <v>1705</v>
      </c>
      <c r="K180" s="4166"/>
      <c r="L180" s="4166"/>
      <c r="M180" s="4166"/>
      <c r="N180" s="4167"/>
      <c r="O180" s="128" t="s">
        <v>1612</v>
      </c>
      <c r="P180" s="1669"/>
      <c r="Q180" s="675"/>
    </row>
    <row r="181" spans="1:44" ht="12.75" customHeight="1">
      <c r="A181" s="40" t="s">
        <v>1838</v>
      </c>
      <c r="B181" s="113" t="s">
        <v>1611</v>
      </c>
      <c r="C181" s="29" t="s">
        <v>4405</v>
      </c>
      <c r="E181" s="29"/>
      <c r="F181" s="29"/>
      <c r="G181" s="29"/>
      <c r="H181" s="29"/>
      <c r="I181" s="29"/>
      <c r="J181" s="29"/>
      <c r="K181" s="35"/>
      <c r="L181" s="29"/>
      <c r="M181" s="29"/>
      <c r="O181" s="128" t="s">
        <v>4406</v>
      </c>
      <c r="P181" s="1224"/>
      <c r="Q181" s="1225"/>
    </row>
    <row r="182" spans="1:44" ht="12.75" customHeight="1">
      <c r="A182" s="40"/>
      <c r="B182" s="113" t="s">
        <v>1612</v>
      </c>
      <c r="C182" s="29" t="s">
        <v>4404</v>
      </c>
      <c r="D182" s="29"/>
      <c r="E182" s="29"/>
      <c r="F182" s="29"/>
      <c r="G182" s="29"/>
      <c r="H182" s="29"/>
      <c r="I182" s="29"/>
      <c r="J182" s="29"/>
      <c r="K182" s="35"/>
      <c r="L182" s="29"/>
      <c r="M182" s="29"/>
      <c r="O182" s="128" t="s">
        <v>1612</v>
      </c>
      <c r="P182" s="176"/>
      <c r="Q182" s="420"/>
    </row>
    <row r="183" spans="1:44" ht="12.75" customHeight="1">
      <c r="A183" s="40" t="s">
        <v>697</v>
      </c>
      <c r="B183" s="29" t="s">
        <v>4425</v>
      </c>
      <c r="D183" s="29"/>
      <c r="E183" s="29"/>
      <c r="F183" s="29"/>
      <c r="G183" s="29"/>
      <c r="H183" s="29"/>
      <c r="I183" s="29"/>
      <c r="J183" s="29"/>
      <c r="K183" s="35"/>
      <c r="L183" s="29"/>
      <c r="M183" s="29"/>
      <c r="O183" s="48" t="s">
        <v>697</v>
      </c>
      <c r="P183" s="1337"/>
      <c r="Q183" s="1336"/>
    </row>
    <row r="184" spans="1:44" ht="12.75" customHeight="1">
      <c r="B184" s="109" t="s">
        <v>3158</v>
      </c>
      <c r="D184" s="109"/>
      <c r="E184" s="109"/>
      <c r="F184" s="109"/>
      <c r="G184" s="109"/>
      <c r="H184" s="33"/>
      <c r="I184" s="878"/>
      <c r="J184" s="878"/>
      <c r="K184" s="878"/>
      <c r="L184" s="674"/>
      <c r="M184" s="674"/>
      <c r="N184" s="674"/>
      <c r="O184" s="674"/>
      <c r="P184" s="674"/>
      <c r="Q184" s="674"/>
    </row>
    <row r="185" spans="1:44" ht="12.75" customHeight="1">
      <c r="A185" s="4125"/>
      <c r="B185" s="4126"/>
      <c r="C185" s="4126"/>
      <c r="D185" s="4126"/>
      <c r="E185" s="4126"/>
      <c r="F185" s="4126"/>
      <c r="G185" s="4126"/>
      <c r="H185" s="4126"/>
      <c r="I185" s="4126"/>
      <c r="J185" s="4126"/>
      <c r="K185" s="4126"/>
      <c r="L185" s="4126"/>
      <c r="M185" s="4126"/>
      <c r="N185" s="4126"/>
      <c r="O185" s="4126"/>
      <c r="P185" s="4126"/>
      <c r="Q185" s="4127"/>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22"/>
      <c r="B187" s="4123"/>
      <c r="C187" s="4123"/>
      <c r="D187" s="4123"/>
      <c r="E187" s="4123"/>
      <c r="F187" s="4123"/>
      <c r="G187" s="4123"/>
      <c r="H187" s="4123"/>
      <c r="I187" s="4123"/>
      <c r="J187" s="4123"/>
      <c r="K187" s="4123"/>
      <c r="L187" s="4123"/>
      <c r="M187" s="4123"/>
      <c r="N187" s="4123"/>
      <c r="O187" s="4123"/>
      <c r="P187" s="4123"/>
      <c r="Q187" s="4124"/>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5" customHeight="1">
      <c r="A189" s="2" t="s">
        <v>1602</v>
      </c>
      <c r="B189" s="2" t="s">
        <v>2423</v>
      </c>
      <c r="C189" s="89"/>
      <c r="D189" s="874"/>
      <c r="E189" s="874"/>
      <c r="F189" s="874"/>
      <c r="G189" s="874"/>
      <c r="H189" s="874"/>
      <c r="I189" s="874"/>
      <c r="J189" s="874"/>
      <c r="K189" s="874"/>
      <c r="L189" s="874"/>
      <c r="M189" s="874"/>
      <c r="O189" s="101" t="s">
        <v>1726</v>
      </c>
      <c r="P189" s="4117"/>
      <c r="Q189" s="4118"/>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3903</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38" t="s">
        <v>1641</v>
      </c>
      <c r="L192" s="4140"/>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4616</v>
      </c>
      <c r="E193" s="33"/>
      <c r="F193" s="33"/>
      <c r="G193" s="33"/>
      <c r="H193" s="33"/>
      <c r="I193" s="35"/>
      <c r="J193" s="49" t="s">
        <v>1390</v>
      </c>
      <c r="K193" s="4271" t="s">
        <v>1641</v>
      </c>
      <c r="L193" s="4272"/>
      <c r="Q193" s="4280"/>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77" t="s">
        <v>4094</v>
      </c>
      <c r="D194" s="4278"/>
      <c r="E194" s="4278"/>
      <c r="F194" s="4278"/>
      <c r="G194" s="4278"/>
      <c r="H194" s="4278"/>
      <c r="I194" s="4278"/>
      <c r="J194" s="4278"/>
      <c r="K194" s="4278"/>
      <c r="L194" s="4278"/>
      <c r="M194" s="4278"/>
      <c r="N194" s="4278"/>
      <c r="O194" s="4279"/>
      <c r="Q194" s="4281"/>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3665</v>
      </c>
      <c r="D195" s="115"/>
      <c r="E195" s="33"/>
      <c r="F195" s="33"/>
      <c r="G195" s="33"/>
      <c r="H195" s="33"/>
      <c r="I195" s="72"/>
      <c r="J195" s="48" t="s">
        <v>1391</v>
      </c>
      <c r="K195" s="4265" t="s">
        <v>1641</v>
      </c>
      <c r="L195" s="4266"/>
      <c r="M195" s="4266"/>
      <c r="N195" s="4267"/>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3904</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3732</v>
      </c>
      <c r="D197" s="29"/>
      <c r="E197" s="29"/>
      <c r="F197" s="29"/>
      <c r="G197" s="29"/>
      <c r="H197" s="29"/>
      <c r="I197" s="29"/>
      <c r="J197" s="29"/>
      <c r="K197" s="35"/>
      <c r="L197" s="35"/>
      <c r="M197" s="35"/>
      <c r="N197" s="48" t="s">
        <v>3068</v>
      </c>
      <c r="O197" s="1174" t="e">
        <f>#REF!</f>
        <v>#REF!</v>
      </c>
      <c r="P197" s="4145" t="s">
        <v>3734</v>
      </c>
      <c r="Q197" s="4250"/>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3735</v>
      </c>
      <c r="D198" s="29"/>
      <c r="E198" s="29"/>
      <c r="F198" s="29"/>
      <c r="H198" s="48" t="s">
        <v>3736</v>
      </c>
      <c r="I198" s="29" t="s">
        <v>3745</v>
      </c>
      <c r="M198" s="35"/>
      <c r="N198" s="35"/>
      <c r="O198" s="231"/>
      <c r="P198" s="863" t="s">
        <v>720</v>
      </c>
      <c r="Q198" s="1160" t="s">
        <v>3733</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51" t="s">
        <v>949</v>
      </c>
      <c r="D199" s="4252"/>
      <c r="E199" s="4252"/>
      <c r="F199" s="4252"/>
      <c r="G199" s="4253"/>
      <c r="H199" s="48" t="s">
        <v>1958</v>
      </c>
      <c r="I199" s="4254" t="s">
        <v>3315</v>
      </c>
      <c r="J199" s="4255"/>
      <c r="K199" s="4255"/>
      <c r="L199" s="4255"/>
      <c r="M199" s="4255"/>
      <c r="N199" s="4255"/>
      <c r="O199" s="4256"/>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68" t="s">
        <v>949</v>
      </c>
      <c r="D200" s="4269"/>
      <c r="E200" s="4269"/>
      <c r="F200" s="4269"/>
      <c r="G200" s="4270"/>
      <c r="H200" s="48" t="s">
        <v>1959</v>
      </c>
      <c r="I200" s="3033"/>
      <c r="J200" s="2975"/>
      <c r="K200" s="2975"/>
      <c r="L200" s="2975"/>
      <c r="M200" s="2975"/>
      <c r="N200" s="2975"/>
      <c r="O200" s="2976"/>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68" t="s">
        <v>949</v>
      </c>
      <c r="D201" s="4269"/>
      <c r="E201" s="4269"/>
      <c r="F201" s="4269"/>
      <c r="G201" s="4270"/>
      <c r="H201" s="48" t="s">
        <v>1608</v>
      </c>
      <c r="I201" s="3033" t="s">
        <v>3315</v>
      </c>
      <c r="J201" s="2975"/>
      <c r="K201" s="2975"/>
      <c r="L201" s="2975"/>
      <c r="M201" s="2975"/>
      <c r="N201" s="2975"/>
      <c r="O201" s="2976"/>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3744</v>
      </c>
      <c r="C202" s="4204" t="s">
        <v>949</v>
      </c>
      <c r="D202" s="4205"/>
      <c r="E202" s="4205"/>
      <c r="F202" s="4205"/>
      <c r="G202" s="4206"/>
      <c r="H202" s="48" t="s">
        <v>3744</v>
      </c>
      <c r="I202" s="3022"/>
      <c r="J202" s="2972"/>
      <c r="K202" s="2972"/>
      <c r="L202" s="2972"/>
      <c r="M202" s="2972"/>
      <c r="N202" s="2972"/>
      <c r="O202" s="2973"/>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4017</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11" t="s">
        <v>4641</v>
      </c>
      <c r="D209" s="4111"/>
      <c r="E209" s="4111"/>
      <c r="F209" s="4111"/>
      <c r="G209" s="4111"/>
      <c r="H209" s="4111"/>
      <c r="I209" s="4111"/>
      <c r="J209" s="4111"/>
      <c r="K209" s="4111"/>
      <c r="L209" s="4111"/>
      <c r="M209" s="4111"/>
      <c r="N209" s="4111"/>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4003</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3679</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3158</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25"/>
      <c r="B214" s="4126"/>
      <c r="C214" s="4126"/>
      <c r="D214" s="4126"/>
      <c r="E214" s="4126"/>
      <c r="F214" s="4126"/>
      <c r="G214" s="4126"/>
      <c r="H214" s="4126"/>
      <c r="I214" s="4126"/>
      <c r="J214" s="4126"/>
      <c r="K214" s="4126"/>
      <c r="L214" s="4126"/>
      <c r="M214" s="4126"/>
      <c r="N214" s="4126"/>
      <c r="O214" s="4126"/>
      <c r="P214" s="4126"/>
      <c r="Q214" s="4127"/>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22"/>
      <c r="B216" s="4123"/>
      <c r="C216" s="4123"/>
      <c r="D216" s="4123"/>
      <c r="E216" s="4123"/>
      <c r="F216" s="4123"/>
      <c r="G216" s="4123"/>
      <c r="H216" s="4123"/>
      <c r="I216" s="4123"/>
      <c r="J216" s="4123"/>
      <c r="K216" s="4123"/>
      <c r="L216" s="4123"/>
      <c r="M216" s="4123"/>
      <c r="N216" s="4123"/>
      <c r="O216" s="4123"/>
      <c r="P216" s="4123"/>
      <c r="Q216" s="4124"/>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5" customHeight="1">
      <c r="A217" s="2" t="s">
        <v>2489</v>
      </c>
      <c r="B217" s="2" t="s">
        <v>4018</v>
      </c>
      <c r="C217" s="33"/>
      <c r="D217" s="874"/>
      <c r="E217" s="874"/>
      <c r="F217" s="874"/>
      <c r="G217" s="874"/>
      <c r="H217" s="874"/>
      <c r="I217" s="874"/>
      <c r="J217" s="874"/>
      <c r="K217" s="395" t="s">
        <v>4637</v>
      </c>
      <c r="L217" s="1263" t="e">
        <f>#REF!</f>
        <v>#REF!</v>
      </c>
      <c r="M217" s="874"/>
      <c r="O217" s="101" t="s">
        <v>1726</v>
      </c>
      <c r="P217" s="4117"/>
      <c r="Q217" s="4118"/>
    </row>
    <row r="218" spans="1:44" ht="11.25" customHeight="1">
      <c r="A218" s="110" t="s">
        <v>1836</v>
      </c>
      <c r="B218" s="108" t="s">
        <v>4021</v>
      </c>
    </row>
    <row r="219" spans="1:44" ht="10.5" customHeight="1">
      <c r="A219" s="110"/>
      <c r="B219" s="29" t="s">
        <v>4023</v>
      </c>
      <c r="C219" s="35"/>
      <c r="D219" s="35"/>
      <c r="E219" s="35"/>
      <c r="F219" s="35"/>
      <c r="G219" s="35"/>
      <c r="H219" s="35"/>
      <c r="I219" s="35"/>
      <c r="J219" s="1431" t="s">
        <v>4022</v>
      </c>
      <c r="K219" s="29" t="s">
        <v>4023</v>
      </c>
      <c r="L219" s="35"/>
      <c r="M219" s="35"/>
      <c r="N219" s="35"/>
      <c r="O219" s="35"/>
      <c r="P219" s="35"/>
      <c r="Q219" s="1431" t="s">
        <v>4022</v>
      </c>
    </row>
    <row r="220" spans="1:44" s="102" customFormat="1" ht="11.25" customHeight="1">
      <c r="B220" s="4254"/>
      <c r="C220" s="4255"/>
      <c r="D220" s="4255"/>
      <c r="E220" s="4255"/>
      <c r="F220" s="4255"/>
      <c r="G220" s="4255"/>
      <c r="H220" s="4255"/>
      <c r="I220" s="4255"/>
      <c r="J220" s="1881"/>
      <c r="K220" s="4254"/>
      <c r="L220" s="4255"/>
      <c r="M220" s="4255"/>
      <c r="N220" s="4255"/>
      <c r="O220" s="4255"/>
      <c r="P220" s="4255"/>
      <c r="Q220" s="1881"/>
    </row>
    <row r="221" spans="1:44" s="102" customFormat="1" ht="11.25" customHeight="1">
      <c r="A221" s="110"/>
      <c r="B221" s="3033"/>
      <c r="C221" s="2975"/>
      <c r="D221" s="2975"/>
      <c r="E221" s="2975"/>
      <c r="F221" s="2975"/>
      <c r="G221" s="2975"/>
      <c r="H221" s="2975"/>
      <c r="I221" s="2975"/>
      <c r="J221" s="1882"/>
      <c r="K221" s="3033"/>
      <c r="L221" s="2975"/>
      <c r="M221" s="2975"/>
      <c r="N221" s="2975"/>
      <c r="O221" s="2975"/>
      <c r="P221" s="2975"/>
      <c r="Q221" s="1882"/>
    </row>
    <row r="222" spans="1:44" s="102" customFormat="1" ht="11.25" customHeight="1">
      <c r="A222" s="110"/>
      <c r="B222" s="3033"/>
      <c r="C222" s="2975"/>
      <c r="D222" s="2975"/>
      <c r="E222" s="2975"/>
      <c r="F222" s="2975"/>
      <c r="G222" s="2975"/>
      <c r="H222" s="2975"/>
      <c r="I222" s="2975"/>
      <c r="J222" s="1882"/>
      <c r="K222" s="3033"/>
      <c r="L222" s="2975"/>
      <c r="M222" s="2975"/>
      <c r="N222" s="2975"/>
      <c r="O222" s="2975"/>
      <c r="P222" s="2975"/>
      <c r="Q222" s="1882"/>
    </row>
    <row r="223" spans="1:44" s="102" customFormat="1" ht="11.25" customHeight="1">
      <c r="A223" s="110"/>
      <c r="B223" s="3033"/>
      <c r="C223" s="2975"/>
      <c r="D223" s="2975"/>
      <c r="E223" s="2975"/>
      <c r="F223" s="2975"/>
      <c r="G223" s="2975"/>
      <c r="H223" s="2975"/>
      <c r="I223" s="2975"/>
      <c r="J223" s="1882"/>
      <c r="K223" s="3033"/>
      <c r="L223" s="2975"/>
      <c r="M223" s="2975"/>
      <c r="N223" s="2975"/>
      <c r="O223" s="2975"/>
      <c r="P223" s="2975"/>
      <c r="Q223" s="1882"/>
    </row>
    <row r="224" spans="1:44" s="102" customFormat="1" ht="11.25" customHeight="1">
      <c r="A224" s="110"/>
      <c r="B224" s="3033"/>
      <c r="C224" s="2975"/>
      <c r="D224" s="2975"/>
      <c r="E224" s="2975"/>
      <c r="F224" s="2975"/>
      <c r="G224" s="2975"/>
      <c r="H224" s="2975"/>
      <c r="I224" s="2975"/>
      <c r="J224" s="1882"/>
      <c r="K224" s="3033"/>
      <c r="L224" s="2975"/>
      <c r="M224" s="2975"/>
      <c r="N224" s="2975"/>
      <c r="O224" s="2975"/>
      <c r="P224" s="2975"/>
      <c r="Q224" s="1882"/>
    </row>
    <row r="225" spans="1:44" s="102" customFormat="1" ht="11.25" customHeight="1">
      <c r="A225" s="110"/>
      <c r="B225" s="3033"/>
      <c r="C225" s="2975"/>
      <c r="D225" s="2975"/>
      <c r="E225" s="2975"/>
      <c r="F225" s="2975"/>
      <c r="G225" s="2975"/>
      <c r="H225" s="2975"/>
      <c r="I225" s="2975"/>
      <c r="J225" s="1882"/>
      <c r="K225" s="3033"/>
      <c r="L225" s="2975"/>
      <c r="M225" s="2975"/>
      <c r="N225" s="2975"/>
      <c r="O225" s="2975"/>
      <c r="P225" s="2975"/>
      <c r="Q225" s="1882"/>
    </row>
    <row r="226" spans="1:44" s="102" customFormat="1" ht="11.25" customHeight="1">
      <c r="A226" s="110"/>
      <c r="B226" s="3033"/>
      <c r="C226" s="2975"/>
      <c r="D226" s="2975"/>
      <c r="E226" s="2975"/>
      <c r="F226" s="2975"/>
      <c r="G226" s="2975"/>
      <c r="H226" s="2975"/>
      <c r="I226" s="2975"/>
      <c r="J226" s="1882"/>
      <c r="K226" s="3033"/>
      <c r="L226" s="2975"/>
      <c r="M226" s="2975"/>
      <c r="N226" s="2975"/>
      <c r="O226" s="2975"/>
      <c r="P226" s="2975"/>
      <c r="Q226" s="1882"/>
    </row>
    <row r="227" spans="1:44" s="102" customFormat="1" ht="11.25" customHeight="1">
      <c r="B227" s="3022"/>
      <c r="C227" s="2972"/>
      <c r="D227" s="2972"/>
      <c r="E227" s="2972"/>
      <c r="F227" s="2972"/>
      <c r="G227" s="2972"/>
      <c r="H227" s="2972"/>
      <c r="I227" s="2972"/>
      <c r="J227" s="1883"/>
      <c r="K227" s="3022"/>
      <c r="L227" s="2972"/>
      <c r="M227" s="2972"/>
      <c r="N227" s="2972"/>
      <c r="O227" s="2972"/>
      <c r="P227" s="2972"/>
      <c r="Q227" s="1883"/>
    </row>
    <row r="228" spans="1:44" ht="12" customHeight="1">
      <c r="A228" s="110" t="s">
        <v>1838</v>
      </c>
      <c r="B228" s="1447" t="s">
        <v>4024</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11" t="s">
        <v>4020</v>
      </c>
      <c r="C229" s="4111"/>
      <c r="D229" s="4111"/>
      <c r="E229" s="4111"/>
      <c r="F229" s="4111"/>
      <c r="G229" s="4111"/>
      <c r="H229" s="4111"/>
      <c r="I229" s="4111"/>
      <c r="J229" s="4111"/>
      <c r="K229" s="4111"/>
      <c r="L229" s="4111"/>
      <c r="M229" s="4111"/>
      <c r="N229" s="4111"/>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4019</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3158</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25"/>
      <c r="B232" s="4126"/>
      <c r="C232" s="4126"/>
      <c r="D232" s="4126"/>
      <c r="E232" s="4126"/>
      <c r="F232" s="4126"/>
      <c r="G232" s="4126"/>
      <c r="H232" s="4126"/>
      <c r="I232" s="4126"/>
      <c r="J232" s="4126"/>
      <c r="K232" s="4126"/>
      <c r="L232" s="4126"/>
      <c r="M232" s="4126"/>
      <c r="N232" s="4126"/>
      <c r="O232" s="4126"/>
      <c r="P232" s="4126"/>
      <c r="Q232" s="4127"/>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22"/>
      <c r="B234" s="4123"/>
      <c r="C234" s="4123"/>
      <c r="D234" s="4123"/>
      <c r="E234" s="4123"/>
      <c r="F234" s="4123"/>
      <c r="G234" s="4123"/>
      <c r="H234" s="4123"/>
      <c r="I234" s="4123"/>
      <c r="J234" s="4123"/>
      <c r="K234" s="4123"/>
      <c r="L234" s="4123"/>
      <c r="M234" s="4123"/>
      <c r="N234" s="4123"/>
      <c r="O234" s="4123"/>
      <c r="P234" s="4123"/>
      <c r="Q234" s="4124"/>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5" customHeight="1">
      <c r="A236" s="2" t="s">
        <v>2075</v>
      </c>
      <c r="B236" s="4" t="s">
        <v>3830</v>
      </c>
      <c r="C236" s="4"/>
      <c r="D236" s="66"/>
      <c r="E236" s="66"/>
      <c r="F236" s="66"/>
      <c r="G236" s="66"/>
      <c r="H236" s="874"/>
      <c r="I236" s="874"/>
      <c r="J236" s="874"/>
      <c r="K236" s="874"/>
      <c r="L236" s="657"/>
      <c r="M236" s="1199"/>
      <c r="O236" s="101" t="s">
        <v>1726</v>
      </c>
      <c r="P236" s="4117"/>
      <c r="Q236" s="4118"/>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4095</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34" t="s">
        <v>1641</v>
      </c>
      <c r="L238" s="4135"/>
      <c r="M238" s="4135"/>
      <c r="N238" s="4135"/>
      <c r="O238" s="4213"/>
      <c r="P238" s="4242" t="s">
        <v>1641</v>
      </c>
      <c r="Q238" s="4243"/>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11" t="s">
        <v>4096</v>
      </c>
      <c r="C239" s="4111"/>
      <c r="D239" s="4111"/>
      <c r="E239" s="4111"/>
      <c r="F239" s="4111"/>
      <c r="G239" s="4111"/>
      <c r="H239" s="4111"/>
      <c r="I239" s="4111"/>
      <c r="J239" s="4111"/>
      <c r="K239" s="4111"/>
      <c r="L239" s="4111"/>
      <c r="M239" s="4111"/>
      <c r="N239" s="4111"/>
      <c r="O239" s="4203"/>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200"/>
      <c r="L240" s="4201"/>
      <c r="M240" s="4201"/>
      <c r="N240" s="4201"/>
      <c r="O240" s="4202"/>
      <c r="P240" s="4196"/>
      <c r="Q240" s="4197"/>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65"/>
      <c r="L241" s="4166"/>
      <c r="M241" s="4166"/>
      <c r="N241" s="4166"/>
      <c r="O241" s="4167"/>
      <c r="P241" s="4198"/>
      <c r="Q241" s="4199"/>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4097</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11" t="s">
        <v>4107</v>
      </c>
      <c r="D243" s="4111"/>
      <c r="E243" s="4111"/>
      <c r="F243" s="4111"/>
      <c r="G243" s="4111"/>
      <c r="H243" s="4111"/>
      <c r="I243" s="4111"/>
      <c r="J243" s="4111"/>
      <c r="K243" s="4111"/>
      <c r="L243" s="4111"/>
      <c r="M243" s="4111"/>
      <c r="N243" s="4111"/>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11" t="s">
        <v>4108</v>
      </c>
      <c r="D244" s="4111"/>
      <c r="E244" s="4111"/>
      <c r="F244" s="4111"/>
      <c r="G244" s="4111"/>
      <c r="H244" s="4111"/>
      <c r="I244" s="4111"/>
      <c r="J244" s="4111"/>
      <c r="K244" s="4111"/>
      <c r="L244" s="4111"/>
      <c r="M244" s="4111"/>
      <c r="N244" s="4111"/>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3226</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41" t="s">
        <v>3163</v>
      </c>
      <c r="C246" s="4141"/>
      <c r="D246" s="4141"/>
      <c r="E246" s="44" t="s">
        <v>3296</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41"/>
      <c r="C247" s="4141"/>
      <c r="D247" s="4141"/>
      <c r="E247" s="44" t="s">
        <v>3297</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41"/>
      <c r="C248" s="4141"/>
      <c r="D248" s="4141"/>
      <c r="E248" s="44" t="s">
        <v>3298</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41"/>
      <c r="C249" s="4141"/>
      <c r="D249" s="4141"/>
      <c r="E249" s="44" t="s">
        <v>3299</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11" t="s">
        <v>4403</v>
      </c>
      <c r="F250" s="4111"/>
      <c r="G250" s="4111"/>
      <c r="H250" s="4111"/>
      <c r="I250" s="4111"/>
      <c r="J250" s="4111"/>
      <c r="K250" s="4111"/>
      <c r="L250" s="4111"/>
      <c r="M250" s="4111"/>
      <c r="N250" s="4111"/>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3158</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25"/>
      <c r="B252" s="4126"/>
      <c r="C252" s="4126"/>
      <c r="D252" s="4126"/>
      <c r="E252" s="4126"/>
      <c r="F252" s="4126"/>
      <c r="G252" s="4126"/>
      <c r="H252" s="4126"/>
      <c r="I252" s="4126"/>
      <c r="J252" s="4126"/>
      <c r="K252" s="4126"/>
      <c r="L252" s="4126"/>
      <c r="M252" s="4126"/>
      <c r="N252" s="4126"/>
      <c r="O252" s="4126"/>
      <c r="P252" s="4126"/>
      <c r="Q252" s="4127"/>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22"/>
      <c r="B254" s="4123"/>
      <c r="C254" s="4123"/>
      <c r="D254" s="4123"/>
      <c r="E254" s="4123"/>
      <c r="F254" s="4123"/>
      <c r="G254" s="4123"/>
      <c r="H254" s="4123"/>
      <c r="I254" s="4123"/>
      <c r="J254" s="4123"/>
      <c r="K254" s="4123"/>
      <c r="L254" s="4123"/>
      <c r="M254" s="4123"/>
      <c r="N254" s="4123"/>
      <c r="O254" s="4123"/>
      <c r="P254" s="4123"/>
      <c r="Q254" s="4124"/>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5" customHeight="1">
      <c r="A256" s="2" t="s">
        <v>3284</v>
      </c>
      <c r="B256" s="4" t="s">
        <v>2424</v>
      </c>
      <c r="C256" s="4"/>
      <c r="D256" s="66"/>
      <c r="E256" s="66"/>
      <c r="F256" s="66"/>
      <c r="G256" s="66"/>
      <c r="H256" s="874"/>
      <c r="I256" s="874"/>
      <c r="J256" s="874"/>
      <c r="K256" s="874"/>
      <c r="L256" s="874"/>
      <c r="M256" s="874"/>
      <c r="O256" s="101" t="s">
        <v>1726</v>
      </c>
      <c r="P256" s="4117"/>
      <c r="Q256" s="4118"/>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11" t="s">
        <v>3905</v>
      </c>
      <c r="D257" s="4111"/>
      <c r="E257" s="4111"/>
      <c r="F257" s="4111"/>
      <c r="G257" s="4111"/>
      <c r="H257" s="4111"/>
      <c r="I257" s="4111"/>
      <c r="J257" s="4111"/>
      <c r="K257" s="4111"/>
      <c r="L257" s="4111"/>
      <c r="M257" s="4111"/>
      <c r="N257" s="4111"/>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3160</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3161</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11" t="s">
        <v>3930</v>
      </c>
      <c r="D260" s="4111"/>
      <c r="E260" s="4111"/>
      <c r="F260" s="4111"/>
      <c r="G260" s="4111"/>
      <c r="H260" s="4111"/>
      <c r="I260" s="4111"/>
      <c r="J260" s="4111"/>
      <c r="K260" s="4111"/>
      <c r="L260" s="4111"/>
      <c r="M260" s="4111"/>
      <c r="N260" s="4111"/>
      <c r="O260" s="1341" t="s">
        <v>3931</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3162</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11" t="s">
        <v>4025</v>
      </c>
      <c r="C262" s="4111"/>
      <c r="D262" s="4111"/>
      <c r="E262" s="4111"/>
      <c r="F262" s="4111"/>
      <c r="G262" s="4111"/>
      <c r="H262" s="4111"/>
      <c r="I262" s="4111"/>
      <c r="J262" s="4111"/>
      <c r="K262" s="4111"/>
      <c r="L262" s="4111"/>
      <c r="M262" s="4111"/>
      <c r="N262" s="4111"/>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3158</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4" customHeight="1">
      <c r="A264" s="4125"/>
      <c r="B264" s="4126"/>
      <c r="C264" s="4126"/>
      <c r="D264" s="4126"/>
      <c r="E264" s="4126"/>
      <c r="F264" s="4126"/>
      <c r="G264" s="4126"/>
      <c r="H264" s="4126"/>
      <c r="I264" s="4126"/>
      <c r="J264" s="4126"/>
      <c r="K264" s="4126"/>
      <c r="L264" s="4126"/>
      <c r="M264" s="4126"/>
      <c r="N264" s="4126"/>
      <c r="O264" s="4126"/>
      <c r="P264" s="4126"/>
      <c r="Q264" s="4127"/>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4" customHeight="1">
      <c r="A266" s="4122"/>
      <c r="B266" s="4123"/>
      <c r="C266" s="4123"/>
      <c r="D266" s="4123"/>
      <c r="E266" s="4123"/>
      <c r="F266" s="4123"/>
      <c r="G266" s="4123"/>
      <c r="H266" s="4123"/>
      <c r="I266" s="4123"/>
      <c r="J266" s="4123"/>
      <c r="K266" s="4123"/>
      <c r="L266" s="4123"/>
      <c r="M266" s="4123"/>
      <c r="N266" s="4123"/>
      <c r="O266" s="4123"/>
      <c r="P266" s="4123"/>
      <c r="Q266" s="4124"/>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5" customHeight="1">
      <c r="A268" s="2" t="s">
        <v>3285</v>
      </c>
      <c r="B268" s="2" t="s">
        <v>2425</v>
      </c>
      <c r="C268" s="2"/>
      <c r="D268" s="874"/>
      <c r="E268" s="874"/>
      <c r="F268" s="874"/>
      <c r="G268" s="874"/>
      <c r="H268" s="874"/>
      <c r="I268" s="874"/>
      <c r="J268" s="874"/>
      <c r="K268" s="874"/>
      <c r="L268" s="874"/>
      <c r="M268" s="874"/>
      <c r="O268" s="101" t="s">
        <v>1726</v>
      </c>
      <c r="P268" s="4117"/>
      <c r="Q268" s="4118"/>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4095</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4099</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11" t="s">
        <v>3726</v>
      </c>
      <c r="D271" s="4111"/>
      <c r="E271" s="4111"/>
      <c r="F271" s="4111"/>
      <c r="G271" s="4111"/>
      <c r="H271" s="4111"/>
      <c r="I271" s="4111"/>
      <c r="J271" s="4111"/>
      <c r="K271" s="4111"/>
      <c r="L271" s="4111"/>
      <c r="M271" s="4111"/>
      <c r="N271" s="4111"/>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11" t="s">
        <v>2501</v>
      </c>
      <c r="D272" s="4111"/>
      <c r="E272" s="4111"/>
      <c r="F272" s="4111"/>
      <c r="G272" s="4111"/>
      <c r="H272" s="4111"/>
      <c r="I272" s="4111"/>
      <c r="J272" s="4111"/>
      <c r="K272" s="4111"/>
      <c r="L272" s="4111"/>
      <c r="M272" s="4111"/>
      <c r="N272" s="4111"/>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42" t="s">
        <v>3251</v>
      </c>
      <c r="M273" s="4143"/>
      <c r="N273" s="4143"/>
      <c r="O273" s="4143"/>
      <c r="P273" s="4144"/>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4098</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4100</v>
      </c>
      <c r="C275" s="115"/>
      <c r="D275" s="72"/>
      <c r="E275" s="72"/>
      <c r="F275" s="115"/>
      <c r="H275" s="115"/>
      <c r="I275" s="115"/>
      <c r="N275" s="1712" t="s">
        <v>4101</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3158</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25"/>
      <c r="B277" s="4126"/>
      <c r="C277" s="4126"/>
      <c r="D277" s="4126"/>
      <c r="E277" s="4126"/>
      <c r="F277" s="4126"/>
      <c r="G277" s="4126"/>
      <c r="H277" s="4126"/>
      <c r="I277" s="4126"/>
      <c r="J277" s="4126"/>
      <c r="K277" s="4126"/>
      <c r="L277" s="4126"/>
      <c r="M277" s="4126"/>
      <c r="N277" s="4126"/>
      <c r="O277" s="4126"/>
      <c r="P277" s="4126"/>
      <c r="Q277" s="4127"/>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22"/>
      <c r="B279" s="4123"/>
      <c r="C279" s="4123"/>
      <c r="D279" s="4123"/>
      <c r="E279" s="4123"/>
      <c r="F279" s="4123"/>
      <c r="G279" s="4123"/>
      <c r="H279" s="4123"/>
      <c r="I279" s="4123"/>
      <c r="J279" s="4123"/>
      <c r="K279" s="4123"/>
      <c r="L279" s="4123"/>
      <c r="M279" s="4123"/>
      <c r="N279" s="4123"/>
      <c r="O279" s="4123"/>
      <c r="P279" s="4123"/>
      <c r="Q279" s="4124"/>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5" customHeight="1">
      <c r="A281" s="2" t="s">
        <v>3283</v>
      </c>
      <c r="B281" s="2" t="s">
        <v>2426</v>
      </c>
      <c r="C281" s="116"/>
      <c r="D281" s="877"/>
      <c r="E281" s="874"/>
      <c r="F281" s="874"/>
      <c r="G281" s="874"/>
      <c r="H281" s="874"/>
      <c r="I281" s="874"/>
      <c r="J281" s="874"/>
      <c r="K281" s="874"/>
      <c r="L281" s="874"/>
      <c r="M281" s="874"/>
      <c r="O281" s="101" t="s">
        <v>1726</v>
      </c>
      <c r="P281" s="4117"/>
      <c r="Q281" s="4118"/>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4095</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3300</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11" t="s">
        <v>4554</v>
      </c>
      <c r="D284" s="4111"/>
      <c r="E284" s="4111"/>
      <c r="F284" s="4111"/>
      <c r="G284" s="4111"/>
      <c r="H284" s="4111"/>
      <c r="I284" s="4111"/>
      <c r="J284" s="4111"/>
      <c r="K284" s="4111"/>
      <c r="L284" s="4111"/>
      <c r="M284" s="4111"/>
      <c r="N284" s="4111"/>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11" t="s">
        <v>4555</v>
      </c>
      <c r="D285" s="4111"/>
      <c r="E285" s="4111"/>
      <c r="F285" s="4111"/>
      <c r="G285" s="4111"/>
      <c r="H285" s="4111"/>
      <c r="I285" s="4111"/>
      <c r="J285" s="4111"/>
      <c r="K285" s="4111"/>
      <c r="L285" s="4111"/>
      <c r="M285" s="4111"/>
      <c r="N285" s="4111"/>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11" t="s">
        <v>4102</v>
      </c>
      <c r="D286" s="4111"/>
      <c r="E286" s="4111"/>
      <c r="F286" s="4111"/>
      <c r="G286" s="4111"/>
      <c r="H286" s="4111"/>
      <c r="I286" s="4111"/>
      <c r="J286" s="4111"/>
      <c r="K286" s="4111"/>
      <c r="L286" s="4111"/>
      <c r="M286" s="4111"/>
      <c r="N286" s="4111"/>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3211</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11" t="s">
        <v>4105</v>
      </c>
      <c r="E288" s="4111"/>
      <c r="F288" s="4111"/>
      <c r="G288" s="4111"/>
      <c r="H288" s="4111"/>
      <c r="I288" s="108"/>
      <c r="J288" s="4119" t="s">
        <v>3184</v>
      </c>
      <c r="K288" s="4145"/>
      <c r="L288" s="4145"/>
      <c r="M288" s="4249" t="s">
        <v>3165</v>
      </c>
      <c r="N288" s="424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11"/>
      <c r="E289" s="4111"/>
      <c r="F289" s="4111"/>
      <c r="G289" s="4111"/>
      <c r="H289" s="4111"/>
      <c r="I289" s="248"/>
      <c r="J289" s="4145"/>
      <c r="K289" s="4145"/>
      <c r="L289" s="4145"/>
      <c r="M289" s="29" t="s">
        <v>3166</v>
      </c>
      <c r="N289" s="878" t="s">
        <v>3183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111"/>
      <c r="E290" s="4111"/>
      <c r="F290" s="4111"/>
      <c r="G290" s="4111"/>
      <c r="H290" s="4111"/>
      <c r="I290" s="29" t="s">
        <v>3301</v>
      </c>
      <c r="K290" s="1507"/>
      <c r="L290" s="782" t="e">
        <f>IF(K290&lt;M290,"Check!!!","")</f>
        <v>#REF!</v>
      </c>
      <c r="M290" s="1509" t="e">
        <f>ROUNDUP(#REF!*'Part VII-Threshold Criteria OLD'!N290,0)</f>
        <v>#REF!</v>
      </c>
      <c r="N290" s="1146" t="e">
        <f>#REF!</f>
        <v>#REF!</v>
      </c>
      <c r="O290" s="48" t="s">
        <v>3083</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11" t="s">
        <v>4106</v>
      </c>
      <c r="E291" s="4111"/>
      <c r="F291" s="4111"/>
      <c r="G291" s="4111"/>
      <c r="H291" s="4111"/>
      <c r="I291" s="369" t="s">
        <v>3302</v>
      </c>
      <c r="J291" s="144"/>
      <c r="K291" s="1508"/>
      <c r="L291" s="782" t="e">
        <f>IF(K291&lt;M291,"Check!!!","")</f>
        <v>#REF!</v>
      </c>
      <c r="M291" s="1510" t="e">
        <f>ROUNDUP(K290*'Part VII-Threshold Criteria OLD'!N291,0)</f>
        <v>#REF!</v>
      </c>
      <c r="N291" s="1146" t="e">
        <f>#REF!</f>
        <v>#REF!</v>
      </c>
      <c r="O291" s="48" t="s">
        <v>1959</v>
      </c>
      <c r="P291" s="4148"/>
      <c r="Q291" s="4146"/>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11"/>
      <c r="E292" s="4111"/>
      <c r="F292" s="4111"/>
      <c r="G292" s="4111"/>
      <c r="H292" s="4111"/>
      <c r="O292" s="33"/>
      <c r="P292" s="4149"/>
      <c r="Q292" s="4147"/>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11" t="s">
        <v>4638</v>
      </c>
      <c r="D293" s="4111"/>
      <c r="E293" s="4111"/>
      <c r="F293" s="4111"/>
      <c r="G293" s="4111"/>
      <c r="H293" s="4111"/>
      <c r="I293" s="29" t="s">
        <v>3303</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11"/>
      <c r="D294" s="4111"/>
      <c r="E294" s="4111"/>
      <c r="F294" s="4111"/>
      <c r="G294" s="4111"/>
      <c r="H294" s="4111"/>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11"/>
      <c r="D295" s="4111"/>
      <c r="E295" s="4111"/>
      <c r="F295" s="4111"/>
      <c r="G295" s="4111"/>
      <c r="H295" s="4111"/>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3212</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11" t="s">
        <v>4617</v>
      </c>
      <c r="C297" s="4111"/>
      <c r="D297" s="4111"/>
      <c r="E297" s="4111"/>
      <c r="F297" s="4111"/>
      <c r="G297" s="4111"/>
      <c r="H297" s="4111"/>
      <c r="I297" s="4111"/>
      <c r="J297" s="4111"/>
      <c r="K297" s="4111"/>
      <c r="L297" s="4111"/>
      <c r="M297" s="4111"/>
      <c r="N297" s="4111"/>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3084</v>
      </c>
      <c r="D298" s="108"/>
      <c r="E298" s="108"/>
      <c r="F298" s="108"/>
      <c r="G298" s="108"/>
      <c r="H298" s="108"/>
      <c r="I298" s="108" t="s">
        <v>3164</v>
      </c>
      <c r="J298" s="108"/>
      <c r="K298" s="108"/>
      <c r="L298" s="4193"/>
      <c r="M298" s="4194"/>
      <c r="N298" s="4194"/>
      <c r="O298" s="4194"/>
      <c r="P298" s="4194"/>
      <c r="Q298" s="4195"/>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11" t="s">
        <v>4556</v>
      </c>
      <c r="D299" s="4111"/>
      <c r="E299" s="4111"/>
      <c r="F299" s="4111"/>
      <c r="G299" s="4111"/>
      <c r="H299" s="4111"/>
      <c r="I299" s="4111"/>
      <c r="J299" s="4111"/>
      <c r="K299" s="4111"/>
      <c r="L299" s="4111"/>
      <c r="M299" s="4111"/>
      <c r="N299" s="4111"/>
      <c r="O299" s="128" t="s">
        <v>3087</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11" t="s">
        <v>3712</v>
      </c>
      <c r="D300" s="4111"/>
      <c r="E300" s="4111"/>
      <c r="F300" s="4111"/>
      <c r="G300" s="4111"/>
      <c r="H300" s="4111"/>
      <c r="I300" s="4111"/>
      <c r="J300" s="4111"/>
      <c r="K300" s="4111"/>
      <c r="L300" s="4111"/>
      <c r="M300" s="4111"/>
      <c r="N300" s="4111"/>
      <c r="O300" s="128" t="s">
        <v>3088</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11" t="s">
        <v>3085</v>
      </c>
      <c r="D301" s="4111"/>
      <c r="E301" s="4111"/>
      <c r="F301" s="4111"/>
      <c r="G301" s="4111"/>
      <c r="H301" s="4111"/>
      <c r="I301" s="4111"/>
      <c r="J301" s="4111"/>
      <c r="K301" s="4111"/>
      <c r="L301" s="4111"/>
      <c r="M301" s="4111"/>
      <c r="N301" s="4111"/>
      <c r="O301" s="128" t="s">
        <v>3089</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11" t="s">
        <v>3086</v>
      </c>
      <c r="D302" s="4111"/>
      <c r="E302" s="4111"/>
      <c r="F302" s="4111"/>
      <c r="G302" s="4111"/>
      <c r="H302" s="4111"/>
      <c r="I302" s="4111"/>
      <c r="J302" s="4111"/>
      <c r="K302" s="4111"/>
      <c r="L302" s="4111"/>
      <c r="M302" s="4111"/>
      <c r="N302" s="4111"/>
      <c r="O302" s="128" t="s">
        <v>3090</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3158</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25"/>
      <c r="B304" s="4126"/>
      <c r="C304" s="4126"/>
      <c r="D304" s="4126"/>
      <c r="E304" s="4126"/>
      <c r="F304" s="4126"/>
      <c r="G304" s="4126"/>
      <c r="H304" s="4126"/>
      <c r="I304" s="4126"/>
      <c r="J304" s="4126"/>
      <c r="K304" s="4126"/>
      <c r="L304" s="4126"/>
      <c r="M304" s="4126"/>
      <c r="N304" s="4126"/>
      <c r="O304" s="4126"/>
      <c r="P304" s="4126"/>
      <c r="Q304" s="4127"/>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50"/>
      <c r="B306" s="4151"/>
      <c r="C306" s="4151"/>
      <c r="D306" s="4151"/>
      <c r="E306" s="4151"/>
      <c r="F306" s="4151"/>
      <c r="G306" s="4151"/>
      <c r="H306" s="4151"/>
      <c r="I306" s="4151"/>
      <c r="J306" s="4151"/>
      <c r="K306" s="4151"/>
      <c r="L306" s="4151"/>
      <c r="M306" s="4151"/>
      <c r="N306" s="4151"/>
      <c r="O306" s="4151"/>
      <c r="P306" s="4151"/>
      <c r="Q306" s="4152"/>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5" customHeight="1">
      <c r="A307" s="2" t="s">
        <v>3286</v>
      </c>
      <c r="B307" s="4" t="s">
        <v>2427</v>
      </c>
      <c r="C307" s="4"/>
      <c r="D307" s="4"/>
      <c r="E307" s="4"/>
      <c r="F307" s="4"/>
      <c r="G307" s="4"/>
      <c r="H307" s="874"/>
      <c r="I307" s="874"/>
      <c r="J307" s="874"/>
      <c r="K307" s="874"/>
      <c r="L307" s="874"/>
      <c r="M307" s="874"/>
      <c r="O307" s="101" t="s">
        <v>1726</v>
      </c>
      <c r="P307" s="4244"/>
      <c r="Q307" s="4245"/>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3666</v>
      </c>
      <c r="E310" s="33"/>
      <c r="F310" s="33"/>
      <c r="G310" s="33"/>
      <c r="H310" s="33"/>
      <c r="I310" s="72"/>
      <c r="J310" s="48"/>
      <c r="K310" s="4134" t="s">
        <v>1641</v>
      </c>
      <c r="L310" s="4135"/>
      <c r="M310" s="4135"/>
      <c r="N310" s="4213"/>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4567</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11" t="s">
        <v>4566</v>
      </c>
      <c r="C312" s="4111"/>
      <c r="D312" s="4111"/>
      <c r="E312" s="4111"/>
      <c r="F312" s="4111"/>
      <c r="G312" s="4111"/>
      <c r="H312" s="4111"/>
      <c r="I312" s="4111"/>
      <c r="J312" s="4111"/>
      <c r="K312" s="4111"/>
      <c r="L312" s="4111"/>
      <c r="M312" s="4111"/>
      <c r="N312" s="4111"/>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5"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83" t="s">
        <v>2141</v>
      </c>
      <c r="H314" s="4184"/>
      <c r="I314" s="4184"/>
      <c r="J314" s="4184"/>
      <c r="K314" s="4184"/>
      <c r="L314" s="4184"/>
      <c r="M314" s="4184"/>
      <c r="N314" s="4185"/>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11" t="s">
        <v>1065</v>
      </c>
      <c r="D315" s="4111"/>
      <c r="E315" s="4111"/>
      <c r="F315" s="4203"/>
      <c r="G315" s="3022" t="s">
        <v>1017</v>
      </c>
      <c r="H315" s="4207"/>
      <c r="I315" s="4207"/>
      <c r="J315" s="4207"/>
      <c r="K315" s="4207"/>
      <c r="L315" s="4207"/>
      <c r="M315" s="4207"/>
      <c r="N315" s="4208"/>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4026</v>
      </c>
      <c r="D317" s="1452"/>
      <c r="E317" s="1452"/>
      <c r="F317" s="1452"/>
      <c r="G317" s="4137" t="s">
        <v>4027</v>
      </c>
      <c r="H317" s="4137"/>
      <c r="I317" s="4137"/>
      <c r="J317" s="4137"/>
      <c r="K317" s="4137"/>
      <c r="L317" s="4137"/>
      <c r="M317" s="4137"/>
      <c r="N317" s="4137"/>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90"/>
      <c r="D318" s="4191"/>
      <c r="E318" s="4191"/>
      <c r="F318" s="4191"/>
      <c r="G318" s="4191"/>
      <c r="H318" s="4191"/>
      <c r="I318" s="4191"/>
      <c r="J318" s="4191"/>
      <c r="K318" s="4191"/>
      <c r="L318" s="4191"/>
      <c r="M318" s="4191"/>
      <c r="N318" s="4192"/>
      <c r="O318" s="128" t="s">
        <v>4202</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204"/>
      <c r="D319" s="4205"/>
      <c r="E319" s="4205"/>
      <c r="F319" s="4205"/>
      <c r="G319" s="4205"/>
      <c r="H319" s="4205"/>
      <c r="I319" s="4205"/>
      <c r="J319" s="4205"/>
      <c r="K319" s="4205"/>
      <c r="L319" s="4205"/>
      <c r="M319" s="4205"/>
      <c r="N319" s="4206"/>
      <c r="O319" s="128" t="s">
        <v>4203</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11" t="s">
        <v>4028</v>
      </c>
      <c r="C320" s="4111"/>
      <c r="D320" s="4111"/>
      <c r="E320" s="4111"/>
      <c r="F320" s="4111"/>
      <c r="G320" s="4111"/>
      <c r="H320" s="4111"/>
      <c r="I320" s="4111"/>
      <c r="J320" s="4111"/>
      <c r="K320" s="4111"/>
      <c r="L320" s="4111"/>
      <c r="M320" s="4111"/>
      <c r="N320" s="4111"/>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3158</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25"/>
      <c r="B323" s="4126"/>
      <c r="C323" s="4126"/>
      <c r="D323" s="4126"/>
      <c r="E323" s="4126"/>
      <c r="F323" s="4126"/>
      <c r="G323" s="4126"/>
      <c r="H323" s="4126"/>
      <c r="I323" s="4126"/>
      <c r="J323" s="4126"/>
      <c r="K323" s="4126"/>
      <c r="L323" s="4126"/>
      <c r="M323" s="4126"/>
      <c r="N323" s="4126"/>
      <c r="O323" s="4126"/>
      <c r="P323" s="4126"/>
      <c r="Q323" s="4127"/>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22"/>
      <c r="B325" s="4123"/>
      <c r="C325" s="4123"/>
      <c r="D325" s="4123"/>
      <c r="E325" s="4123"/>
      <c r="F325" s="4123"/>
      <c r="G325" s="4123"/>
      <c r="H325" s="4123"/>
      <c r="I325" s="4123"/>
      <c r="J325" s="4123"/>
      <c r="K325" s="4123"/>
      <c r="L325" s="4123"/>
      <c r="M325" s="4123"/>
      <c r="N325" s="4123"/>
      <c r="O325" s="4123"/>
      <c r="P325" s="4123"/>
      <c r="Q325" s="4124"/>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5" customHeight="1">
      <c r="A326" s="2" t="s">
        <v>3287</v>
      </c>
      <c r="B326" s="153" t="s">
        <v>4432</v>
      </c>
      <c r="C326" s="2"/>
      <c r="D326" s="874"/>
      <c r="E326" s="874"/>
      <c r="F326" s="874"/>
      <c r="G326" s="874"/>
      <c r="H326" s="874"/>
      <c r="N326" s="845" t="s">
        <v>4431</v>
      </c>
      <c r="O326" s="101" t="s">
        <v>1726</v>
      </c>
      <c r="P326" s="4117"/>
      <c r="Q326" s="4118"/>
      <c r="R326" s="847" t="s">
        <v>4418</v>
      </c>
    </row>
    <row r="327" spans="1:256" ht="11.65" customHeight="1">
      <c r="A327" s="40" t="s">
        <v>1836</v>
      </c>
      <c r="B327" s="44" t="s">
        <v>4427</v>
      </c>
      <c r="O327" s="128" t="s">
        <v>1836</v>
      </c>
      <c r="P327" s="175"/>
      <c r="Q327" s="418"/>
    </row>
    <row r="328" spans="1:256" ht="11.65" customHeight="1">
      <c r="A328" s="110" t="s">
        <v>1838</v>
      </c>
      <c r="B328" s="44" t="s">
        <v>4434</v>
      </c>
      <c r="O328" s="128" t="s">
        <v>1838</v>
      </c>
      <c r="P328" s="1669"/>
      <c r="Q328" s="675"/>
    </row>
    <row r="329" spans="1:256" ht="11.65" customHeight="1">
      <c r="A329" s="110" t="s">
        <v>697</v>
      </c>
      <c r="B329" s="44" t="s">
        <v>4435</v>
      </c>
      <c r="K329" s="231"/>
      <c r="M329" s="128" t="s">
        <v>697</v>
      </c>
      <c r="N329" s="4186" t="s">
        <v>1641</v>
      </c>
      <c r="O329" s="4187"/>
      <c r="P329" s="4188" t="s">
        <v>1641</v>
      </c>
      <c r="Q329" s="4189"/>
    </row>
    <row r="330" spans="1:256" ht="11.65" customHeight="1">
      <c r="A330" s="40" t="s">
        <v>1957</v>
      </c>
      <c r="B330" s="44" t="s">
        <v>4436</v>
      </c>
      <c r="O330" s="48" t="s">
        <v>1957</v>
      </c>
      <c r="P330" s="1337"/>
      <c r="Q330" s="1336"/>
    </row>
    <row r="331" spans="1:256" ht="11.65" customHeight="1">
      <c r="A331" s="110" t="s">
        <v>1609</v>
      </c>
      <c r="B331" s="44" t="s">
        <v>4437</v>
      </c>
      <c r="N331" s="128" t="s">
        <v>1609</v>
      </c>
      <c r="O331" s="4180" t="s">
        <v>2553</v>
      </c>
      <c r="P331" s="4181"/>
      <c r="Q331" s="4182"/>
    </row>
    <row r="332" spans="1:256" ht="11.65" customHeight="1">
      <c r="A332" s="110" t="s">
        <v>1610</v>
      </c>
      <c r="B332" s="67" t="s">
        <v>2164</v>
      </c>
      <c r="N332" s="128" t="s">
        <v>1610</v>
      </c>
      <c r="O332" s="4246" t="s">
        <v>2553</v>
      </c>
      <c r="P332" s="4247"/>
      <c r="Q332" s="4248"/>
    </row>
    <row r="333" spans="1:256" ht="11.25" customHeight="1">
      <c r="B333" s="109" t="s">
        <v>3158</v>
      </c>
      <c r="D333" s="109"/>
      <c r="E333" s="109"/>
      <c r="F333" s="109"/>
      <c r="G333" s="109"/>
      <c r="H333" s="33"/>
      <c r="I333" s="878"/>
      <c r="J333" s="878"/>
      <c r="K333" s="878"/>
      <c r="L333" s="674"/>
      <c r="M333" s="674"/>
      <c r="N333" s="674"/>
      <c r="O333" s="674"/>
      <c r="P333" s="674"/>
      <c r="Q333" s="674"/>
    </row>
    <row r="334" spans="1:256" ht="13.4" customHeight="1">
      <c r="A334" s="4125"/>
      <c r="B334" s="4126"/>
      <c r="C334" s="4126"/>
      <c r="D334" s="4126"/>
      <c r="E334" s="4126"/>
      <c r="F334" s="4126"/>
      <c r="G334" s="4126"/>
      <c r="H334" s="4126"/>
      <c r="I334" s="4126"/>
      <c r="J334" s="4126"/>
      <c r="K334" s="4126"/>
      <c r="L334" s="4126"/>
      <c r="M334" s="4126"/>
      <c r="N334" s="4126"/>
      <c r="O334" s="4126"/>
      <c r="P334" s="4126"/>
      <c r="Q334" s="4127"/>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4" customHeight="1">
      <c r="A336" s="4122"/>
      <c r="B336" s="4123"/>
      <c r="C336" s="4123"/>
      <c r="D336" s="4123"/>
      <c r="E336" s="4123"/>
      <c r="F336" s="4123"/>
      <c r="G336" s="4123"/>
      <c r="H336" s="4123"/>
      <c r="I336" s="4123"/>
      <c r="J336" s="4123"/>
      <c r="K336" s="4123"/>
      <c r="L336" s="4123"/>
      <c r="M336" s="4123"/>
      <c r="N336" s="4123"/>
      <c r="O336" s="4123"/>
      <c r="P336" s="4123"/>
      <c r="Q336" s="4124"/>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5" customHeight="1">
      <c r="A338" s="2" t="s">
        <v>3290</v>
      </c>
      <c r="B338" s="4" t="s">
        <v>4438</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31"/>
      <c r="Q338" s="4132"/>
    </row>
    <row r="339" spans="1:44" ht="14.15" customHeight="1">
      <c r="A339" s="2"/>
      <c r="B339" s="29" t="s">
        <v>4439</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5" customHeight="1">
      <c r="A340" s="2"/>
      <c r="B340" s="29" t="s">
        <v>4440</v>
      </c>
      <c r="C340" s="4"/>
      <c r="D340" s="4"/>
      <c r="E340" s="4"/>
      <c r="F340" s="4"/>
      <c r="G340" s="4"/>
      <c r="H340" s="874"/>
      <c r="I340" s="874"/>
      <c r="J340" s="874"/>
      <c r="K340" s="874"/>
      <c r="L340" s="874"/>
      <c r="M340" s="874"/>
      <c r="N340" s="395"/>
      <c r="O340" s="101"/>
      <c r="P340" s="372"/>
      <c r="Q340" s="417"/>
    </row>
    <row r="341" spans="1:44" ht="21.75" customHeight="1">
      <c r="A341" s="110" t="s">
        <v>1836</v>
      </c>
      <c r="B341" s="4111" t="s">
        <v>4584</v>
      </c>
      <c r="C341" s="4111"/>
      <c r="D341" s="4111"/>
      <c r="E341" s="4111"/>
      <c r="F341" s="4111"/>
      <c r="G341" s="4111"/>
      <c r="H341" s="4111"/>
      <c r="I341" s="4111"/>
      <c r="J341" s="4111"/>
      <c r="K341" s="4111"/>
      <c r="L341" s="4111"/>
      <c r="M341" s="4111"/>
      <c r="N341" s="4111"/>
      <c r="O341" s="128" t="s">
        <v>1836</v>
      </c>
      <c r="P341" s="1723"/>
      <c r="Q341" s="1724"/>
    </row>
    <row r="342" spans="1:44" s="35" customFormat="1" ht="12.75" customHeight="1">
      <c r="A342" s="40"/>
      <c r="B342" s="33" t="s">
        <v>1611</v>
      </c>
      <c r="C342" s="29" t="s">
        <v>4029</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3773</v>
      </c>
      <c r="G343" s="1456" t="e">
        <f>#REF!</f>
        <v>#REF!</v>
      </c>
      <c r="H343" s="72"/>
      <c r="I343" s="29" t="s">
        <v>831</v>
      </c>
      <c r="J343" s="72"/>
      <c r="K343" s="72"/>
      <c r="L343" s="1455" t="e">
        <f>#REF!</f>
        <v>#REF!</v>
      </c>
      <c r="M343" s="48" t="s">
        <v>4639</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11" t="s">
        <v>4585</v>
      </c>
      <c r="C344" s="4111"/>
      <c r="D344" s="4111"/>
      <c r="E344" s="4111"/>
      <c r="F344" s="4111"/>
      <c r="G344" s="4111"/>
      <c r="H344" s="4111"/>
      <c r="I344" s="4111"/>
      <c r="J344" s="4111"/>
      <c r="K344" s="4111"/>
      <c r="L344" s="4111"/>
      <c r="M344" s="4111"/>
      <c r="N344" s="4111"/>
      <c r="O344" s="128" t="s">
        <v>1838</v>
      </c>
      <c r="P344" s="892"/>
      <c r="Q344" s="893"/>
    </row>
    <row r="345" spans="1:44" s="115" customFormat="1">
      <c r="A345" s="110"/>
      <c r="B345" s="1161"/>
      <c r="C345" s="29" t="s">
        <v>1662</v>
      </c>
      <c r="D345" s="29"/>
      <c r="E345" s="1455" t="e">
        <f>#REF!</f>
        <v>#REF!</v>
      </c>
      <c r="F345" s="29" t="s">
        <v>4587</v>
      </c>
      <c r="H345" s="72"/>
      <c r="L345" s="1848"/>
      <c r="M345" s="48" t="s">
        <v>4639</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11" t="s">
        <v>4586</v>
      </c>
      <c r="C346" s="4111"/>
      <c r="D346" s="4111"/>
      <c r="E346" s="4111"/>
      <c r="F346" s="4111"/>
      <c r="G346" s="4111"/>
      <c r="H346" s="4111"/>
      <c r="I346" s="4111"/>
      <c r="J346" s="4111"/>
      <c r="K346" s="4111"/>
      <c r="L346" s="4111"/>
      <c r="M346" s="4111"/>
      <c r="N346" s="4111"/>
      <c r="O346" s="128" t="s">
        <v>697</v>
      </c>
      <c r="P346" s="1723"/>
      <c r="Q346" s="1724"/>
    </row>
    <row r="347" spans="1:44" ht="14.15" customHeight="1">
      <c r="A347" s="23"/>
      <c r="B347" s="369" t="s">
        <v>1611</v>
      </c>
      <c r="C347" s="44" t="s">
        <v>4441</v>
      </c>
      <c r="D347" s="10"/>
      <c r="E347" s="10"/>
      <c r="F347" s="10"/>
      <c r="G347" s="10"/>
      <c r="H347" s="1721"/>
      <c r="I347" s="1721"/>
      <c r="J347" s="1721"/>
      <c r="K347" s="1721"/>
      <c r="L347" s="1721"/>
      <c r="M347" s="1721"/>
      <c r="N347" s="1722"/>
      <c r="O347" s="48" t="s">
        <v>3931</v>
      </c>
      <c r="P347" s="1727"/>
      <c r="Q347" s="1728"/>
    </row>
    <row r="348" spans="1:44" s="115" customFormat="1">
      <c r="A348" s="110"/>
      <c r="B348" s="1161"/>
      <c r="C348" s="29" t="s">
        <v>1662</v>
      </c>
      <c r="D348" s="29"/>
      <c r="E348" s="1455" t="e">
        <f>#REF!</f>
        <v>#REF!</v>
      </c>
      <c r="F348" s="29" t="s">
        <v>3773</v>
      </c>
      <c r="G348" s="1456" t="e">
        <f>#REF!</f>
        <v>#REF!</v>
      </c>
      <c r="H348" s="72"/>
      <c r="I348" s="29" t="s">
        <v>831</v>
      </c>
      <c r="J348" s="72"/>
      <c r="K348" s="72"/>
      <c r="L348" s="1455" t="e">
        <f>#REF!</f>
        <v>#REF!</v>
      </c>
      <c r="M348" s="48" t="s">
        <v>4639</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3158</v>
      </c>
      <c r="D349" s="109"/>
      <c r="E349" s="109"/>
      <c r="F349" s="109"/>
      <c r="G349" s="109"/>
      <c r="H349" s="33"/>
      <c r="I349" s="878"/>
      <c r="J349" s="878"/>
      <c r="K349" s="878"/>
      <c r="L349" s="674"/>
      <c r="M349" s="674"/>
      <c r="N349" s="674"/>
      <c r="O349" s="674"/>
      <c r="P349" s="674"/>
      <c r="Q349" s="674"/>
    </row>
    <row r="350" spans="1:44" ht="12" customHeight="1">
      <c r="A350" s="4125"/>
      <c r="B350" s="4126"/>
      <c r="C350" s="4126"/>
      <c r="D350" s="4126"/>
      <c r="E350" s="4126"/>
      <c r="F350" s="4126"/>
      <c r="G350" s="4126"/>
      <c r="H350" s="4126"/>
      <c r="I350" s="4126"/>
      <c r="J350" s="4126"/>
      <c r="K350" s="4126"/>
      <c r="L350" s="4126"/>
      <c r="M350" s="4126"/>
      <c r="N350" s="4126"/>
      <c r="O350" s="4126"/>
      <c r="P350" s="4126"/>
      <c r="Q350" s="4127"/>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22"/>
      <c r="B352" s="4123"/>
      <c r="C352" s="4123"/>
      <c r="D352" s="4123"/>
      <c r="E352" s="4123"/>
      <c r="F352" s="4123"/>
      <c r="G352" s="4123"/>
      <c r="H352" s="4123"/>
      <c r="I352" s="4123"/>
      <c r="J352" s="4123"/>
      <c r="K352" s="4123"/>
      <c r="L352" s="4123"/>
      <c r="M352" s="4123"/>
      <c r="N352" s="4123"/>
      <c r="O352" s="4123"/>
      <c r="P352" s="4123"/>
      <c r="Q352" s="4124"/>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5" customHeight="1">
      <c r="A354" s="2" t="s">
        <v>3291</v>
      </c>
      <c r="B354" s="4" t="s">
        <v>3272</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87"/>
      <c r="Q354" s="4118"/>
    </row>
    <row r="355" spans="1:31" ht="10.5" customHeight="1">
      <c r="A355" s="40" t="s">
        <v>1836</v>
      </c>
      <c r="B355" s="29" t="s">
        <v>3273</v>
      </c>
      <c r="D355" s="118"/>
      <c r="E355" s="118"/>
      <c r="F355" s="118"/>
      <c r="G355" s="118"/>
      <c r="H355" s="48" t="s">
        <v>1836</v>
      </c>
      <c r="I355" s="4288"/>
      <c r="J355" s="4289"/>
      <c r="K355" s="4289"/>
      <c r="L355" s="4289"/>
      <c r="M355" s="4289"/>
      <c r="N355" s="4289"/>
      <c r="O355" s="4289"/>
      <c r="P355" s="4290"/>
      <c r="Q355" s="418"/>
    </row>
    <row r="356" spans="1:31" ht="10.5" customHeight="1">
      <c r="A356" s="110" t="s">
        <v>1838</v>
      </c>
      <c r="B356" s="29" t="s">
        <v>3274</v>
      </c>
      <c r="D356" s="118"/>
      <c r="E356" s="118"/>
      <c r="F356" s="118"/>
      <c r="G356" s="118"/>
      <c r="H356" s="128" t="s">
        <v>1838</v>
      </c>
      <c r="I356" s="4165"/>
      <c r="J356" s="4166"/>
      <c r="K356" s="4166"/>
      <c r="L356" s="4166"/>
      <c r="M356" s="4166"/>
      <c r="N356" s="4166"/>
      <c r="O356" s="4166"/>
      <c r="P356" s="4167"/>
      <c r="Q356" s="420"/>
    </row>
    <row r="357" spans="1:31" ht="21.75" customHeight="1">
      <c r="A357" s="110" t="s">
        <v>697</v>
      </c>
      <c r="B357" s="4133" t="s">
        <v>3265</v>
      </c>
      <c r="C357" s="4133"/>
      <c r="D357" s="4133"/>
      <c r="E357" s="4133"/>
      <c r="F357" s="4133"/>
      <c r="G357" s="4133"/>
      <c r="H357" s="4133"/>
      <c r="I357" s="4133"/>
      <c r="J357" s="4133"/>
      <c r="K357" s="4133"/>
      <c r="L357" s="4133"/>
      <c r="M357" s="4133"/>
      <c r="N357" s="4133"/>
      <c r="O357" s="128" t="s">
        <v>697</v>
      </c>
      <c r="P357" s="825"/>
      <c r="Q357" s="880"/>
    </row>
    <row r="358" spans="1:31" ht="21.75" customHeight="1">
      <c r="A358" s="110" t="s">
        <v>1957</v>
      </c>
      <c r="B358" s="4111" t="s">
        <v>3266</v>
      </c>
      <c r="C358" s="4111"/>
      <c r="D358" s="4111"/>
      <c r="E358" s="4111"/>
      <c r="F358" s="4111"/>
      <c r="G358" s="4111"/>
      <c r="H358" s="4111"/>
      <c r="I358" s="4111"/>
      <c r="J358" s="4111"/>
      <c r="K358" s="4111"/>
      <c r="L358" s="4111"/>
      <c r="M358" s="4111"/>
      <c r="N358" s="4111"/>
      <c r="O358" s="128" t="s">
        <v>1957</v>
      </c>
      <c r="P358" s="430"/>
      <c r="Q358" s="421"/>
    </row>
    <row r="359" spans="1:31" ht="10.5" customHeight="1">
      <c r="A359" s="110" t="s">
        <v>1609</v>
      </c>
      <c r="B359" s="29" t="s">
        <v>3267</v>
      </c>
      <c r="D359" s="29"/>
      <c r="E359" s="29"/>
      <c r="F359" s="29"/>
      <c r="G359" s="29"/>
      <c r="H359" s="29"/>
      <c r="I359" s="29"/>
      <c r="J359" s="29"/>
      <c r="K359" s="29"/>
      <c r="L359" s="29"/>
      <c r="M359" s="29"/>
      <c r="O359" s="128" t="s">
        <v>1609</v>
      </c>
      <c r="P359" s="299"/>
      <c r="Q359" s="419"/>
    </row>
    <row r="360" spans="1:31" s="102" customFormat="1" ht="21.75" customHeight="1">
      <c r="A360" s="110" t="s">
        <v>1610</v>
      </c>
      <c r="B360" s="4111" t="s">
        <v>3268</v>
      </c>
      <c r="C360" s="4111"/>
      <c r="D360" s="4111"/>
      <c r="E360" s="4111"/>
      <c r="F360" s="4111"/>
      <c r="G360" s="4111"/>
      <c r="H360" s="4111"/>
      <c r="I360" s="4111"/>
      <c r="J360" s="4111"/>
      <c r="K360" s="4111"/>
      <c r="L360" s="4111"/>
      <c r="M360" s="4111"/>
      <c r="N360" s="4111"/>
      <c r="O360" s="128" t="s">
        <v>1610</v>
      </c>
      <c r="P360" s="665"/>
      <c r="Q360" s="666"/>
    </row>
    <row r="361" spans="1:31" s="102" customFormat="1" ht="10.5" customHeight="1">
      <c r="A361" s="110" t="s">
        <v>1803</v>
      </c>
      <c r="B361" s="108" t="s">
        <v>3269</v>
      </c>
      <c r="D361" s="456"/>
      <c r="E361" s="456"/>
      <c r="F361" s="456"/>
      <c r="G361" s="456"/>
      <c r="H361" s="456"/>
      <c r="I361" s="456"/>
      <c r="J361" s="456"/>
      <c r="K361" s="456"/>
      <c r="L361" s="456"/>
      <c r="M361" s="456"/>
      <c r="N361" s="456"/>
      <c r="O361" s="128" t="s">
        <v>1803</v>
      </c>
      <c r="P361" s="881"/>
      <c r="Q361" s="880"/>
    </row>
    <row r="362" spans="1:31" s="102" customFormat="1" ht="10.5" customHeight="1">
      <c r="C362" s="371" t="s">
        <v>3750</v>
      </c>
      <c r="E362" s="874"/>
      <c r="F362" s="874"/>
      <c r="G362" s="874"/>
      <c r="H362" s="874"/>
      <c r="I362" s="874"/>
      <c r="J362" s="874"/>
      <c r="K362" s="874"/>
      <c r="L362" s="874"/>
      <c r="M362" s="874"/>
      <c r="N362" s="874"/>
      <c r="P362" s="883"/>
      <c r="Q362" s="882"/>
    </row>
    <row r="363" spans="1:31" ht="21.75" customHeight="1">
      <c r="A363" s="110" t="s">
        <v>2933</v>
      </c>
      <c r="B363" s="4111" t="s">
        <v>3270</v>
      </c>
      <c r="C363" s="4111"/>
      <c r="D363" s="4111"/>
      <c r="E363" s="4111"/>
      <c r="F363" s="4111"/>
      <c r="G363" s="4111"/>
      <c r="H363" s="4111"/>
      <c r="I363" s="4111"/>
      <c r="J363" s="4111"/>
      <c r="K363" s="4111"/>
      <c r="L363" s="4111"/>
      <c r="M363" s="4111"/>
      <c r="N363" s="4111"/>
      <c r="O363" s="128" t="s">
        <v>2933</v>
      </c>
      <c r="P363" s="881"/>
      <c r="Q363" s="880"/>
    </row>
    <row r="364" spans="1:31" ht="33" customHeight="1">
      <c r="A364" s="110" t="s">
        <v>572</v>
      </c>
      <c r="B364" s="4111" t="s">
        <v>3271</v>
      </c>
      <c r="C364" s="4111"/>
      <c r="D364" s="4111"/>
      <c r="E364" s="4111"/>
      <c r="F364" s="4111"/>
      <c r="G364" s="4111"/>
      <c r="H364" s="4111"/>
      <c r="I364" s="4111"/>
      <c r="J364" s="4111"/>
      <c r="K364" s="4111"/>
      <c r="L364" s="4111"/>
      <c r="M364" s="4111"/>
      <c r="N364" s="4111"/>
      <c r="O364" s="128" t="s">
        <v>572</v>
      </c>
      <c r="P364" s="883"/>
      <c r="Q364" s="882"/>
    </row>
    <row r="365" spans="1:31" ht="10.5" customHeight="1">
      <c r="B365" s="109" t="s">
        <v>3158</v>
      </c>
      <c r="D365" s="109"/>
      <c r="E365" s="109"/>
      <c r="F365" s="109"/>
      <c r="G365" s="109"/>
      <c r="H365" s="33"/>
      <c r="I365" s="878"/>
      <c r="J365" s="878"/>
      <c r="K365" s="878"/>
      <c r="L365" s="674"/>
      <c r="M365" s="674"/>
      <c r="N365" s="674"/>
      <c r="O365" s="674"/>
      <c r="P365" s="674"/>
      <c r="Q365" s="674"/>
    </row>
    <row r="366" spans="1:31" ht="31.5" customHeight="1">
      <c r="A366" s="4125"/>
      <c r="B366" s="4126"/>
      <c r="C366" s="4126"/>
      <c r="D366" s="4126"/>
      <c r="E366" s="4126"/>
      <c r="F366" s="4126"/>
      <c r="G366" s="4126"/>
      <c r="H366" s="4126"/>
      <c r="I366" s="4126"/>
      <c r="J366" s="4126"/>
      <c r="K366" s="4126"/>
      <c r="L366" s="4126"/>
      <c r="M366" s="4126"/>
      <c r="N366" s="4126"/>
      <c r="O366" s="4126"/>
      <c r="P366" s="4126"/>
      <c r="Q366" s="4127"/>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22"/>
      <c r="B368" s="4123"/>
      <c r="C368" s="4123"/>
      <c r="D368" s="4123"/>
      <c r="E368" s="4123"/>
      <c r="F368" s="4123"/>
      <c r="G368" s="4123"/>
      <c r="H368" s="4123"/>
      <c r="I368" s="4123"/>
      <c r="J368" s="4123"/>
      <c r="K368" s="4123"/>
      <c r="L368" s="4123"/>
      <c r="M368" s="4123"/>
      <c r="N368" s="4123"/>
      <c r="O368" s="4123"/>
      <c r="P368" s="4123"/>
      <c r="Q368" s="4124"/>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5" customHeight="1">
      <c r="A371" s="2" t="s">
        <v>3292</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17"/>
      <c r="Q371" s="4118"/>
    </row>
    <row r="372" spans="1:31" ht="11.65" customHeight="1">
      <c r="A372" s="40" t="s">
        <v>1836</v>
      </c>
      <c r="B372" s="32" t="s">
        <v>969</v>
      </c>
      <c r="E372" s="4172"/>
      <c r="F372" s="4173"/>
      <c r="G372" s="4173"/>
      <c r="H372" s="4173"/>
      <c r="I372" s="4174"/>
      <c r="J372" s="4175" t="s">
        <v>2430</v>
      </c>
      <c r="K372" s="4176"/>
      <c r="L372" s="4177"/>
      <c r="M372" s="4172"/>
      <c r="N372" s="4173"/>
      <c r="O372" s="4173"/>
      <c r="P372" s="4173"/>
      <c r="Q372" s="4174"/>
    </row>
    <row r="373" spans="1:31" s="102" customFormat="1" ht="22.5" customHeight="1">
      <c r="A373" s="110" t="s">
        <v>1838</v>
      </c>
      <c r="B373" s="4111" t="s">
        <v>2998</v>
      </c>
      <c r="C373" s="4111"/>
      <c r="D373" s="4111"/>
      <c r="E373" s="4111"/>
      <c r="F373" s="4111"/>
      <c r="G373" s="4111"/>
      <c r="H373" s="4111"/>
      <c r="I373" s="4111"/>
      <c r="J373" s="4111"/>
      <c r="K373" s="4111"/>
      <c r="L373" s="4111"/>
      <c r="M373" s="4111"/>
      <c r="N373" s="4111"/>
      <c r="O373" s="128" t="s">
        <v>1838</v>
      </c>
      <c r="P373" s="430"/>
      <c r="Q373" s="421"/>
    </row>
    <row r="374" spans="1:31" ht="13">
      <c r="A374" s="110" t="s">
        <v>697</v>
      </c>
      <c r="B374" s="44" t="s">
        <v>3118</v>
      </c>
      <c r="G374" s="876"/>
      <c r="H374" s="876"/>
      <c r="I374" s="876"/>
      <c r="J374" s="33" t="s">
        <v>3119</v>
      </c>
      <c r="L374" s="876"/>
      <c r="M374" s="4178" t="e">
        <f>#REF!</f>
        <v>#REF!</v>
      </c>
      <c r="N374" s="4179"/>
      <c r="O374" s="128" t="s">
        <v>697</v>
      </c>
      <c r="P374" s="176"/>
      <c r="Q374" s="420"/>
    </row>
    <row r="375" spans="1:31" ht="11.25" customHeight="1">
      <c r="B375" s="109" t="s">
        <v>3158</v>
      </c>
      <c r="D375" s="109"/>
      <c r="E375" s="109"/>
      <c r="F375" s="109"/>
      <c r="G375" s="109"/>
      <c r="H375" s="33"/>
      <c r="I375" s="878"/>
      <c r="J375" s="878"/>
      <c r="K375" s="878"/>
      <c r="L375" s="674"/>
      <c r="M375" s="674"/>
      <c r="N375" s="674"/>
      <c r="O375" s="674"/>
      <c r="P375" s="674"/>
      <c r="Q375" s="674"/>
    </row>
    <row r="376" spans="1:31" ht="11.65" customHeight="1">
      <c r="A376" s="4125"/>
      <c r="B376" s="4126"/>
      <c r="C376" s="4126"/>
      <c r="D376" s="4126"/>
      <c r="E376" s="4126"/>
      <c r="F376" s="4126"/>
      <c r="G376" s="4126"/>
      <c r="H376" s="4126"/>
      <c r="I376" s="4126"/>
      <c r="J376" s="4126"/>
      <c r="K376" s="4126"/>
      <c r="L376" s="4126"/>
      <c r="M376" s="4126"/>
      <c r="N376" s="4126"/>
      <c r="O376" s="4126"/>
      <c r="P376" s="4126"/>
      <c r="Q376" s="4127"/>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22"/>
      <c r="B378" s="4123"/>
      <c r="C378" s="4123"/>
      <c r="D378" s="4123"/>
      <c r="E378" s="4123"/>
      <c r="F378" s="4123"/>
      <c r="G378" s="4123"/>
      <c r="H378" s="4123"/>
      <c r="I378" s="4123"/>
      <c r="J378" s="4123"/>
      <c r="K378" s="4123"/>
      <c r="L378" s="4123"/>
      <c r="M378" s="4123"/>
      <c r="N378" s="4123"/>
      <c r="O378" s="4123"/>
      <c r="P378" s="4123"/>
      <c r="Q378" s="4124"/>
    </row>
    <row r="379" spans="1:31" ht="3.65" customHeight="1">
      <c r="A379" s="674"/>
      <c r="B379" s="878"/>
      <c r="C379" s="874"/>
      <c r="D379" s="874"/>
      <c r="E379" s="874"/>
      <c r="F379" s="874"/>
      <c r="G379" s="874"/>
      <c r="H379" s="874"/>
      <c r="I379" s="874"/>
      <c r="J379" s="874"/>
      <c r="K379" s="874"/>
      <c r="L379" s="874"/>
      <c r="M379" s="874"/>
      <c r="Q379" s="674"/>
    </row>
    <row r="380" spans="1:31" ht="14.15" customHeight="1">
      <c r="A380" s="2" t="s">
        <v>3293</v>
      </c>
      <c r="B380" s="4" t="s">
        <v>2428</v>
      </c>
      <c r="C380" s="4"/>
      <c r="D380" s="4"/>
      <c r="E380" s="874"/>
      <c r="G380" s="108" t="s">
        <v>654</v>
      </c>
      <c r="H380" s="874"/>
      <c r="I380" s="874"/>
      <c r="J380" s="874"/>
      <c r="K380" s="874"/>
      <c r="L380" s="874"/>
      <c r="M380" s="874"/>
      <c r="O380" s="101" t="s">
        <v>1726</v>
      </c>
      <c r="P380" s="4117"/>
      <c r="Q380" s="4168"/>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3906</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4128"/>
      <c r="I385" s="4129"/>
      <c r="J385" s="4129"/>
      <c r="K385" s="4129"/>
      <c r="L385" s="4129"/>
      <c r="M385" s="4129"/>
      <c r="N385" s="4129"/>
      <c r="O385" s="4130"/>
      <c r="P385" s="176"/>
      <c r="Q385" s="420"/>
    </row>
    <row r="386" spans="1:31" ht="11.25" customHeight="1">
      <c r="B386" s="109" t="s">
        <v>3158</v>
      </c>
      <c r="D386" s="109"/>
      <c r="E386" s="109"/>
      <c r="F386" s="109"/>
      <c r="G386" s="109"/>
      <c r="H386" s="33"/>
      <c r="I386" s="878"/>
      <c r="J386" s="878"/>
      <c r="K386" s="878"/>
      <c r="L386" s="674"/>
      <c r="M386" s="674"/>
      <c r="N386" s="674"/>
      <c r="O386" s="674"/>
      <c r="P386" s="674"/>
      <c r="Q386" s="674"/>
    </row>
    <row r="387" spans="1:31" ht="11.65" customHeight="1">
      <c r="A387" s="4125"/>
      <c r="B387" s="4126"/>
      <c r="C387" s="4126"/>
      <c r="D387" s="4126"/>
      <c r="E387" s="4126"/>
      <c r="F387" s="4126"/>
      <c r="G387" s="4126"/>
      <c r="H387" s="4126"/>
      <c r="I387" s="4126"/>
      <c r="J387" s="4126"/>
      <c r="K387" s="4126"/>
      <c r="L387" s="4126"/>
      <c r="M387" s="4126"/>
      <c r="N387" s="4126"/>
      <c r="O387" s="4126"/>
      <c r="P387" s="4126"/>
      <c r="Q387" s="4127"/>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22"/>
      <c r="B389" s="4123"/>
      <c r="C389" s="4123"/>
      <c r="D389" s="4123"/>
      <c r="E389" s="4123"/>
      <c r="F389" s="4123"/>
      <c r="G389" s="4123"/>
      <c r="H389" s="4123"/>
      <c r="I389" s="4123"/>
      <c r="J389" s="4123"/>
      <c r="K389" s="4123"/>
      <c r="L389" s="4123"/>
      <c r="M389" s="4123"/>
      <c r="N389" s="4123"/>
      <c r="O389" s="4123"/>
      <c r="P389" s="4123"/>
      <c r="Q389" s="4124"/>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5" customHeight="1">
      <c r="A391" s="2" t="s">
        <v>3294</v>
      </c>
      <c r="B391" s="4" t="s">
        <v>3818</v>
      </c>
      <c r="C391" s="4"/>
      <c r="D391" s="4"/>
      <c r="E391" s="4"/>
      <c r="F391" s="4"/>
      <c r="G391" s="4"/>
      <c r="H391" s="874"/>
      <c r="I391" s="874"/>
      <c r="J391" s="874"/>
      <c r="K391" s="874"/>
      <c r="L391" s="874"/>
      <c r="M391" s="874"/>
      <c r="O391" s="101" t="s">
        <v>1726</v>
      </c>
      <c r="P391" s="4131"/>
      <c r="Q391" s="4132"/>
    </row>
    <row r="392" spans="1:31" ht="12" customHeight="1">
      <c r="B392" s="44" t="s">
        <v>4152</v>
      </c>
      <c r="O392" s="49"/>
      <c r="P392" s="372"/>
      <c r="Q392" s="417"/>
    </row>
    <row r="393" spans="1:31" ht="12" customHeight="1">
      <c r="A393" s="40" t="s">
        <v>1836</v>
      </c>
      <c r="B393" s="66" t="s">
        <v>3817</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3907</v>
      </c>
      <c r="D395" s="44" t="s">
        <v>3908</v>
      </c>
      <c r="E395" s="35"/>
      <c r="F395" s="35"/>
      <c r="G395" s="35"/>
      <c r="H395" s="35"/>
      <c r="I395" s="35"/>
      <c r="J395" s="35"/>
      <c r="K395" s="35"/>
      <c r="L395" s="35"/>
      <c r="M395" s="35"/>
      <c r="N395" s="35"/>
      <c r="O395" s="48" t="s">
        <v>3907</v>
      </c>
      <c r="P395" s="4211"/>
      <c r="Q395" s="4209"/>
    </row>
    <row r="396" spans="1:31" ht="12" customHeight="1">
      <c r="A396" s="40"/>
      <c r="D396" s="29" t="s">
        <v>4402</v>
      </c>
      <c r="E396" s="29"/>
      <c r="F396" s="29"/>
      <c r="G396" s="29"/>
      <c r="H396" s="29"/>
      <c r="I396" s="29"/>
      <c r="J396" s="29"/>
      <c r="K396" s="29"/>
      <c r="L396" s="29"/>
      <c r="M396" s="29"/>
      <c r="N396" s="35"/>
      <c r="O396" s="1335"/>
      <c r="P396" s="4212"/>
      <c r="Q396" s="4210"/>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3821</v>
      </c>
      <c r="D398" s="29" t="s">
        <v>3056</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11" t="s">
        <v>4055</v>
      </c>
      <c r="D400" s="4111"/>
      <c r="E400" s="4111"/>
      <c r="F400" s="4111"/>
      <c r="G400" s="29" t="s">
        <v>3822</v>
      </c>
      <c r="J400" s="705"/>
      <c r="K400" s="425"/>
      <c r="M400" s="29" t="s">
        <v>4126</v>
      </c>
      <c r="P400" s="1670"/>
      <c r="Q400" s="1671"/>
    </row>
    <row r="401" spans="1:44" ht="12" customHeight="1">
      <c r="A401" s="40"/>
      <c r="C401" s="4111"/>
      <c r="D401" s="4111"/>
      <c r="E401" s="4111"/>
      <c r="F401" s="4111"/>
      <c r="G401" s="29" t="s">
        <v>4125</v>
      </c>
      <c r="J401" s="706"/>
      <c r="K401" s="426"/>
      <c r="M401" s="29" t="s">
        <v>4127</v>
      </c>
      <c r="P401" s="706"/>
      <c r="Q401" s="426"/>
    </row>
    <row r="402" spans="1:44" ht="8.25" customHeight="1">
      <c r="A402" s="40"/>
      <c r="C402" s="4111"/>
      <c r="D402" s="4111"/>
      <c r="E402" s="4111"/>
      <c r="F402" s="4111"/>
      <c r="J402" s="1448"/>
      <c r="L402" s="33"/>
      <c r="M402" s="35"/>
      <c r="N402" s="48"/>
    </row>
    <row r="403" spans="1:44" s="72" customFormat="1" ht="12.75" customHeight="1">
      <c r="A403" s="107"/>
      <c r="B403" s="153"/>
      <c r="D403" s="879"/>
      <c r="E403" s="879"/>
      <c r="F403" s="879"/>
      <c r="G403" s="879"/>
      <c r="H403" s="879"/>
      <c r="I403" s="4119" t="s">
        <v>4082</v>
      </c>
      <c r="J403" s="4119" t="s">
        <v>4083</v>
      </c>
      <c r="K403" s="4119" t="s">
        <v>4085</v>
      </c>
      <c r="L403" s="4119"/>
      <c r="M403" s="4119"/>
      <c r="N403" s="4158" t="s">
        <v>4084</v>
      </c>
      <c r="O403" s="48"/>
      <c r="P403" s="4282" t="s">
        <v>4596</v>
      </c>
      <c r="Q403" s="4282"/>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41"/>
      <c r="J404" s="4119"/>
      <c r="K404" s="4119"/>
      <c r="L404" s="4119"/>
      <c r="M404" s="4119"/>
      <c r="N404" s="4159"/>
      <c r="O404" s="48"/>
      <c r="P404" s="4283"/>
      <c r="Q404" s="4283"/>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11" t="s">
        <v>4196</v>
      </c>
      <c r="D405" s="4111"/>
      <c r="E405" s="4111"/>
      <c r="F405" s="4111"/>
      <c r="G405" s="4111"/>
      <c r="H405" s="4111"/>
      <c r="I405" s="364">
        <f>K290</f>
        <v>0</v>
      </c>
      <c r="J405" s="1672"/>
      <c r="K405" s="4120"/>
      <c r="L405" s="4120"/>
      <c r="M405" s="4121"/>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11"/>
      <c r="D406" s="4111"/>
      <c r="E406" s="4111"/>
      <c r="F406" s="4111"/>
      <c r="G406" s="4111"/>
      <c r="H406" s="4111"/>
      <c r="I406" s="248"/>
      <c r="J406" s="1673"/>
      <c r="K406" s="4160"/>
      <c r="L406" s="4160"/>
      <c r="M406" s="4161"/>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4086</v>
      </c>
      <c r="E408" s="108"/>
      <c r="F408" s="108"/>
      <c r="G408" s="108"/>
      <c r="H408" s="108"/>
      <c r="I408" s="364">
        <f>K291</f>
        <v>0</v>
      </c>
      <c r="J408" s="1672"/>
      <c r="K408" s="4120"/>
      <c r="L408" s="4120"/>
      <c r="M408" s="4121"/>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60"/>
      <c r="L409" s="4160"/>
      <c r="M409" s="4161"/>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11" t="s">
        <v>4197</v>
      </c>
      <c r="D411" s="4111"/>
      <c r="E411" s="4111"/>
      <c r="F411" s="4111"/>
      <c r="G411" s="4111"/>
      <c r="H411" s="4111"/>
      <c r="I411" s="364">
        <f>K293</f>
        <v>0</v>
      </c>
      <c r="J411" s="1672"/>
      <c r="K411" s="4120"/>
      <c r="L411" s="4120"/>
      <c r="M411" s="4121"/>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11"/>
      <c r="D412" s="4111"/>
      <c r="E412" s="4111"/>
      <c r="F412" s="4111"/>
      <c r="G412" s="4111"/>
      <c r="H412" s="4111"/>
      <c r="J412" s="1673"/>
      <c r="K412" s="4160"/>
      <c r="L412" s="4160"/>
      <c r="M412" s="4161"/>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3714</v>
      </c>
      <c r="E414" s="33"/>
      <c r="F414" s="33"/>
      <c r="G414" s="33"/>
      <c r="J414" s="35"/>
      <c r="K414" s="33"/>
      <c r="L414" s="33"/>
      <c r="M414" s="35"/>
      <c r="N414" s="48"/>
      <c r="P414" s="48"/>
      <c r="Q414" s="48"/>
    </row>
    <row r="415" spans="1:44" ht="12" customHeight="1">
      <c r="A415" s="40"/>
      <c r="B415" s="44"/>
      <c r="C415" s="33" t="s">
        <v>4129</v>
      </c>
      <c r="D415" s="115"/>
      <c r="E415" s="33"/>
      <c r="F415" s="33"/>
      <c r="L415" s="33"/>
      <c r="M415" s="33"/>
      <c r="O415" s="48" t="s">
        <v>2234</v>
      </c>
      <c r="P415" s="372" t="s">
        <v>1641</v>
      </c>
      <c r="Q415" s="417" t="s">
        <v>1641</v>
      </c>
    </row>
    <row r="416" spans="1:44" ht="12" customHeight="1">
      <c r="A416" s="35"/>
      <c r="B416" s="115"/>
      <c r="D416" s="4116" t="s">
        <v>4130</v>
      </c>
      <c r="E416" s="351" t="s">
        <v>2257</v>
      </c>
      <c r="F416" s="44" t="s">
        <v>3206</v>
      </c>
      <c r="G416" s="4112"/>
      <c r="H416" s="4113"/>
      <c r="I416" s="4113"/>
      <c r="J416" s="4113"/>
      <c r="K416" s="4114"/>
      <c r="L416" s="351"/>
    </row>
    <row r="417" spans="1:31" ht="12" customHeight="1">
      <c r="B417" s="115"/>
      <c r="D417" s="4116"/>
      <c r="E417" s="351" t="s">
        <v>3819</v>
      </c>
      <c r="F417" s="44" t="s">
        <v>3820</v>
      </c>
      <c r="G417" s="4169" t="s">
        <v>3121</v>
      </c>
      <c r="H417" s="4170"/>
      <c r="I417" s="4171"/>
      <c r="J417" s="44" t="s">
        <v>3681</v>
      </c>
      <c r="K417" s="115"/>
      <c r="M417" s="4112"/>
      <c r="N417" s="4113"/>
      <c r="O417" s="4113"/>
      <c r="P417" s="4113"/>
      <c r="Q417" s="4114"/>
    </row>
    <row r="418" spans="1:31" ht="12" customHeight="1">
      <c r="A418" s="35"/>
      <c r="B418" s="115"/>
      <c r="C418" s="44" t="s">
        <v>4128</v>
      </c>
      <c r="D418" s="115"/>
      <c r="E418" s="33"/>
      <c r="F418" s="33"/>
      <c r="G418" s="33"/>
      <c r="H418" s="33"/>
      <c r="I418" s="33"/>
      <c r="J418" s="33"/>
      <c r="K418" s="33"/>
      <c r="L418" s="33"/>
      <c r="M418" s="33"/>
      <c r="N418" s="33"/>
      <c r="O418" s="33"/>
      <c r="P418" s="33"/>
      <c r="Q418" s="33"/>
    </row>
    <row r="419" spans="1:31" ht="44.65" customHeight="1">
      <c r="B419" s="4162"/>
      <c r="C419" s="4163"/>
      <c r="D419" s="4163"/>
      <c r="E419" s="4163"/>
      <c r="F419" s="4163"/>
      <c r="G419" s="4163"/>
      <c r="H419" s="4163"/>
      <c r="I419" s="4163"/>
      <c r="J419" s="4163"/>
      <c r="K419" s="4163"/>
      <c r="L419" s="4163"/>
      <c r="M419" s="4163"/>
      <c r="N419" s="4163"/>
      <c r="O419" s="4163"/>
      <c r="P419" s="4163"/>
      <c r="Q419" s="4164"/>
      <c r="R419" s="353" t="s">
        <v>3680</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15" t="s">
        <v>3909</v>
      </c>
      <c r="C421" s="4111"/>
      <c r="D421" s="4111"/>
      <c r="E421" s="4111"/>
      <c r="F421" s="4111"/>
      <c r="G421" s="4111"/>
      <c r="H421" s="4111"/>
      <c r="I421" s="4111"/>
      <c r="J421" s="4111"/>
      <c r="K421" s="4111"/>
      <c r="L421" s="4111"/>
      <c r="M421" s="4111"/>
      <c r="N421" s="4111"/>
    </row>
    <row r="422" spans="1:31" s="115" customFormat="1" ht="45" customHeight="1">
      <c r="B422" s="4111" t="s">
        <v>4442</v>
      </c>
      <c r="C422" s="4111"/>
      <c r="D422" s="4111"/>
      <c r="E422" s="4111"/>
      <c r="F422" s="4111"/>
      <c r="G422" s="4111"/>
      <c r="H422" s="4111"/>
      <c r="I422" s="4111"/>
      <c r="J422" s="4111"/>
      <c r="K422" s="4111"/>
      <c r="L422" s="4111"/>
      <c r="M422" s="4111"/>
      <c r="N422" s="4111"/>
      <c r="O422" s="128" t="s">
        <v>1838</v>
      </c>
      <c r="P422" s="892"/>
      <c r="Q422" s="893"/>
    </row>
    <row r="423" spans="1:31" ht="12" customHeight="1">
      <c r="B423" s="109" t="s">
        <v>3158</v>
      </c>
      <c r="D423" s="109"/>
      <c r="E423" s="109"/>
      <c r="F423" s="109"/>
      <c r="G423" s="109"/>
      <c r="H423" s="33"/>
      <c r="I423" s="878"/>
      <c r="J423" s="878"/>
      <c r="K423" s="878"/>
    </row>
    <row r="424" spans="1:31" ht="33.65" customHeight="1">
      <c r="A424" s="4125"/>
      <c r="B424" s="4126"/>
      <c r="C424" s="4126"/>
      <c r="D424" s="4126"/>
      <c r="E424" s="4126"/>
      <c r="F424" s="4126"/>
      <c r="G424" s="4126"/>
      <c r="H424" s="4126"/>
      <c r="I424" s="4126"/>
      <c r="J424" s="4126"/>
      <c r="K424" s="4126"/>
      <c r="L424" s="4126"/>
      <c r="M424" s="4126"/>
      <c r="N424" s="4126"/>
      <c r="O424" s="4126"/>
      <c r="P424" s="4126"/>
      <c r="Q424" s="4127"/>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5" customHeight="1">
      <c r="A426" s="4122"/>
      <c r="B426" s="4123"/>
      <c r="C426" s="4123"/>
      <c r="D426" s="4123"/>
      <c r="E426" s="4123"/>
      <c r="F426" s="4123"/>
      <c r="G426" s="4123"/>
      <c r="H426" s="4123"/>
      <c r="I426" s="4123"/>
      <c r="J426" s="4123"/>
      <c r="K426" s="4123"/>
      <c r="L426" s="4123"/>
      <c r="M426" s="4123"/>
      <c r="N426" s="4123"/>
      <c r="O426" s="4123"/>
      <c r="P426" s="4123"/>
      <c r="Q426" s="4124"/>
    </row>
    <row r="427" spans="1:31" ht="3" customHeight="1">
      <c r="A427" s="674"/>
      <c r="B427" s="878"/>
      <c r="C427" s="874"/>
      <c r="D427" s="874"/>
      <c r="E427" s="874"/>
      <c r="F427" s="874"/>
      <c r="G427" s="874"/>
      <c r="H427" s="874"/>
      <c r="I427" s="874"/>
      <c r="J427" s="874"/>
      <c r="K427" s="874"/>
      <c r="L427" s="874"/>
      <c r="M427" s="874"/>
      <c r="Q427" s="674"/>
    </row>
    <row r="428" spans="1:31" ht="14.15" customHeight="1">
      <c r="A428" s="2" t="s">
        <v>3295</v>
      </c>
      <c r="B428" s="4" t="s">
        <v>2502</v>
      </c>
      <c r="C428" s="4"/>
      <c r="D428" s="66"/>
      <c r="E428" s="874"/>
      <c r="F428" s="874"/>
      <c r="G428" s="874"/>
      <c r="H428" s="874"/>
      <c r="O428" s="101" t="s">
        <v>1726</v>
      </c>
      <c r="P428" s="4117"/>
      <c r="Q428" s="4118"/>
    </row>
    <row r="429" spans="1:31" ht="14.15" customHeight="1">
      <c r="B429" s="66" t="s">
        <v>3777</v>
      </c>
      <c r="C429" s="4"/>
      <c r="D429" s="66"/>
      <c r="E429" s="874"/>
      <c r="F429" s="874"/>
      <c r="G429" s="874"/>
      <c r="H429" s="874"/>
    </row>
    <row r="430" spans="1:31" s="102" customFormat="1" ht="21.75" customHeight="1">
      <c r="A430" s="110" t="s">
        <v>1836</v>
      </c>
      <c r="B430" s="4111" t="s">
        <v>3229</v>
      </c>
      <c r="C430" s="4111"/>
      <c r="D430" s="4111"/>
      <c r="E430" s="4111"/>
      <c r="F430" s="4111"/>
      <c r="G430" s="4111"/>
      <c r="H430" s="4111"/>
      <c r="I430" s="4111"/>
      <c r="J430" s="4111"/>
      <c r="K430" s="4111"/>
      <c r="L430" s="4111"/>
      <c r="M430" s="4111"/>
      <c r="N430" s="4111"/>
      <c r="O430" s="128" t="s">
        <v>1836</v>
      </c>
      <c r="P430" s="881"/>
      <c r="Q430" s="880"/>
    </row>
    <row r="431" spans="1:31" s="102" customFormat="1" ht="22.5" customHeight="1">
      <c r="A431" s="110" t="s">
        <v>1838</v>
      </c>
      <c r="B431" s="4111" t="s">
        <v>3228</v>
      </c>
      <c r="C431" s="4111"/>
      <c r="D431" s="4111"/>
      <c r="E431" s="4111"/>
      <c r="F431" s="4111"/>
      <c r="G431" s="4111"/>
      <c r="H431" s="4111"/>
      <c r="I431" s="4111"/>
      <c r="J431" s="4111"/>
      <c r="K431" s="4111"/>
      <c r="L431" s="4111"/>
      <c r="M431" s="4111"/>
      <c r="N431" s="4111"/>
      <c r="O431" s="128" t="s">
        <v>1838</v>
      </c>
      <c r="P431" s="430"/>
      <c r="Q431" s="421"/>
    </row>
    <row r="432" spans="1:31" s="102" customFormat="1" ht="22.5" customHeight="1">
      <c r="B432" s="1161" t="s">
        <v>1611</v>
      </c>
      <c r="C432" s="4111" t="s">
        <v>3746</v>
      </c>
      <c r="D432" s="4111"/>
      <c r="E432" s="4111"/>
      <c r="F432" s="4111"/>
      <c r="G432" s="4111"/>
      <c r="H432" s="4111"/>
      <c r="I432" s="4111"/>
      <c r="J432" s="4111"/>
      <c r="K432" s="4111"/>
      <c r="L432" s="4111"/>
      <c r="M432" s="4111"/>
      <c r="N432" s="4111"/>
      <c r="O432" s="128" t="s">
        <v>1611</v>
      </c>
      <c r="P432" s="430"/>
      <c r="Q432" s="421"/>
    </row>
    <row r="433" spans="1:31" s="35" customFormat="1" ht="12" customHeight="1">
      <c r="B433" s="1161" t="s">
        <v>1612</v>
      </c>
      <c r="C433" s="29" t="s">
        <v>3747</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11" t="s">
        <v>3748</v>
      </c>
      <c r="D434" s="4111"/>
      <c r="E434" s="4111"/>
      <c r="F434" s="4111"/>
      <c r="G434" s="4111"/>
      <c r="H434" s="4111"/>
      <c r="I434" s="4111"/>
      <c r="J434" s="4111"/>
      <c r="K434" s="4111"/>
      <c r="L434" s="4111"/>
      <c r="M434" s="4111"/>
      <c r="N434" s="4111"/>
      <c r="O434" s="128" t="s">
        <v>1613</v>
      </c>
      <c r="P434" s="430"/>
      <c r="Q434" s="421"/>
    </row>
    <row r="435" spans="1:31" s="102" customFormat="1" ht="22.5" customHeight="1">
      <c r="B435" s="371" t="s">
        <v>2176</v>
      </c>
      <c r="C435" s="4111" t="s">
        <v>3749</v>
      </c>
      <c r="D435" s="4111"/>
      <c r="E435" s="4111"/>
      <c r="F435" s="4111"/>
      <c r="G435" s="4111"/>
      <c r="H435" s="4111"/>
      <c r="I435" s="4111"/>
      <c r="J435" s="4111"/>
      <c r="K435" s="4111"/>
      <c r="L435" s="4111"/>
      <c r="M435" s="4111"/>
      <c r="N435" s="4111"/>
      <c r="O435" s="128" t="s">
        <v>2176</v>
      </c>
      <c r="P435" s="430"/>
      <c r="Q435" s="421"/>
    </row>
    <row r="436" spans="1:31" s="102" customFormat="1" ht="22.5" customHeight="1">
      <c r="A436" s="110" t="s">
        <v>697</v>
      </c>
      <c r="B436" s="4111" t="s">
        <v>3230</v>
      </c>
      <c r="C436" s="4111"/>
      <c r="D436" s="4111"/>
      <c r="E436" s="4111"/>
      <c r="F436" s="4111"/>
      <c r="G436" s="4111"/>
      <c r="H436" s="4111"/>
      <c r="I436" s="4111"/>
      <c r="J436" s="4111"/>
      <c r="K436" s="4111"/>
      <c r="L436" s="4111"/>
      <c r="M436" s="4111"/>
      <c r="N436" s="4111"/>
      <c r="O436" s="128" t="s">
        <v>697</v>
      </c>
      <c r="P436" s="430"/>
      <c r="Q436" s="421"/>
    </row>
    <row r="437" spans="1:31" s="102" customFormat="1" ht="22.5" customHeight="1">
      <c r="A437" s="110" t="s">
        <v>1957</v>
      </c>
      <c r="B437" s="4111" t="s">
        <v>3797</v>
      </c>
      <c r="C437" s="4111"/>
      <c r="D437" s="4111"/>
      <c r="E437" s="4111"/>
      <c r="F437" s="4111"/>
      <c r="G437" s="4111"/>
      <c r="H437" s="4111"/>
      <c r="I437" s="4111"/>
      <c r="J437" s="4111"/>
      <c r="K437" s="4111"/>
      <c r="L437" s="4111"/>
      <c r="M437" s="4111"/>
      <c r="N437" s="4111"/>
      <c r="O437" s="128" t="s">
        <v>1957</v>
      </c>
      <c r="P437" s="430"/>
      <c r="Q437" s="421"/>
    </row>
    <row r="438" spans="1:31" s="102" customFormat="1" ht="21.75" customHeight="1">
      <c r="A438" s="110" t="s">
        <v>1609</v>
      </c>
      <c r="B438" s="4111" t="s">
        <v>3798</v>
      </c>
      <c r="C438" s="4111"/>
      <c r="D438" s="4111"/>
      <c r="E438" s="4111"/>
      <c r="F438" s="4111"/>
      <c r="G438" s="4111"/>
      <c r="H438" s="4111"/>
      <c r="I438" s="4111"/>
      <c r="J438" s="4111"/>
      <c r="K438" s="4111"/>
      <c r="L438" s="4111"/>
      <c r="M438" s="4111"/>
      <c r="N438" s="4111"/>
      <c r="O438" s="128" t="s">
        <v>1609</v>
      </c>
      <c r="P438" s="430"/>
      <c r="Q438" s="421"/>
    </row>
    <row r="439" spans="1:31" s="333" customFormat="1" ht="21.75" customHeight="1">
      <c r="A439" s="110" t="s">
        <v>1610</v>
      </c>
      <c r="B439" s="4111" t="s">
        <v>3831</v>
      </c>
      <c r="C439" s="4111"/>
      <c r="D439" s="4111"/>
      <c r="E439" s="4111"/>
      <c r="F439" s="4111"/>
      <c r="G439" s="4111"/>
      <c r="H439" s="4111"/>
      <c r="I439" s="4111"/>
      <c r="J439" s="4111"/>
      <c r="K439" s="4111"/>
      <c r="L439" s="4111"/>
      <c r="M439" s="4111"/>
      <c r="N439" s="4111"/>
      <c r="O439" s="128" t="s">
        <v>1610</v>
      </c>
      <c r="P439" s="883"/>
      <c r="Q439" s="882"/>
    </row>
    <row r="440" spans="1:31" ht="11.25" customHeight="1">
      <c r="B440" s="109" t="s">
        <v>3158</v>
      </c>
      <c r="D440" s="109"/>
      <c r="E440" s="109"/>
      <c r="F440" s="109"/>
      <c r="G440" s="109"/>
      <c r="H440" s="33"/>
      <c r="I440" s="878"/>
      <c r="J440" s="878"/>
      <c r="K440" s="878"/>
      <c r="L440" s="674"/>
      <c r="M440" s="674"/>
      <c r="N440" s="674"/>
      <c r="O440" s="674"/>
      <c r="P440" s="674"/>
      <c r="Q440" s="674"/>
    </row>
    <row r="441" spans="1:31" ht="12.75" customHeight="1">
      <c r="A441" s="4125"/>
      <c r="B441" s="4126"/>
      <c r="C441" s="4126"/>
      <c r="D441" s="4126"/>
      <c r="E441" s="4126"/>
      <c r="F441" s="4126"/>
      <c r="G441" s="4126"/>
      <c r="H441" s="4126"/>
      <c r="I441" s="4126"/>
      <c r="J441" s="4126"/>
      <c r="K441" s="4126"/>
      <c r="L441" s="4126"/>
      <c r="M441" s="4126"/>
      <c r="N441" s="4126"/>
      <c r="O441" s="4126"/>
      <c r="P441" s="4126"/>
      <c r="Q441" s="4127"/>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22"/>
      <c r="B443" s="4123"/>
      <c r="C443" s="4123"/>
      <c r="D443" s="4123"/>
      <c r="E443" s="4123"/>
      <c r="F443" s="4123"/>
      <c r="G443" s="4123"/>
      <c r="H443" s="4123"/>
      <c r="I443" s="4123"/>
      <c r="J443" s="4123"/>
      <c r="K443" s="4123"/>
      <c r="L443" s="4123"/>
      <c r="M443" s="4123"/>
      <c r="N443" s="4123"/>
      <c r="O443" s="4123"/>
      <c r="P443" s="4123"/>
      <c r="Q443" s="4124"/>
    </row>
    <row r="444" spans="1:31" ht="3" customHeight="1">
      <c r="A444" s="674"/>
      <c r="B444" s="878"/>
      <c r="C444" s="874"/>
      <c r="D444" s="874"/>
      <c r="E444" s="874"/>
      <c r="F444" s="874"/>
      <c r="G444" s="874"/>
      <c r="H444" s="874"/>
      <c r="I444" s="874"/>
      <c r="J444" s="874"/>
      <c r="K444" s="874"/>
      <c r="L444" s="874"/>
      <c r="M444" s="874"/>
      <c r="Q444" s="674"/>
    </row>
    <row r="445" spans="1:31" ht="14.15" customHeight="1">
      <c r="A445" s="2" t="s">
        <v>3682</v>
      </c>
      <c r="B445" s="4"/>
      <c r="C445" s="4" t="s">
        <v>2429</v>
      </c>
      <c r="D445" s="66"/>
      <c r="E445" s="874"/>
      <c r="F445" s="874"/>
      <c r="G445" s="874"/>
      <c r="H445" s="874"/>
      <c r="J445" s="874"/>
      <c r="K445" s="874"/>
      <c r="L445" s="874"/>
      <c r="M445" s="874"/>
      <c r="O445" s="101" t="s">
        <v>1726</v>
      </c>
      <c r="P445" s="4117"/>
      <c r="Q445" s="4118"/>
    </row>
    <row r="446" spans="1:31" ht="11.25" customHeight="1">
      <c r="A446" s="2"/>
      <c r="B446" s="109" t="s">
        <v>3158</v>
      </c>
      <c r="D446" s="109"/>
      <c r="E446" s="109"/>
      <c r="F446" s="109"/>
      <c r="G446" s="109"/>
      <c r="H446" s="33"/>
      <c r="I446" s="878"/>
      <c r="J446" s="878"/>
      <c r="K446" s="878"/>
      <c r="L446" s="674"/>
      <c r="M446" s="674"/>
      <c r="N446" s="674"/>
      <c r="O446" s="674"/>
      <c r="P446" s="674"/>
      <c r="Q446" s="674"/>
    </row>
    <row r="447" spans="1:31" ht="12" customHeight="1">
      <c r="A447" s="4125"/>
      <c r="B447" s="4126"/>
      <c r="C447" s="4126"/>
      <c r="D447" s="4126"/>
      <c r="E447" s="4126"/>
      <c r="F447" s="4126"/>
      <c r="G447" s="4126"/>
      <c r="H447" s="4126"/>
      <c r="I447" s="4126"/>
      <c r="J447" s="4126"/>
      <c r="K447" s="4126"/>
      <c r="L447" s="4126"/>
      <c r="M447" s="4126"/>
      <c r="N447" s="4126"/>
      <c r="O447" s="4126"/>
      <c r="P447" s="4126"/>
      <c r="Q447" s="4127"/>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22"/>
      <c r="B449" s="4123"/>
      <c r="C449" s="4123"/>
      <c r="D449" s="4123"/>
      <c r="E449" s="4123"/>
      <c r="F449" s="4123"/>
      <c r="G449" s="4123"/>
      <c r="H449" s="4123"/>
      <c r="I449" s="4123"/>
      <c r="J449" s="4123"/>
      <c r="K449" s="4123"/>
      <c r="L449" s="4123"/>
      <c r="M449" s="4123"/>
      <c r="N449" s="4123"/>
      <c r="O449" s="4123"/>
      <c r="P449" s="4123"/>
      <c r="Q449" s="4124"/>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5">
      <c r="A456" s="44"/>
      <c r="B456" s="44"/>
      <c r="C456" s="794" t="s">
        <v>1641</v>
      </c>
      <c r="J456" s="1785" t="s">
        <v>1542</v>
      </c>
      <c r="N456" s="795"/>
      <c r="O456" s="1785" t="s">
        <v>3920</v>
      </c>
      <c r="P456" s="1786"/>
      <c r="R456" s="44"/>
    </row>
    <row r="457" spans="1:18" s="794" customFormat="1" ht="10.5">
      <c r="A457" s="44"/>
      <c r="B457" s="44"/>
      <c r="C457" s="1787" t="s">
        <v>1310</v>
      </c>
      <c r="J457" s="1785" t="s">
        <v>1948</v>
      </c>
      <c r="N457" s="795"/>
      <c r="O457" s="1785" t="s">
        <v>3921</v>
      </c>
      <c r="P457" s="1786"/>
      <c r="R457" s="44"/>
    </row>
    <row r="458" spans="1:18" s="794" customFormat="1" ht="10.5">
      <c r="A458" s="44"/>
      <c r="B458" s="44"/>
      <c r="C458" s="1787" t="s">
        <v>1311</v>
      </c>
      <c r="J458" s="1785" t="s">
        <v>1535</v>
      </c>
      <c r="N458" s="795"/>
      <c r="O458" s="1785" t="s">
        <v>3922</v>
      </c>
      <c r="P458" s="1786"/>
      <c r="R458" s="44"/>
    </row>
    <row r="459" spans="1:18" s="794" customFormat="1" ht="10.5">
      <c r="A459" s="44"/>
      <c r="B459" s="44"/>
      <c r="C459" s="1787" t="s">
        <v>1975</v>
      </c>
      <c r="J459" s="1785" t="s">
        <v>1119</v>
      </c>
      <c r="N459" s="795"/>
      <c r="O459" s="1785" t="s">
        <v>3926</v>
      </c>
      <c r="P459" s="1786"/>
      <c r="R459" s="44"/>
    </row>
    <row r="460" spans="1:18" s="794" customFormat="1" ht="10.5">
      <c r="A460" s="44"/>
      <c r="B460" s="44"/>
      <c r="C460" s="1787" t="s">
        <v>1307</v>
      </c>
      <c r="J460" s="1785" t="s">
        <v>548</v>
      </c>
      <c r="N460" s="795"/>
      <c r="O460" s="1785" t="s">
        <v>3923</v>
      </c>
      <c r="P460" s="1786"/>
      <c r="R460" s="44"/>
    </row>
    <row r="461" spans="1:18" s="794" customFormat="1" ht="10.5">
      <c r="A461" s="44"/>
      <c r="B461" s="44"/>
      <c r="C461" s="1787" t="s">
        <v>1308</v>
      </c>
      <c r="J461" s="1785" t="s">
        <v>1541</v>
      </c>
      <c r="N461" s="795"/>
      <c r="O461" s="1785" t="s">
        <v>3924</v>
      </c>
      <c r="P461" s="1786"/>
      <c r="R461" s="44"/>
    </row>
    <row r="462" spans="1:18" s="794" customFormat="1" ht="10.5">
      <c r="A462" s="44"/>
      <c r="B462" s="44"/>
      <c r="C462" s="1787" t="s">
        <v>1970</v>
      </c>
      <c r="J462" s="1785" t="s">
        <v>1116</v>
      </c>
      <c r="N462" s="795"/>
      <c r="O462" s="1785" t="s">
        <v>3925</v>
      </c>
      <c r="P462" s="1786"/>
      <c r="R462" s="44"/>
    </row>
    <row r="463" spans="1:18" s="794" customFormat="1" ht="10.5">
      <c r="A463" s="44"/>
      <c r="B463" s="44"/>
      <c r="C463" s="1787" t="s">
        <v>1971</v>
      </c>
      <c r="J463" s="1785" t="s">
        <v>1115</v>
      </c>
      <c r="N463" s="795"/>
      <c r="O463" s="794" t="s">
        <v>3196</v>
      </c>
      <c r="P463" s="1786"/>
      <c r="R463" s="44"/>
    </row>
    <row r="464" spans="1:18" s="794" customFormat="1" ht="10.5">
      <c r="A464" s="44"/>
      <c r="B464" s="44"/>
      <c r="C464" s="1787" t="s">
        <v>1972</v>
      </c>
      <c r="J464" s="1785" t="s">
        <v>1601</v>
      </c>
      <c r="N464" s="795"/>
      <c r="O464" s="794" t="s">
        <v>3197</v>
      </c>
      <c r="P464" s="1786"/>
      <c r="R464" s="44"/>
    </row>
    <row r="465" spans="1:22" s="794" customFormat="1" ht="10.5">
      <c r="A465" s="44"/>
      <c r="B465" s="44"/>
      <c r="C465" s="1787" t="s">
        <v>1973</v>
      </c>
      <c r="J465" s="1785" t="s">
        <v>1544</v>
      </c>
      <c r="N465" s="795"/>
      <c r="O465" s="1785"/>
      <c r="P465" s="1786"/>
      <c r="R465" s="44"/>
    </row>
    <row r="466" spans="1:22" s="794" customFormat="1" ht="10.5">
      <c r="A466" s="44"/>
      <c r="B466" s="44"/>
      <c r="C466" s="1787" t="s">
        <v>1974</v>
      </c>
      <c r="J466" s="1785" t="s">
        <v>1536</v>
      </c>
      <c r="N466" s="795"/>
      <c r="O466" s="1786"/>
      <c r="P466" s="1786"/>
      <c r="R466" s="44"/>
    </row>
    <row r="467" spans="1:22" s="794" customFormat="1" ht="10.5">
      <c r="A467" s="44"/>
      <c r="B467" s="44"/>
      <c r="C467" s="1787" t="s">
        <v>1309</v>
      </c>
      <c r="J467" s="1785" t="s">
        <v>1947</v>
      </c>
      <c r="N467" s="795"/>
      <c r="O467" s="1785"/>
      <c r="P467" s="1786"/>
      <c r="R467" s="44"/>
    </row>
    <row r="468" spans="1:22" s="794" customFormat="1" ht="10.5">
      <c r="A468" s="44"/>
      <c r="B468" s="44"/>
      <c r="C468" s="1787" t="s">
        <v>2103</v>
      </c>
      <c r="N468" s="795"/>
      <c r="O468" s="1786"/>
      <c r="P468" s="1786"/>
      <c r="R468" s="44"/>
    </row>
    <row r="469" spans="1:22" s="794" customFormat="1" ht="10.5">
      <c r="A469" s="44"/>
      <c r="B469" s="44"/>
      <c r="N469" s="795"/>
      <c r="O469" s="1786"/>
      <c r="P469" s="1786"/>
      <c r="R469" s="44"/>
    </row>
    <row r="470" spans="1:22" s="794" customFormat="1" ht="10">
      <c r="A470" s="44"/>
      <c r="B470" s="44"/>
      <c r="R470" s="44"/>
      <c r="S470" s="44"/>
      <c r="T470" s="44"/>
      <c r="U470" s="44"/>
      <c r="V470" s="44"/>
    </row>
    <row r="471" spans="1:22" s="794" customFormat="1" ht="10">
      <c r="A471" s="44"/>
      <c r="B471" s="44"/>
      <c r="C471" s="1788" t="s">
        <v>1659</v>
      </c>
      <c r="R471" s="44"/>
    </row>
    <row r="472" spans="1:22" s="794" customFormat="1" ht="10">
      <c r="A472" s="44"/>
      <c r="B472" s="44"/>
      <c r="C472" s="794" t="s">
        <v>868</v>
      </c>
      <c r="R472" s="44"/>
    </row>
    <row r="473" spans="1:22" s="794" customFormat="1" ht="10">
      <c r="A473" s="44"/>
      <c r="B473" s="44"/>
      <c r="C473" s="1787" t="s">
        <v>1520</v>
      </c>
      <c r="R473" s="44"/>
    </row>
    <row r="474" spans="1:22" s="794" customFormat="1" ht="10">
      <c r="A474" s="44"/>
      <c r="B474" s="44"/>
      <c r="C474" s="1787" t="s">
        <v>671</v>
      </c>
      <c r="L474" s="1787"/>
      <c r="R474" s="44"/>
    </row>
    <row r="475" spans="1:22" s="794" customFormat="1" ht="10">
      <c r="A475" s="44"/>
      <c r="B475" s="44"/>
      <c r="C475" s="1787" t="s">
        <v>672</v>
      </c>
      <c r="L475" s="1787"/>
      <c r="R475" s="44"/>
    </row>
    <row r="476" spans="1:22" s="794" customFormat="1" ht="10">
      <c r="A476" s="44"/>
      <c r="B476" s="44"/>
      <c r="C476" s="1787" t="s">
        <v>1996</v>
      </c>
      <c r="L476" s="1787"/>
      <c r="R476" s="44"/>
    </row>
    <row r="477" spans="1:22" s="794" customFormat="1" ht="10">
      <c r="A477" s="44"/>
      <c r="B477" s="44"/>
      <c r="C477" s="1787" t="s">
        <v>120</v>
      </c>
      <c r="L477" s="1787"/>
      <c r="R477" s="44"/>
    </row>
    <row r="478" spans="1:22" s="794" customFormat="1" ht="10">
      <c r="A478" s="44"/>
      <c r="B478" s="44"/>
      <c r="C478" s="794" t="s">
        <v>118</v>
      </c>
      <c r="L478" s="1787"/>
      <c r="R478" s="44"/>
    </row>
    <row r="479" spans="1:22" s="794" customFormat="1" ht="10">
      <c r="A479" s="44"/>
      <c r="B479" s="44"/>
      <c r="C479" s="794" t="s">
        <v>1736</v>
      </c>
      <c r="R479" s="44"/>
    </row>
    <row r="480" spans="1:22" s="794" customFormat="1" ht="10">
      <c r="A480" s="44"/>
      <c r="B480" s="44"/>
      <c r="C480" s="1787" t="s">
        <v>887</v>
      </c>
      <c r="L480" s="1787"/>
      <c r="R480" s="44"/>
    </row>
    <row r="481" spans="1:18" s="794" customFormat="1" ht="10">
      <c r="A481" s="44"/>
      <c r="B481" s="44"/>
      <c r="C481" s="794" t="s">
        <v>119</v>
      </c>
      <c r="L481" s="1787"/>
      <c r="R481" s="44"/>
    </row>
    <row r="482" spans="1:18" s="794" customFormat="1" ht="10">
      <c r="A482" s="44"/>
      <c r="B482" s="44"/>
      <c r="C482" s="794" t="s">
        <v>120</v>
      </c>
      <c r="L482" s="1787"/>
      <c r="R482" s="44"/>
    </row>
    <row r="483" spans="1:18" s="794" customFormat="1" ht="10">
      <c r="A483" s="44"/>
      <c r="B483" s="44"/>
      <c r="C483" s="794" t="s">
        <v>121</v>
      </c>
      <c r="L483" s="1787"/>
      <c r="R483" s="44"/>
    </row>
    <row r="484" spans="1:18" s="794" customFormat="1" ht="10">
      <c r="A484" s="44"/>
      <c r="B484" s="44"/>
      <c r="C484" s="794" t="s">
        <v>2432</v>
      </c>
      <c r="R484" s="44"/>
    </row>
    <row r="485" spans="1:18" s="794" customFormat="1" ht="10">
      <c r="A485" s="44"/>
      <c r="B485" s="44"/>
      <c r="C485" s="1787" t="s">
        <v>1860</v>
      </c>
      <c r="L485" s="1787"/>
      <c r="R485" s="44"/>
    </row>
    <row r="486" spans="1:18" s="794" customFormat="1" ht="10">
      <c r="A486" s="44"/>
      <c r="B486" s="44"/>
      <c r="C486" s="794" t="s">
        <v>2433</v>
      </c>
      <c r="L486" s="1787"/>
      <c r="R486" s="44"/>
    </row>
    <row r="487" spans="1:18" s="794" customFormat="1" ht="10">
      <c r="A487" s="44"/>
      <c r="B487" s="44"/>
      <c r="C487" s="794" t="s">
        <v>1302</v>
      </c>
      <c r="L487" s="1787"/>
      <c r="R487" s="44"/>
    </row>
    <row r="488" spans="1:18" s="794" customFormat="1" ht="10">
      <c r="A488" s="44"/>
      <c r="B488" s="44"/>
      <c r="C488" s="794" t="s">
        <v>1483</v>
      </c>
      <c r="K488" s="1788" t="s">
        <v>433</v>
      </c>
      <c r="L488" s="1787"/>
      <c r="R488" s="44"/>
    </row>
    <row r="489" spans="1:18" s="794" customFormat="1" ht="10">
      <c r="A489" s="44"/>
      <c r="B489" s="44"/>
      <c r="C489" s="794" t="s">
        <v>2434</v>
      </c>
      <c r="K489" s="794" t="s">
        <v>1017</v>
      </c>
      <c r="L489" s="1787"/>
      <c r="R489" s="44"/>
    </row>
    <row r="490" spans="1:18" s="794" customFormat="1" ht="10">
      <c r="A490" s="44"/>
      <c r="B490" s="44"/>
      <c r="C490" s="794" t="s">
        <v>2435</v>
      </c>
      <c r="K490" s="794" t="s">
        <v>3167</v>
      </c>
      <c r="R490" s="44"/>
    </row>
    <row r="491" spans="1:18" s="794" customFormat="1" ht="10">
      <c r="A491" s="44"/>
      <c r="B491" s="44"/>
      <c r="C491" s="1787" t="s">
        <v>1129</v>
      </c>
      <c r="K491" s="794" t="s">
        <v>4103</v>
      </c>
      <c r="R491" s="44"/>
    </row>
    <row r="492" spans="1:18" s="794" customFormat="1" ht="10">
      <c r="A492" s="44"/>
      <c r="B492" s="44"/>
      <c r="R492" s="44"/>
    </row>
    <row r="493" spans="1:18" s="794" customFormat="1" ht="10">
      <c r="A493" s="44"/>
      <c r="B493" s="44"/>
      <c r="C493" s="1788" t="s">
        <v>244</v>
      </c>
      <c r="K493" s="1788" t="s">
        <v>2067</v>
      </c>
      <c r="R493" s="44"/>
    </row>
    <row r="494" spans="1:18" s="794" customFormat="1" ht="10">
      <c r="A494" s="44"/>
      <c r="B494" s="44"/>
      <c r="C494" s="794" t="s">
        <v>1018</v>
      </c>
      <c r="K494" s="794" t="s">
        <v>2141</v>
      </c>
      <c r="R494" s="44"/>
    </row>
    <row r="495" spans="1:18" s="794" customFormat="1" ht="10">
      <c r="A495" s="44"/>
      <c r="B495" s="44"/>
      <c r="C495" s="794" t="s">
        <v>163</v>
      </c>
      <c r="K495" s="794" t="s">
        <v>4206</v>
      </c>
      <c r="R495" s="44"/>
    </row>
    <row r="496" spans="1:18" s="794" customFormat="1" ht="10">
      <c r="A496" s="44"/>
      <c r="B496" s="44"/>
      <c r="C496" s="794" t="s">
        <v>1427</v>
      </c>
      <c r="K496" s="794" t="s">
        <v>4205</v>
      </c>
      <c r="R496" s="44"/>
    </row>
    <row r="497" spans="1:18" s="794" customFormat="1" ht="10">
      <c r="A497" s="44"/>
      <c r="B497" s="44"/>
      <c r="C497" s="794" t="s">
        <v>1960</v>
      </c>
      <c r="K497" s="794" t="s">
        <v>4104</v>
      </c>
      <c r="R497" s="44"/>
    </row>
    <row r="498" spans="1:18" s="794" customFormat="1" ht="10">
      <c r="A498" s="44"/>
      <c r="B498" s="44"/>
      <c r="C498" s="794" t="s">
        <v>162</v>
      </c>
      <c r="K498" s="794" t="s">
        <v>4207</v>
      </c>
      <c r="R498" s="44"/>
    </row>
    <row r="499" spans="1:18" s="794" customFormat="1" ht="10">
      <c r="A499" s="44"/>
      <c r="B499" s="44"/>
      <c r="K499" s="1788" t="s">
        <v>1804</v>
      </c>
      <c r="R499" s="44"/>
    </row>
    <row r="500" spans="1:18" s="794" customFormat="1" ht="10">
      <c r="A500" s="44"/>
      <c r="B500" s="44"/>
      <c r="K500" s="794" t="s">
        <v>1016</v>
      </c>
      <c r="R500" s="44"/>
    </row>
    <row r="501" spans="1:18" s="794" customFormat="1" ht="10">
      <c r="A501" s="44"/>
      <c r="B501" s="44"/>
      <c r="K501" s="794" t="s">
        <v>1625</v>
      </c>
      <c r="R501" s="44"/>
    </row>
    <row r="502" spans="1:18" s="794" customFormat="1" ht="10">
      <c r="A502" s="44"/>
      <c r="B502" s="44"/>
      <c r="K502" s="794" t="s">
        <v>1066</v>
      </c>
      <c r="R502" s="44"/>
    </row>
    <row r="503" spans="1:18" s="794" customFormat="1" ht="10">
      <c r="A503" s="44"/>
      <c r="B503" s="44"/>
      <c r="K503" s="794" t="s">
        <v>1626</v>
      </c>
      <c r="R503" s="44"/>
    </row>
    <row r="504" spans="1:18" s="794" customFormat="1" ht="10">
      <c r="A504" s="44"/>
      <c r="B504" s="44"/>
      <c r="K504" s="794" t="s">
        <v>2179</v>
      </c>
      <c r="R504" s="44"/>
    </row>
    <row r="505" spans="1:18" s="794" customFormat="1" ht="10">
      <c r="A505" s="44"/>
      <c r="B505" s="44"/>
      <c r="R505" s="44"/>
    </row>
    <row r="506" spans="1:18" s="794" customFormat="1" ht="10">
      <c r="A506" s="44"/>
      <c r="B506" s="44"/>
      <c r="C506" s="1788" t="s">
        <v>950</v>
      </c>
      <c r="M506" s="1788" t="s">
        <v>3731</v>
      </c>
      <c r="R506" s="44"/>
    </row>
    <row r="507" spans="1:18" s="794" customFormat="1" ht="10">
      <c r="A507" s="44"/>
      <c r="B507" s="44"/>
      <c r="C507" s="794" t="s">
        <v>949</v>
      </c>
      <c r="M507" s="794" t="s">
        <v>949</v>
      </c>
      <c r="R507" s="44"/>
    </row>
    <row r="508" spans="1:18" s="794" customFormat="1" ht="10">
      <c r="A508" s="44"/>
      <c r="B508" s="44"/>
      <c r="C508" s="794" t="s">
        <v>1933</v>
      </c>
      <c r="M508" s="794" t="s">
        <v>3728</v>
      </c>
      <c r="R508" s="44"/>
    </row>
    <row r="509" spans="1:18" s="794" customFormat="1" ht="10">
      <c r="A509" s="44"/>
      <c r="B509" s="44"/>
      <c r="C509" s="794" t="s">
        <v>2335</v>
      </c>
      <c r="M509" s="794" t="s">
        <v>3759</v>
      </c>
      <c r="R509" s="44"/>
    </row>
    <row r="510" spans="1:18" s="794" customFormat="1" ht="10">
      <c r="A510" s="44"/>
      <c r="B510" s="44"/>
      <c r="C510" s="794" t="s">
        <v>1934</v>
      </c>
      <c r="M510" s="794" t="s">
        <v>1538</v>
      </c>
      <c r="R510" s="44"/>
    </row>
    <row r="511" spans="1:18" s="794" customFormat="1" ht="10">
      <c r="A511" s="44"/>
      <c r="B511" s="44"/>
      <c r="C511" s="794" t="s">
        <v>1805</v>
      </c>
      <c r="M511" s="794" t="s">
        <v>3729</v>
      </c>
      <c r="R511" s="44"/>
    </row>
    <row r="512" spans="1:18" s="794" customFormat="1" ht="10">
      <c r="A512" s="44"/>
      <c r="B512" s="44"/>
      <c r="C512" s="794" t="s">
        <v>547</v>
      </c>
      <c r="M512" s="794" t="s">
        <v>3779</v>
      </c>
      <c r="R512" s="44"/>
    </row>
    <row r="513" spans="1:18" s="794" customFormat="1" ht="10">
      <c r="A513" s="44"/>
      <c r="B513" s="44"/>
      <c r="C513" s="794" t="s">
        <v>2030</v>
      </c>
      <c r="M513" s="794" t="s">
        <v>3780</v>
      </c>
      <c r="R513" s="44"/>
    </row>
    <row r="514" spans="1:18" s="794" customFormat="1" ht="10">
      <c r="A514" s="44"/>
      <c r="B514" s="44"/>
      <c r="C514" s="794" t="s">
        <v>30</v>
      </c>
      <c r="M514" s="794" t="s">
        <v>3730</v>
      </c>
      <c r="R514" s="44"/>
    </row>
    <row r="515" spans="1:18" s="794" customFormat="1" ht="10">
      <c r="A515" s="44"/>
      <c r="B515" s="44"/>
      <c r="M515" s="794" t="s">
        <v>1947</v>
      </c>
      <c r="R515" s="44"/>
    </row>
    <row r="516" spans="1:18" s="794" customFormat="1" ht="10">
      <c r="A516" s="44"/>
      <c r="B516" s="44"/>
      <c r="R516" s="44"/>
    </row>
    <row r="517" spans="1:18" s="794" customFormat="1" ht="10">
      <c r="A517" s="44"/>
      <c r="B517" s="44"/>
      <c r="R517" s="44"/>
    </row>
    <row r="518" spans="1:18" s="794" customFormat="1" ht="10.5">
      <c r="A518" s="44"/>
      <c r="B518" s="44"/>
      <c r="M518" s="1789" t="s">
        <v>3179</v>
      </c>
      <c r="R518" s="44"/>
    </row>
    <row r="519" spans="1:18" s="794" customFormat="1" ht="10">
      <c r="A519" s="44"/>
      <c r="B519" s="44"/>
      <c r="M519" s="794" t="s">
        <v>3251</v>
      </c>
      <c r="R519" s="44"/>
    </row>
    <row r="520" spans="1:18" s="794" customFormat="1" ht="10">
      <c r="A520" s="44"/>
      <c r="B520" s="44"/>
      <c r="M520" s="794" t="s">
        <v>3246</v>
      </c>
      <c r="R520" s="44"/>
    </row>
    <row r="521" spans="1:18" s="794" customFormat="1" ht="10">
      <c r="A521" s="44"/>
      <c r="B521" s="44"/>
      <c r="M521" s="794" t="s">
        <v>3172</v>
      </c>
      <c r="R521" s="44"/>
    </row>
    <row r="522" spans="1:18" s="794" customFormat="1" ht="10">
      <c r="A522" s="44"/>
      <c r="B522" s="44"/>
      <c r="M522" s="794" t="s">
        <v>3242</v>
      </c>
      <c r="R522" s="44"/>
    </row>
    <row r="523" spans="1:18" s="794" customFormat="1" ht="10.5">
      <c r="A523" s="44"/>
      <c r="B523" s="44"/>
      <c r="D523" s="1789" t="s">
        <v>1883</v>
      </c>
      <c r="M523" s="794" t="s">
        <v>3173</v>
      </c>
      <c r="R523" s="44"/>
    </row>
    <row r="524" spans="1:18" s="794" customFormat="1">
      <c r="A524" s="44"/>
      <c r="B524" s="44"/>
      <c r="J524" s="356"/>
      <c r="M524" s="794" t="s">
        <v>3243</v>
      </c>
      <c r="R524" s="44"/>
    </row>
    <row r="525" spans="1:18" s="356" customFormat="1">
      <c r="A525" s="115"/>
      <c r="B525" s="115"/>
      <c r="M525" s="794" t="s">
        <v>3174</v>
      </c>
      <c r="O525" s="794"/>
      <c r="R525" s="115"/>
    </row>
    <row r="526" spans="1:18" s="356" customFormat="1">
      <c r="A526" s="115"/>
      <c r="B526" s="115"/>
      <c r="M526" s="794" t="s">
        <v>3244</v>
      </c>
      <c r="R526" s="115"/>
    </row>
    <row r="527" spans="1:18" s="356" customFormat="1">
      <c r="A527" s="115"/>
      <c r="B527" s="115"/>
      <c r="M527" s="794" t="s">
        <v>3247</v>
      </c>
      <c r="R527" s="115"/>
    </row>
    <row r="528" spans="1:18" s="356" customFormat="1">
      <c r="A528" s="115"/>
      <c r="B528" s="115"/>
      <c r="M528" s="794" t="s">
        <v>3175</v>
      </c>
      <c r="R528" s="115"/>
    </row>
    <row r="529" spans="1:22" s="356" customFormat="1">
      <c r="A529" s="115"/>
      <c r="B529" s="115"/>
      <c r="M529" s="794" t="s">
        <v>3176</v>
      </c>
      <c r="R529" s="115"/>
    </row>
    <row r="530" spans="1:22" s="356" customFormat="1">
      <c r="A530" s="115"/>
      <c r="B530" s="115"/>
      <c r="M530" s="794" t="s">
        <v>3245</v>
      </c>
      <c r="R530" s="115"/>
    </row>
    <row r="531" spans="1:22" s="356" customFormat="1">
      <c r="A531" s="115"/>
      <c r="B531" s="115"/>
      <c r="M531" s="794" t="s">
        <v>3248</v>
      </c>
      <c r="R531" s="115"/>
    </row>
    <row r="532" spans="1:22" s="356" customFormat="1">
      <c r="A532" s="115"/>
      <c r="B532" s="115"/>
      <c r="M532" s="794" t="s">
        <v>3249</v>
      </c>
      <c r="R532" s="115"/>
    </row>
    <row r="533" spans="1:22" s="356" customFormat="1">
      <c r="A533" s="115"/>
      <c r="B533" s="115"/>
      <c r="M533" s="794" t="s">
        <v>4426</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15" t="s">
        <v>4423</v>
      </c>
      <c r="B2" s="4315"/>
      <c r="C2" s="147"/>
      <c r="D2" s="782">
        <v>2021</v>
      </c>
      <c r="E2" s="144"/>
      <c r="F2" s="4309" t="s">
        <v>2928</v>
      </c>
      <c r="G2" s="4310"/>
      <c r="H2" s="4310"/>
      <c r="I2" s="4310"/>
      <c r="J2" s="4311"/>
      <c r="K2" s="234"/>
      <c r="L2" s="442" t="s">
        <v>3058</v>
      </c>
      <c r="M2" s="234"/>
      <c r="N2" s="4309" t="s">
        <v>2928</v>
      </c>
      <c r="O2" s="4310"/>
      <c r="P2" s="4310"/>
      <c r="Q2" s="4310"/>
      <c r="R2" s="4311"/>
      <c r="S2" s="241"/>
      <c r="T2" s="144"/>
      <c r="U2" s="144"/>
      <c r="V2" s="321"/>
      <c r="W2" s="321"/>
      <c r="X2" s="321"/>
      <c r="AA2" s="68"/>
      <c r="AB2" s="68"/>
    </row>
    <row r="3" spans="1:28" s="145" customFormat="1" ht="11.65" customHeight="1">
      <c r="A3" s="4315"/>
      <c r="B3" s="4315"/>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65" customHeight="1">
      <c r="A4" s="4315"/>
      <c r="B4" s="4315"/>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710" t="s">
        <v>4424</v>
      </c>
      <c r="B42" s="1711"/>
      <c r="C42" s="1711"/>
    </row>
    <row r="44" spans="1:295" s="28" customFormat="1" ht="12.75" customHeight="1">
      <c r="A44" s="2" t="s">
        <v>688</v>
      </c>
      <c r="B44" s="4" t="s">
        <v>2455</v>
      </c>
      <c r="C44" s="4"/>
      <c r="D44" s="4"/>
      <c r="E44" s="874"/>
      <c r="G44" s="487"/>
      <c r="H44" s="487"/>
      <c r="I44" s="487"/>
      <c r="J44" s="35"/>
      <c r="L44" s="488"/>
      <c r="M44" s="488"/>
      <c r="N44" s="488"/>
      <c r="O44" s="101" t="s">
        <v>1726</v>
      </c>
      <c r="P44" s="4117"/>
      <c r="Q44" s="4118"/>
    </row>
    <row r="45" spans="1:295" s="28" customFormat="1" ht="11.25" customHeight="1">
      <c r="A45" s="4325"/>
      <c r="B45" s="4325"/>
      <c r="C45" s="4325"/>
      <c r="D45" s="4325"/>
      <c r="E45" s="4325"/>
      <c r="F45" s="1186"/>
      <c r="G45" s="4338" t="s">
        <v>2459</v>
      </c>
      <c r="H45" s="4339"/>
      <c r="I45" s="66"/>
      <c r="J45" s="35"/>
      <c r="K45" s="4340" t="s">
        <v>3081</v>
      </c>
      <c r="L45" s="4341"/>
      <c r="M45" s="4341"/>
      <c r="N45" s="4342"/>
    </row>
    <row r="46" spans="1:295" s="28" customFormat="1" ht="11.25" customHeight="1">
      <c r="A46" s="4325"/>
      <c r="B46" s="4325"/>
      <c r="C46" s="4325"/>
      <c r="D46" s="4325"/>
      <c r="E46" s="4325"/>
      <c r="F46" s="1186"/>
      <c r="G46" s="4343" t="s">
        <v>333</v>
      </c>
      <c r="H46" s="4344"/>
      <c r="I46" s="66"/>
      <c r="J46" s="35"/>
      <c r="K46" s="4318" t="s">
        <v>3082</v>
      </c>
      <c r="L46" s="4319"/>
      <c r="M46" s="4319"/>
      <c r="N46" s="4320"/>
      <c r="P46" s="404" t="s">
        <v>2468</v>
      </c>
      <c r="Q46" s="74"/>
    </row>
    <row r="47" spans="1:295" s="28" customFormat="1" ht="4.5" customHeight="1">
      <c r="A47" s="1186"/>
      <c r="B47" s="1186"/>
      <c r="C47" s="1186"/>
      <c r="D47" s="1186"/>
      <c r="E47" s="1186"/>
      <c r="F47" s="1186"/>
      <c r="G47" s="66"/>
      <c r="H47" s="66"/>
      <c r="I47" s="66"/>
      <c r="J47" s="35"/>
      <c r="K47" s="4176"/>
      <c r="L47" s="4176"/>
      <c r="M47" s="4176"/>
      <c r="N47" s="4176"/>
      <c r="P47" s="4323" t="s">
        <v>3815</v>
      </c>
      <c r="Q47" s="4323"/>
    </row>
    <row r="48" spans="1:295" s="62" customFormat="1" ht="10.5" customHeight="1">
      <c r="D48" s="490" t="s">
        <v>2458</v>
      </c>
      <c r="E48" s="28"/>
      <c r="F48" s="491" t="s">
        <v>2984</v>
      </c>
      <c r="G48" s="4313" t="s">
        <v>3772</v>
      </c>
      <c r="H48" s="4313"/>
      <c r="I48" s="4313"/>
      <c r="J48" s="28"/>
      <c r="K48" s="491" t="s">
        <v>2984</v>
      </c>
      <c r="L48" s="4313" t="s">
        <v>3771</v>
      </c>
      <c r="M48" s="4313"/>
      <c r="N48" s="4313"/>
      <c r="O48" s="28"/>
      <c r="P48" s="4323"/>
      <c r="Q48" s="4323"/>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17" t="s">
        <v>2927</v>
      </c>
      <c r="B49" s="4317"/>
      <c r="C49" s="4317"/>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24"/>
      <c r="Q49" s="4324"/>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17"/>
      <c r="B50" s="4317"/>
      <c r="C50" s="4317"/>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30" t="e">
        <f>IF(#REF!="","",VLOOKUP(#REF!,#REF!,8,FALSE))</f>
        <v>#REF!</v>
      </c>
      <c r="Q50" s="4331"/>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17"/>
      <c r="B51" s="4317"/>
      <c r="C51" s="4317"/>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32"/>
      <c r="Q51" s="4333"/>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17"/>
      <c r="B52" s="4317"/>
      <c r="C52" s="4317"/>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82" t="s">
        <v>3816</v>
      </c>
      <c r="Q52" s="4282"/>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21" t="e">
        <f>#REF!</f>
        <v>#REF!</v>
      </c>
      <c r="Q53" s="4322"/>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282" t="s">
        <v>3807</v>
      </c>
      <c r="Q54" s="4282"/>
      <c r="R54" s="4312" t="s">
        <v>4201</v>
      </c>
      <c r="S54" s="4312"/>
      <c r="T54" s="4312"/>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17" t="s">
        <v>2922</v>
      </c>
      <c r="B56" s="4317"/>
      <c r="C56" s="4317"/>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21" t="e">
        <f>#REF!-#REF!-#REF!-#REF!-#REF!-#REF!</f>
        <v>#REF!</v>
      </c>
      <c r="Q56" s="4322"/>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17"/>
      <c r="B57" s="4317"/>
      <c r="C57" s="4317"/>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4" t="s">
        <v>3279</v>
      </c>
      <c r="Q57" s="3354"/>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17"/>
      <c r="B58" s="4317"/>
      <c r="C58" s="4317"/>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34"/>
      <c r="Q58" s="4335"/>
      <c r="R58" s="327"/>
      <c r="S58" s="4295" t="s">
        <v>3810</v>
      </c>
      <c r="T58" s="4296"/>
      <c r="U58" s="4296"/>
      <c r="V58" s="4297"/>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36"/>
      <c r="Q59" s="4337"/>
      <c r="S59" s="4298"/>
      <c r="T59" s="4299"/>
      <c r="U59" s="4299"/>
      <c r="V59" s="4300"/>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16" t="s">
        <v>3077</v>
      </c>
      <c r="Q60" s="4316"/>
      <c r="S60" s="4298"/>
      <c r="T60" s="4299"/>
      <c r="U60" s="4299"/>
      <c r="V60" s="4300"/>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298"/>
      <c r="T61" s="4299"/>
      <c r="U61" s="4299"/>
      <c r="V61" s="4300"/>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98"/>
      <c r="T62" s="4299"/>
      <c r="U62" s="4299"/>
      <c r="V62" s="4300"/>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98"/>
      <c r="T63" s="4299"/>
      <c r="U63" s="4299"/>
      <c r="V63" s="4300"/>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16" t="s">
        <v>3078</v>
      </c>
      <c r="Q64" s="4316"/>
      <c r="S64" s="4298"/>
      <c r="T64" s="4299"/>
      <c r="U64" s="4299"/>
      <c r="V64" s="4300"/>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298"/>
      <c r="T65" s="4299"/>
      <c r="U65" s="4299"/>
      <c r="V65" s="4300"/>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98"/>
      <c r="T66" s="4299"/>
      <c r="U66" s="4299"/>
      <c r="V66" s="4300"/>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07" t="s">
        <v>2485</v>
      </c>
      <c r="Q67" s="4307"/>
      <c r="S67" s="4298"/>
      <c r="T67" s="4299"/>
      <c r="U67" s="4299"/>
      <c r="V67" s="4300"/>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307"/>
      <c r="Q68" s="4307"/>
      <c r="S68" s="4298"/>
      <c r="T68" s="4299"/>
      <c r="U68" s="4299"/>
      <c r="V68" s="4300"/>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07"/>
      <c r="Q69" s="4307"/>
      <c r="R69" s="327"/>
      <c r="S69" s="4298"/>
      <c r="T69" s="4299"/>
      <c r="U69" s="4299"/>
      <c r="V69" s="4300"/>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08"/>
      <c r="Q70" s="4308"/>
      <c r="R70" s="327"/>
      <c r="S70" s="4301"/>
      <c r="T70" s="4302"/>
      <c r="U70" s="4302"/>
      <c r="V70" s="4303"/>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26" t="e">
        <f>IF(P58&gt;1,P58, IF(OR('Part VIII Scoring Criteria OLD'!$O$113='Part VIII Scoring Criteria OLD'!$M$113,AND(#REF!="Yes",'Part VIII Scoring Criteria OLD'!$O$378&gt;0)),H77+M77,H77))</f>
        <v>#REF!</v>
      </c>
      <c r="Q71" s="4327"/>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28"/>
      <c r="Q72" s="4329"/>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04" t="s">
        <v>3363</v>
      </c>
      <c r="Q73" s="4304"/>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05"/>
      <c r="Q74" s="4305"/>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305"/>
      <c r="Q75" s="4305"/>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05"/>
      <c r="Q76" s="4305"/>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14" t="e">
        <f>I54+I61+I68+I75</f>
        <v>#REF!</v>
      </c>
      <c r="I77" s="4314"/>
      <c r="J77" s="4314"/>
      <c r="K77" s="485" t="e">
        <f>K54+K61+K68+K75</f>
        <v>#REF!</v>
      </c>
      <c r="L77" s="486"/>
      <c r="M77" s="4314" t="e">
        <f>N54+N61+N68+N75</f>
        <v>#REF!</v>
      </c>
      <c r="N77" s="4314"/>
      <c r="O77" s="4314"/>
      <c r="P77" s="4305"/>
      <c r="Q77" s="4305"/>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3158</v>
      </c>
      <c r="D78" s="73"/>
      <c r="E78" s="73"/>
      <c r="F78" s="73"/>
      <c r="G78" s="73"/>
      <c r="H78" s="33"/>
      <c r="I78" s="878"/>
      <c r="J78" s="878"/>
      <c r="K78" s="105" t="s">
        <v>1725</v>
      </c>
      <c r="L78" s="674"/>
      <c r="M78" s="674"/>
      <c r="N78" s="674"/>
      <c r="O78" s="674"/>
      <c r="P78" s="4306"/>
      <c r="Q78" s="4306"/>
    </row>
    <row r="79" spans="1:295" s="28" customFormat="1" ht="10.5" customHeight="1">
      <c r="A79" s="4125"/>
      <c r="B79" s="4126"/>
      <c r="C79" s="4126"/>
      <c r="D79" s="4126"/>
      <c r="E79" s="4126"/>
      <c r="F79" s="4126"/>
      <c r="G79" s="4126"/>
      <c r="H79" s="4126"/>
      <c r="I79" s="4126"/>
      <c r="J79" s="4127"/>
      <c r="K79" s="4122"/>
      <c r="L79" s="4123"/>
      <c r="M79" s="4123"/>
      <c r="N79" s="4123"/>
      <c r="O79" s="4123"/>
      <c r="P79" s="4123"/>
      <c r="Q79" s="4124"/>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221" t="e">
        <f>CONCATENATE("PART EIGHT - SCORING CRITERIA","  -  ",#REF!," ",#REF!,", ",#REF!,", ",#REF!," County")</f>
        <v>#REF!</v>
      </c>
      <c r="B1" s="3222"/>
      <c r="C1" s="3222"/>
      <c r="D1" s="3222"/>
      <c r="E1" s="3222"/>
      <c r="F1" s="3222"/>
      <c r="G1" s="3222"/>
      <c r="H1" s="3222"/>
      <c r="I1" s="3222"/>
      <c r="J1" s="3222"/>
      <c r="K1" s="3222"/>
      <c r="L1" s="3222"/>
      <c r="M1" s="3222"/>
      <c r="N1" s="3222"/>
      <c r="O1" s="3222"/>
      <c r="P1" s="3223"/>
      <c r="Q1" s="4346" t="s">
        <v>4544</v>
      </c>
      <c r="R1" s="4346"/>
      <c r="S1" s="4346"/>
      <c r="T1" s="4346"/>
      <c r="U1" s="4346"/>
      <c r="V1" s="4346"/>
      <c r="W1" s="1878"/>
      <c r="X1" s="1837"/>
    </row>
    <row r="2" spans="1:25" s="28" customFormat="1" ht="4.4000000000000004" customHeight="1">
      <c r="A2" s="29"/>
      <c r="B2" s="29"/>
      <c r="C2" s="30"/>
      <c r="D2" s="29"/>
      <c r="E2" s="29"/>
      <c r="F2" s="29"/>
      <c r="G2" s="29"/>
      <c r="H2" s="29"/>
      <c r="I2" s="29"/>
      <c r="J2" s="29"/>
      <c r="K2" s="29"/>
      <c r="L2" s="29"/>
      <c r="M2" s="31"/>
      <c r="N2" s="53"/>
      <c r="O2" s="119"/>
      <c r="P2" s="119"/>
      <c r="Q2" s="4346"/>
      <c r="R2" s="4346"/>
      <c r="S2" s="4346"/>
      <c r="T2" s="4346"/>
      <c r="U2" s="4346"/>
      <c r="V2" s="4346"/>
      <c r="W2" s="1878"/>
      <c r="X2" s="1837"/>
    </row>
    <row r="3" spans="1:25" s="35" customFormat="1" ht="12" customHeight="1">
      <c r="A3" s="4397" t="s">
        <v>4557</v>
      </c>
      <c r="B3" s="4397"/>
      <c r="C3" s="4397"/>
      <c r="D3" s="4397"/>
      <c r="E3" s="4397"/>
      <c r="F3" s="4397"/>
      <c r="G3" s="4397"/>
      <c r="H3" s="4397"/>
      <c r="I3" s="4397"/>
      <c r="J3" s="4397"/>
      <c r="K3" s="4397"/>
      <c r="L3" s="4397"/>
      <c r="M3" s="658"/>
      <c r="N3" s="54"/>
      <c r="O3" s="63" t="s">
        <v>2045</v>
      </c>
      <c r="P3" s="901" t="s">
        <v>245</v>
      </c>
      <c r="Q3" s="4346"/>
      <c r="R3" s="4346"/>
      <c r="S3" s="4346"/>
      <c r="T3" s="4346"/>
      <c r="U3" s="4346"/>
      <c r="V3" s="4346"/>
      <c r="W3" s="1878"/>
      <c r="X3" s="1837"/>
    </row>
    <row r="4" spans="1:25" s="37" customFormat="1" ht="12" customHeight="1">
      <c r="A4" s="4397"/>
      <c r="B4" s="4397"/>
      <c r="C4" s="4397"/>
      <c r="D4" s="4397"/>
      <c r="E4" s="4397"/>
      <c r="F4" s="4397"/>
      <c r="G4" s="4397"/>
      <c r="H4" s="4397"/>
      <c r="I4" s="4397"/>
      <c r="J4" s="4397"/>
      <c r="K4" s="4397"/>
      <c r="L4" s="4397"/>
      <c r="M4" s="658"/>
      <c r="N4" s="64"/>
      <c r="O4" s="149" t="s">
        <v>2046</v>
      </c>
      <c r="P4" s="149" t="s">
        <v>2046</v>
      </c>
      <c r="Q4" s="4346"/>
      <c r="R4" s="4346"/>
      <c r="S4" s="4346"/>
      <c r="T4" s="4346"/>
      <c r="U4" s="4346"/>
      <c r="V4" s="4346"/>
    </row>
    <row r="5" spans="1:25" s="37" customFormat="1" ht="3" customHeight="1" thickBot="1">
      <c r="A5" s="35"/>
      <c r="B5" s="35"/>
      <c r="C5" s="35"/>
      <c r="D5" s="35"/>
      <c r="E5" s="35"/>
      <c r="F5" s="35"/>
      <c r="G5" s="35"/>
      <c r="H5" s="35"/>
      <c r="I5" s="35"/>
      <c r="J5" s="35"/>
      <c r="K5" s="35"/>
      <c r="M5" s="1545"/>
      <c r="N5" s="4"/>
      <c r="O5" s="119"/>
      <c r="P5" s="24"/>
      <c r="Q5" s="4346"/>
      <c r="R5" s="4346"/>
      <c r="S5" s="4346"/>
      <c r="T5" s="4346"/>
      <c r="U5" s="4346"/>
      <c r="V5" s="4346"/>
    </row>
    <row r="6" spans="1:25" s="37" customFormat="1" ht="13.5" customHeight="1" thickTop="1" thickBot="1">
      <c r="A6" s="35"/>
      <c r="B6" s="4492" t="e">
        <f>#REF!</f>
        <v>#REF!</v>
      </c>
      <c r="C6" s="4492"/>
      <c r="D6" s="4492"/>
      <c r="E6" s="4492"/>
      <c r="F6" s="4492"/>
      <c r="G6" s="72"/>
      <c r="H6" s="35"/>
      <c r="I6" s="35"/>
      <c r="J6" s="35"/>
      <c r="L6" s="51" t="s">
        <v>1151</v>
      </c>
      <c r="M6" s="3"/>
      <c r="N6" s="7"/>
      <c r="O6" s="1525" t="e">
        <f>O442</f>
        <v>#REF!</v>
      </c>
      <c r="P6" s="1525" t="e">
        <f>P442</f>
        <v>#REF!</v>
      </c>
      <c r="Q6" s="1457" t="s">
        <v>4636</v>
      </c>
      <c r="R6" s="1875"/>
      <c r="S6" s="1875"/>
      <c r="T6" s="1875"/>
      <c r="U6" s="1875"/>
      <c r="V6" s="1875"/>
      <c r="W6" s="1875"/>
      <c r="X6" s="1875"/>
      <c r="Y6" s="1875"/>
    </row>
    <row r="7" spans="1:25" s="36" customFormat="1" ht="3.65"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4040</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4041</v>
      </c>
      <c r="D10" s="29"/>
      <c r="E10" s="29"/>
      <c r="F10" s="29"/>
      <c r="G10" s="42"/>
      <c r="H10" s="147" t="s">
        <v>3710</v>
      </c>
      <c r="I10" s="42"/>
      <c r="J10" s="42"/>
      <c r="K10" s="42"/>
      <c r="L10" s="42"/>
      <c r="M10" s="1122" t="s">
        <v>3709</v>
      </c>
      <c r="N10" s="42"/>
      <c r="O10" s="42"/>
      <c r="P10" s="885">
        <f>IF(P12&lt;2,0,IF(AND(P12&gt;1,P12&lt;5),1,IF(P12&gt;4,P12-3)))</f>
        <v>0</v>
      </c>
      <c r="Q10" s="1875"/>
      <c r="R10" s="1875"/>
      <c r="S10" s="1875"/>
      <c r="T10" s="1875"/>
      <c r="U10" s="1875"/>
      <c r="V10" s="1875"/>
      <c r="W10" s="1875"/>
      <c r="X10" s="1875"/>
      <c r="Y10" s="187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3306</v>
      </c>
      <c r="B12" s="1141" t="s">
        <v>3307</v>
      </c>
      <c r="C12" s="923"/>
      <c r="D12" s="923"/>
      <c r="E12" s="236" t="s">
        <v>3314</v>
      </c>
      <c r="F12" s="4489" t="s">
        <v>4397</v>
      </c>
      <c r="G12" s="4489"/>
      <c r="H12" s="4489"/>
      <c r="I12" s="4489"/>
      <c r="J12" s="4489"/>
      <c r="K12" s="4489"/>
      <c r="L12" s="4489"/>
      <c r="M12" s="4489"/>
      <c r="N12" s="4489"/>
      <c r="O12" s="1142" t="s">
        <v>3689</v>
      </c>
      <c r="P12" s="1143">
        <f>SUM(P13:P31)</f>
        <v>0</v>
      </c>
      <c r="Q12" s="4345" t="s">
        <v>4444</v>
      </c>
      <c r="R12" s="4345"/>
      <c r="S12" s="4345"/>
      <c r="T12" s="4345"/>
      <c r="U12" s="4345"/>
      <c r="V12" s="1120"/>
    </row>
    <row r="13" spans="1:25" s="35" customFormat="1" ht="10.5" customHeight="1">
      <c r="A13" s="911" t="s">
        <v>1663</v>
      </c>
      <c r="B13" s="908" t="s">
        <v>3308</v>
      </c>
      <c r="C13" s="909"/>
      <c r="D13" s="910"/>
      <c r="E13" s="1136">
        <f>$O$103</f>
        <v>0</v>
      </c>
      <c r="F13" s="4490">
        <f>$A$109</f>
        <v>0</v>
      </c>
      <c r="G13" s="4491"/>
      <c r="H13" s="4491"/>
      <c r="I13" s="4491"/>
      <c r="J13" s="4491"/>
      <c r="K13" s="4491"/>
      <c r="L13" s="4491"/>
      <c r="M13" s="4491"/>
      <c r="N13" s="4491"/>
      <c r="O13" s="4491"/>
      <c r="P13" s="1149"/>
      <c r="Q13" s="4345"/>
      <c r="R13" s="4345"/>
      <c r="S13" s="4345"/>
      <c r="T13" s="4345"/>
      <c r="U13" s="4345"/>
      <c r="V13" s="1120"/>
    </row>
    <row r="14" spans="1:25" s="35" customFormat="1" ht="10.5" customHeight="1">
      <c r="A14" s="911" t="s">
        <v>495</v>
      </c>
      <c r="B14" s="738" t="s">
        <v>3913</v>
      </c>
      <c r="C14" s="853"/>
      <c r="D14" s="912"/>
      <c r="E14" s="1681">
        <f>$O$113</f>
        <v>0</v>
      </c>
      <c r="F14" s="4365">
        <f>$A$147</f>
        <v>0</v>
      </c>
      <c r="G14" s="4366"/>
      <c r="H14" s="4366"/>
      <c r="I14" s="4366"/>
      <c r="J14" s="4366"/>
      <c r="K14" s="4366"/>
      <c r="L14" s="4366"/>
      <c r="M14" s="4366"/>
      <c r="N14" s="4366"/>
      <c r="O14" s="4367"/>
      <c r="P14" s="1150"/>
      <c r="Q14" s="4345"/>
      <c r="R14" s="4345"/>
      <c r="S14" s="4345"/>
      <c r="T14" s="4345"/>
      <c r="U14" s="4345"/>
    </row>
    <row r="15" spans="1:25" s="35" customFormat="1" ht="10.5" customHeight="1">
      <c r="A15" s="911" t="s">
        <v>719</v>
      </c>
      <c r="B15" s="738" t="s">
        <v>3253</v>
      </c>
      <c r="C15" s="853"/>
      <c r="D15" s="912"/>
      <c r="E15" s="1681">
        <f>$O$152</f>
        <v>0</v>
      </c>
      <c r="F15" s="4365">
        <f>$A$165</f>
        <v>0</v>
      </c>
      <c r="G15" s="4366"/>
      <c r="H15" s="4366"/>
      <c r="I15" s="4366"/>
      <c r="J15" s="4366"/>
      <c r="K15" s="4366"/>
      <c r="L15" s="4366"/>
      <c r="M15" s="4366"/>
      <c r="N15" s="4366"/>
      <c r="O15" s="4367"/>
      <c r="P15" s="1150"/>
      <c r="Q15" s="1884"/>
      <c r="R15" s="1884"/>
      <c r="S15" s="1884"/>
      <c r="T15" s="1884"/>
      <c r="U15" s="1884"/>
    </row>
    <row r="16" spans="1:25" s="35" customFormat="1" ht="10.5" customHeight="1">
      <c r="A16" s="1524" t="s">
        <v>280</v>
      </c>
      <c r="B16" s="738" t="s">
        <v>3309</v>
      </c>
      <c r="C16" s="853"/>
      <c r="D16" s="912"/>
      <c r="E16" s="1138">
        <f>$O$169</f>
        <v>0</v>
      </c>
      <c r="F16" s="4365">
        <f>$A$186</f>
        <v>0</v>
      </c>
      <c r="G16" s="4366"/>
      <c r="H16" s="4366"/>
      <c r="I16" s="4366"/>
      <c r="J16" s="4366"/>
      <c r="K16" s="4366"/>
      <c r="L16" s="4366"/>
      <c r="M16" s="4366"/>
      <c r="N16" s="4366"/>
      <c r="O16" s="4367"/>
      <c r="P16" s="1150"/>
      <c r="Q16" s="1884"/>
      <c r="R16" s="1884"/>
      <c r="S16" s="1884"/>
      <c r="T16" s="1884"/>
      <c r="U16" s="1884"/>
    </row>
    <row r="17" spans="1:35" s="35" customFormat="1" ht="10.5" customHeight="1">
      <c r="A17" s="911" t="s">
        <v>400</v>
      </c>
      <c r="B17" s="918" t="s">
        <v>3310</v>
      </c>
      <c r="C17" s="919"/>
      <c r="D17" s="920"/>
      <c r="E17" s="1139" t="s">
        <v>1607</v>
      </c>
      <c r="F17" s="4429">
        <f>$A$201</f>
        <v>0</v>
      </c>
      <c r="G17" s="4430"/>
      <c r="H17" s="4430"/>
      <c r="I17" s="4430"/>
      <c r="J17" s="4430"/>
      <c r="K17" s="4430"/>
      <c r="L17" s="4430"/>
      <c r="M17" s="4430"/>
      <c r="N17" s="4430"/>
      <c r="O17" s="4431"/>
      <c r="P17" s="1150"/>
      <c r="Q17" s="1884"/>
      <c r="R17" s="1884"/>
      <c r="S17" s="1884"/>
      <c r="T17" s="1884"/>
      <c r="U17" s="1884"/>
    </row>
    <row r="18" spans="1:35" s="35" customFormat="1" ht="10.5" customHeight="1">
      <c r="A18" s="911" t="s">
        <v>342</v>
      </c>
      <c r="B18" s="738" t="s">
        <v>3914</v>
      </c>
      <c r="C18" s="853"/>
      <c r="D18" s="912"/>
      <c r="E18" s="1137">
        <f>$O$205</f>
        <v>0</v>
      </c>
      <c r="F18" s="4365">
        <f>$A$220</f>
        <v>0</v>
      </c>
      <c r="G18" s="4366"/>
      <c r="H18" s="4366"/>
      <c r="I18" s="4366"/>
      <c r="J18" s="4366"/>
      <c r="K18" s="4366"/>
      <c r="L18" s="4366"/>
      <c r="M18" s="4366"/>
      <c r="N18" s="4366"/>
      <c r="O18" s="4367"/>
      <c r="P18" s="1150"/>
      <c r="Q18" s="4424" t="str">
        <f>IF(OR($A$109="",$A$147="",$A$165="",$A$186="",$A$201="",$A$220="",$A$238="",$A$248="",$A$257="",$A$281="",$A$306="",$A$314="",$A$338="",$A$374="",$A$393="",$A$414="",$A$420="",$A$430="",$A$438=""),"Some Applicant Scoring Justification boxes are empty! Check to see if points claimed.","")</f>
        <v>Some Applicant Scoring Justification boxes are empty! Check to see if points claimed.</v>
      </c>
      <c r="R18" s="4425"/>
      <c r="S18" s="4425"/>
    </row>
    <row r="19" spans="1:35" s="35" customFormat="1" ht="10.5" customHeight="1">
      <c r="A19" s="911" t="s">
        <v>3916</v>
      </c>
      <c r="B19" s="738" t="s">
        <v>3180</v>
      </c>
      <c r="C19" s="853"/>
      <c r="D19" s="912"/>
      <c r="E19" s="1137">
        <f>$O$233</f>
        <v>0</v>
      </c>
      <c r="F19" s="4365">
        <f>$A$238</f>
        <v>0</v>
      </c>
      <c r="G19" s="4366"/>
      <c r="H19" s="4366"/>
      <c r="I19" s="4366"/>
      <c r="J19" s="4366"/>
      <c r="K19" s="4366"/>
      <c r="L19" s="4366"/>
      <c r="M19" s="4366"/>
      <c r="N19" s="4366"/>
      <c r="O19" s="4367"/>
      <c r="P19" s="1150"/>
      <c r="Q19" s="4424"/>
      <c r="R19" s="4425"/>
      <c r="S19" s="4425"/>
    </row>
    <row r="20" spans="1:35" s="35" customFormat="1" ht="10.5" customHeight="1">
      <c r="A20" s="911" t="s">
        <v>3927</v>
      </c>
      <c r="B20" s="738" t="s">
        <v>3917</v>
      </c>
      <c r="C20" s="853"/>
      <c r="D20" s="912"/>
      <c r="E20" s="1139">
        <f>$O$242</f>
        <v>0</v>
      </c>
      <c r="F20" s="4365">
        <f>$A$248</f>
        <v>0</v>
      </c>
      <c r="G20" s="4366"/>
      <c r="H20" s="4366"/>
      <c r="I20" s="4366"/>
      <c r="J20" s="4366"/>
      <c r="K20" s="4366"/>
      <c r="L20" s="4366"/>
      <c r="M20" s="4366"/>
      <c r="N20" s="4366"/>
      <c r="O20" s="4367"/>
      <c r="P20" s="1150"/>
      <c r="Q20" s="4424"/>
      <c r="R20" s="4425"/>
      <c r="S20" s="4425"/>
    </row>
    <row r="21" spans="1:35" s="35" customFormat="1" ht="10.5" customHeight="1">
      <c r="A21" s="917" t="s">
        <v>4144</v>
      </c>
      <c r="B21" s="918" t="s">
        <v>3918</v>
      </c>
      <c r="C21" s="919"/>
      <c r="D21" s="920"/>
      <c r="E21" s="1140">
        <f>$O$252</f>
        <v>0</v>
      </c>
      <c r="F21" s="4429">
        <f>$A$257</f>
        <v>0</v>
      </c>
      <c r="G21" s="4430"/>
      <c r="H21" s="4430"/>
      <c r="I21" s="4430"/>
      <c r="J21" s="4430"/>
      <c r="K21" s="4430"/>
      <c r="L21" s="4430"/>
      <c r="M21" s="4430"/>
      <c r="N21" s="4430"/>
      <c r="O21" s="4431"/>
      <c r="P21" s="1150"/>
      <c r="Q21" s="4424"/>
      <c r="R21" s="4425"/>
      <c r="S21" s="4425"/>
    </row>
    <row r="22" spans="1:35" s="35" customFormat="1" ht="10.5" customHeight="1">
      <c r="A22" s="911" t="s">
        <v>4536</v>
      </c>
      <c r="B22" s="738" t="s">
        <v>4448</v>
      </c>
      <c r="C22" s="853"/>
      <c r="D22" s="912"/>
      <c r="E22" s="1137">
        <f>$O$274</f>
        <v>0</v>
      </c>
      <c r="F22" s="4365">
        <f>$A$281</f>
        <v>0</v>
      </c>
      <c r="G22" s="4366"/>
      <c r="H22" s="4366"/>
      <c r="I22" s="4366"/>
      <c r="J22" s="4366"/>
      <c r="K22" s="4366"/>
      <c r="L22" s="4366"/>
      <c r="M22" s="4366"/>
      <c r="N22" s="4366"/>
      <c r="O22" s="4367"/>
      <c r="P22" s="1150"/>
      <c r="Q22" s="4424"/>
      <c r="R22" s="4425"/>
      <c r="S22" s="4425"/>
    </row>
    <row r="23" spans="1:35" s="35" customFormat="1" ht="10.5" customHeight="1">
      <c r="A23" s="911" t="s">
        <v>4538</v>
      </c>
      <c r="B23" s="738" t="s">
        <v>4537</v>
      </c>
      <c r="C23" s="853"/>
      <c r="D23" s="912"/>
      <c r="E23" s="1137">
        <f>$O$285</f>
        <v>0</v>
      </c>
      <c r="F23" s="4365">
        <f>$A$306</f>
        <v>0</v>
      </c>
      <c r="G23" s="4366"/>
      <c r="H23" s="4366"/>
      <c r="I23" s="4366"/>
      <c r="J23" s="4366"/>
      <c r="K23" s="4366"/>
      <c r="L23" s="4366"/>
      <c r="M23" s="4366"/>
      <c r="N23" s="4366"/>
      <c r="O23" s="4367"/>
      <c r="P23" s="1150"/>
      <c r="Q23" s="4424"/>
      <c r="R23" s="4425"/>
      <c r="S23" s="4425"/>
    </row>
    <row r="24" spans="1:35" s="35" customFormat="1" ht="10.5" customHeight="1">
      <c r="A24" s="1524" t="s">
        <v>3283</v>
      </c>
      <c r="B24" s="1797" t="s">
        <v>4454</v>
      </c>
      <c r="C24" s="1798"/>
      <c r="D24" s="1799"/>
      <c r="E24" s="1138">
        <f>$O$310</f>
        <v>0</v>
      </c>
      <c r="F24" s="4418">
        <f>$A$314</f>
        <v>0</v>
      </c>
      <c r="G24" s="4419"/>
      <c r="H24" s="4419"/>
      <c r="I24" s="4419"/>
      <c r="J24" s="4419"/>
      <c r="K24" s="4419"/>
      <c r="L24" s="4419"/>
      <c r="M24" s="4419"/>
      <c r="N24" s="4419"/>
      <c r="O24" s="4420"/>
      <c r="P24" s="1150"/>
      <c r="Q24" s="4424"/>
      <c r="R24" s="4425"/>
      <c r="S24" s="4425"/>
    </row>
    <row r="25" spans="1:35" s="35" customFormat="1" ht="10.5" customHeight="1">
      <c r="A25" s="911" t="s">
        <v>3287</v>
      </c>
      <c r="B25" s="738" t="s">
        <v>3311</v>
      </c>
      <c r="C25" s="853"/>
      <c r="D25" s="912"/>
      <c r="E25" s="1137">
        <f>$O$334</f>
        <v>0</v>
      </c>
      <c r="F25" s="4365">
        <f>$A$338</f>
        <v>0</v>
      </c>
      <c r="G25" s="4366"/>
      <c r="H25" s="4366"/>
      <c r="I25" s="4366"/>
      <c r="J25" s="4366"/>
      <c r="K25" s="4366"/>
      <c r="L25" s="4366"/>
      <c r="M25" s="4366"/>
      <c r="N25" s="4366"/>
      <c r="O25" s="4367"/>
      <c r="P25" s="1150"/>
      <c r="Q25" s="4424"/>
      <c r="R25" s="4425"/>
      <c r="S25" s="4425"/>
    </row>
    <row r="26" spans="1:35" s="35" customFormat="1" ht="10.5" customHeight="1">
      <c r="A26" s="911" t="s">
        <v>3290</v>
      </c>
      <c r="B26" s="738" t="s">
        <v>3312</v>
      </c>
      <c r="C26" s="853"/>
      <c r="D26" s="912"/>
      <c r="E26" s="1137">
        <f>$O$342</f>
        <v>0</v>
      </c>
      <c r="F26" s="4365">
        <f>$A$374</f>
        <v>0</v>
      </c>
      <c r="G26" s="4366"/>
      <c r="H26" s="4366"/>
      <c r="I26" s="4366"/>
      <c r="J26" s="4366"/>
      <c r="K26" s="4366"/>
      <c r="L26" s="4366"/>
      <c r="M26" s="4366"/>
      <c r="N26" s="4366"/>
      <c r="O26" s="4367"/>
      <c r="P26" s="1150"/>
      <c r="Q26" s="4424"/>
      <c r="R26" s="4425"/>
      <c r="S26" s="4425"/>
    </row>
    <row r="27" spans="1:35" s="35" customFormat="1" ht="10.5" customHeight="1">
      <c r="A27" s="911" t="s">
        <v>3291</v>
      </c>
      <c r="B27" s="738" t="s">
        <v>3313</v>
      </c>
      <c r="C27" s="853"/>
      <c r="D27" s="912"/>
      <c r="E27" s="1139">
        <f>$O$378</f>
        <v>0</v>
      </c>
      <c r="F27" s="4365">
        <f>$A$393</f>
        <v>0</v>
      </c>
      <c r="G27" s="4366"/>
      <c r="H27" s="4366"/>
      <c r="I27" s="4366"/>
      <c r="J27" s="4366"/>
      <c r="K27" s="4366"/>
      <c r="L27" s="4366"/>
      <c r="M27" s="4366"/>
      <c r="N27" s="4366"/>
      <c r="O27" s="4367"/>
      <c r="P27" s="1150"/>
      <c r="Q27" s="1874"/>
      <c r="R27" s="1540"/>
      <c r="S27" s="1540"/>
      <c r="AA27" s="4"/>
      <c r="AB27" s="4"/>
      <c r="AC27" s="4"/>
      <c r="AD27" s="4"/>
      <c r="AE27" s="4"/>
      <c r="AF27" s="4"/>
    </row>
    <row r="28" spans="1:35" s="35" customFormat="1" ht="10.5" customHeight="1">
      <c r="A28" s="913" t="s">
        <v>3293</v>
      </c>
      <c r="B28" s="914" t="s">
        <v>4535</v>
      </c>
      <c r="C28" s="915"/>
      <c r="D28" s="916"/>
      <c r="E28" s="1536">
        <f>$O$405</f>
        <v>2</v>
      </c>
      <c r="F28" s="4380">
        <f>$A$414</f>
        <v>0</v>
      </c>
      <c r="G28" s="4381"/>
      <c r="H28" s="4381"/>
      <c r="I28" s="4381"/>
      <c r="J28" s="4381"/>
      <c r="K28" s="4381"/>
      <c r="L28" s="4381"/>
      <c r="M28" s="4381"/>
      <c r="N28" s="4381"/>
      <c r="O28" s="4382"/>
      <c r="P28" s="1151"/>
      <c r="Q28" s="1874"/>
      <c r="R28" s="1540"/>
      <c r="S28" s="1540"/>
      <c r="X28" s="4"/>
      <c r="Y28" s="4"/>
      <c r="Z28" s="4"/>
      <c r="AA28" s="4"/>
      <c r="AB28" s="4"/>
      <c r="AC28" s="4"/>
      <c r="AD28" s="4"/>
      <c r="AE28" s="4"/>
      <c r="AF28" s="4"/>
      <c r="AG28" s="4"/>
      <c r="AH28" s="4"/>
      <c r="AI28" s="4"/>
    </row>
    <row r="29" spans="1:35" s="35" customFormat="1" ht="10.5" customHeight="1">
      <c r="A29" s="911" t="s">
        <v>3294</v>
      </c>
      <c r="B29" s="738" t="s">
        <v>4037</v>
      </c>
      <c r="C29" s="853"/>
      <c r="D29" s="912"/>
      <c r="E29" s="1137">
        <f>$O$418</f>
        <v>0</v>
      </c>
      <c r="F29" s="4365">
        <f>$A$420</f>
        <v>0</v>
      </c>
      <c r="G29" s="4366"/>
      <c r="H29" s="4366"/>
      <c r="I29" s="4366"/>
      <c r="J29" s="4366"/>
      <c r="K29" s="4366"/>
      <c r="L29" s="4366"/>
      <c r="M29" s="4366"/>
      <c r="N29" s="4366"/>
      <c r="O29" s="4367"/>
      <c r="P29" s="1150"/>
      <c r="Q29" s="1874"/>
      <c r="R29" s="1540"/>
      <c r="S29" s="1540"/>
    </row>
    <row r="30" spans="1:35" s="35" customFormat="1" ht="10.5" customHeight="1">
      <c r="A30" s="911" t="s">
        <v>3682</v>
      </c>
      <c r="B30" s="738" t="s">
        <v>4452</v>
      </c>
      <c r="C30" s="853"/>
      <c r="D30" s="912"/>
      <c r="E30" s="1137">
        <f>$O$428</f>
        <v>0</v>
      </c>
      <c r="F30" s="4365">
        <f>$A$430</f>
        <v>0</v>
      </c>
      <c r="G30" s="4366"/>
      <c r="H30" s="4366"/>
      <c r="I30" s="4366"/>
      <c r="J30" s="4366"/>
      <c r="K30" s="4366"/>
      <c r="L30" s="4366"/>
      <c r="M30" s="4366"/>
      <c r="N30" s="4366"/>
      <c r="O30" s="4367"/>
      <c r="P30" s="1150"/>
      <c r="Q30" s="1874"/>
      <c r="R30" s="1540"/>
      <c r="S30" s="1540"/>
      <c r="AA30" s="3523" t="s">
        <v>4462</v>
      </c>
      <c r="AB30" s="3523"/>
      <c r="AC30" s="3523"/>
      <c r="AD30" s="3523"/>
      <c r="AE30" s="3523"/>
      <c r="AF30" s="3523"/>
    </row>
    <row r="31" spans="1:35" s="35" customFormat="1" ht="10.5" customHeight="1">
      <c r="A31" s="913" t="s">
        <v>4455</v>
      </c>
      <c r="B31" s="914" t="s">
        <v>4453</v>
      </c>
      <c r="C31" s="915"/>
      <c r="D31" s="916"/>
      <c r="E31" s="1536">
        <f>$O$434</f>
        <v>0</v>
      </c>
      <c r="F31" s="4380">
        <f>$A$438</f>
        <v>0</v>
      </c>
      <c r="G31" s="4381"/>
      <c r="H31" s="4381"/>
      <c r="I31" s="4381"/>
      <c r="J31" s="4381"/>
      <c r="K31" s="4381"/>
      <c r="L31" s="4381"/>
      <c r="M31" s="4381"/>
      <c r="N31" s="4381"/>
      <c r="O31" s="4382"/>
      <c r="P31" s="1151"/>
      <c r="Q31" s="1874"/>
      <c r="R31" s="1540"/>
      <c r="S31" s="1540"/>
      <c r="X31" s="3523" t="s">
        <v>4463</v>
      </c>
      <c r="Y31" s="3523"/>
      <c r="Z31" s="3523"/>
      <c r="AA31" s="3523"/>
      <c r="AB31" s="3523"/>
      <c r="AC31" s="3523"/>
      <c r="AD31" s="3523" t="s">
        <v>4464</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4042</v>
      </c>
      <c r="C33" s="70"/>
      <c r="D33" s="68"/>
      <c r="E33" s="68"/>
      <c r="F33" s="68"/>
      <c r="G33" s="4432" t="s">
        <v>4030</v>
      </c>
      <c r="H33" s="4432"/>
      <c r="I33" s="4426" t="s">
        <v>4407</v>
      </c>
      <c r="J33" s="4427"/>
      <c r="K33" s="4427"/>
      <c r="L33" s="4428"/>
      <c r="M33" s="4493" t="s">
        <v>4043</v>
      </c>
      <c r="N33" s="4493"/>
      <c r="O33" s="4493"/>
      <c r="P33" s="4493"/>
      <c r="Q33" s="435"/>
      <c r="R33" s="435"/>
      <c r="S33" s="83" t="s">
        <v>4042</v>
      </c>
      <c r="T33" s="435"/>
      <c r="U33" s="435"/>
      <c r="V33" s="435"/>
      <c r="X33" s="4412" t="s">
        <v>4030</v>
      </c>
      <c r="Y33" s="4414"/>
      <c r="Z33" s="4412" t="s">
        <v>4407</v>
      </c>
      <c r="AA33" s="4413"/>
      <c r="AB33" s="4413"/>
      <c r="AC33" s="4414"/>
      <c r="AD33" s="4421" t="s">
        <v>4030</v>
      </c>
      <c r="AE33" s="4422"/>
      <c r="AF33" s="4423" t="s">
        <v>4407</v>
      </c>
      <c r="AG33" s="4421"/>
      <c r="AH33" s="4421"/>
      <c r="AI33" s="4422"/>
    </row>
    <row r="34" spans="1:46" s="115" customFormat="1" ht="11.25" customHeight="1">
      <c r="A34" s="44"/>
      <c r="B34" s="29"/>
      <c r="C34" s="44"/>
      <c r="D34" s="44"/>
      <c r="E34" s="44"/>
      <c r="F34" s="44"/>
      <c r="G34" s="1635">
        <v>0.09</v>
      </c>
      <c r="H34" s="1635">
        <v>0.04</v>
      </c>
      <c r="I34" s="1635">
        <v>0.04</v>
      </c>
      <c r="J34" s="1635" t="s">
        <v>4445</v>
      </c>
      <c r="K34" s="1635" t="s">
        <v>4446</v>
      </c>
      <c r="L34" s="1635" t="s">
        <v>4447</v>
      </c>
      <c r="M34" s="4415" t="e">
        <f>#REF!</f>
        <v>#REF!</v>
      </c>
      <c r="N34" s="4416"/>
      <c r="O34" s="4416"/>
      <c r="P34" s="4417"/>
      <c r="Q34" s="435"/>
      <c r="R34" s="44"/>
      <c r="S34" s="29"/>
      <c r="T34" s="44"/>
      <c r="U34" s="44"/>
      <c r="V34" s="44"/>
      <c r="W34" s="44"/>
      <c r="X34" s="1635">
        <v>0.09</v>
      </c>
      <c r="Y34" s="1635">
        <v>0.04</v>
      </c>
      <c r="Z34" s="1635">
        <v>0.04</v>
      </c>
      <c r="AA34" s="1635" t="s">
        <v>4445</v>
      </c>
      <c r="AB34" s="1635" t="s">
        <v>4446</v>
      </c>
      <c r="AC34" s="1635" t="s">
        <v>4447</v>
      </c>
      <c r="AD34" s="1635">
        <v>0.09</v>
      </c>
      <c r="AE34" s="1635">
        <v>0.04</v>
      </c>
      <c r="AF34" s="1635">
        <v>0.04</v>
      </c>
      <c r="AG34" s="1635" t="s">
        <v>4445</v>
      </c>
      <c r="AH34" s="1635" t="s">
        <v>4446</v>
      </c>
      <c r="AI34" s="1635" t="s">
        <v>4447</v>
      </c>
    </row>
    <row r="35" spans="1:46" s="115" customFormat="1" ht="10.5" customHeight="1">
      <c r="A35" s="646" t="s">
        <v>572</v>
      </c>
      <c r="B35" s="1636" t="s">
        <v>4646</v>
      </c>
      <c r="C35" s="1637"/>
      <c r="D35" s="1638"/>
      <c r="E35" s="1638"/>
      <c r="F35" s="1638"/>
      <c r="G35" s="1639">
        <v>0</v>
      </c>
      <c r="H35" s="1640">
        <v>0</v>
      </c>
      <c r="I35" s="1903">
        <v>0</v>
      </c>
      <c r="J35" s="1904">
        <v>0</v>
      </c>
      <c r="K35" s="1904">
        <v>0</v>
      </c>
      <c r="L35" s="1905">
        <v>0</v>
      </c>
      <c r="Q35" s="142"/>
      <c r="R35" s="646" t="s">
        <v>572</v>
      </c>
      <c r="S35" s="1636" t="s">
        <v>4646</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4031</v>
      </c>
      <c r="C36" s="1637"/>
      <c r="D36" s="1638"/>
      <c r="E36" s="1638"/>
      <c r="F36" s="1638"/>
      <c r="G36" s="1639">
        <v>10</v>
      </c>
      <c r="H36" s="1640">
        <v>10</v>
      </c>
      <c r="I36" s="1639">
        <v>10</v>
      </c>
      <c r="J36" s="1906">
        <v>10</v>
      </c>
      <c r="K36" s="1731">
        <v>10</v>
      </c>
      <c r="L36" s="1645">
        <v>10</v>
      </c>
      <c r="Q36" s="142"/>
      <c r="R36" s="646" t="s">
        <v>690</v>
      </c>
      <c r="S36" s="1636" t="s">
        <v>4031</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4032</v>
      </c>
      <c r="C37" s="1642"/>
      <c r="D37" s="1643"/>
      <c r="E37" s="1643"/>
      <c r="F37" s="1643"/>
      <c r="G37" s="1644">
        <v>3</v>
      </c>
      <c r="H37" s="1645">
        <v>3</v>
      </c>
      <c r="I37" s="1644"/>
      <c r="J37" s="1731"/>
      <c r="K37" s="1731"/>
      <c r="L37" s="1645"/>
      <c r="M37" s="258" t="s">
        <v>4044</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4032</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3308</v>
      </c>
      <c r="C38" s="1642"/>
      <c r="D38" s="1643"/>
      <c r="E38" s="1643"/>
      <c r="F38" s="1643"/>
      <c r="G38" s="1644">
        <v>20</v>
      </c>
      <c r="H38" s="1645">
        <v>12</v>
      </c>
      <c r="I38" s="1644"/>
      <c r="J38" s="1731"/>
      <c r="K38" s="1731"/>
      <c r="L38" s="1645"/>
      <c r="Q38" s="142"/>
      <c r="R38" s="646" t="s">
        <v>1663</v>
      </c>
      <c r="S38" s="1641" t="s">
        <v>3308</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3913</v>
      </c>
      <c r="C39" s="1642"/>
      <c r="D39" s="1643"/>
      <c r="E39" s="1643"/>
      <c r="F39" s="1643"/>
      <c r="G39" s="1644">
        <v>6</v>
      </c>
      <c r="H39" s="1645">
        <v>4</v>
      </c>
      <c r="I39" s="1644"/>
      <c r="J39" s="1731"/>
      <c r="K39" s="1731"/>
      <c r="L39" s="1645"/>
      <c r="Q39" s="142"/>
      <c r="R39" s="646" t="s">
        <v>495</v>
      </c>
      <c r="S39" s="1641" t="s">
        <v>3913</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3253</v>
      </c>
      <c r="C40" s="1642"/>
      <c r="D40" s="1643"/>
      <c r="E40" s="1643"/>
      <c r="F40" s="1643"/>
      <c r="G40" s="1644">
        <v>3</v>
      </c>
      <c r="H40" s="1645">
        <v>2</v>
      </c>
      <c r="I40" s="1644"/>
      <c r="J40" s="1731"/>
      <c r="K40" s="1731"/>
      <c r="L40" s="1645"/>
      <c r="M40" s="4494" t="s">
        <v>4461</v>
      </c>
      <c r="N40" s="4495"/>
      <c r="O40" s="4495"/>
      <c r="P40" s="4495"/>
      <c r="Q40" s="142"/>
      <c r="R40" s="646" t="s">
        <v>719</v>
      </c>
      <c r="S40" s="1641" t="s">
        <v>3253</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3309</v>
      </c>
      <c r="C41" s="1642"/>
      <c r="D41" s="1643"/>
      <c r="E41" s="1643"/>
      <c r="F41" s="1643"/>
      <c r="G41" s="1644">
        <v>7</v>
      </c>
      <c r="H41" s="1645">
        <v>5</v>
      </c>
      <c r="I41" s="1644"/>
      <c r="J41" s="1731"/>
      <c r="K41" s="1731"/>
      <c r="L41" s="1645"/>
      <c r="M41" s="4494"/>
      <c r="N41" s="4495"/>
      <c r="O41" s="4495"/>
      <c r="P41" s="4495"/>
      <c r="Q41" s="142"/>
      <c r="R41" s="646" t="s">
        <v>280</v>
      </c>
      <c r="S41" s="1641" t="s">
        <v>3309</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3310</v>
      </c>
      <c r="C42" s="1642"/>
      <c r="D42" s="1643"/>
      <c r="E42" s="1643"/>
      <c r="F42" s="1643"/>
      <c r="G42" s="1644">
        <v>3</v>
      </c>
      <c r="H42" s="1645"/>
      <c r="I42" s="1644"/>
      <c r="J42" s="1731"/>
      <c r="K42" s="1731"/>
      <c r="L42" s="1645"/>
      <c r="M42" s="147" t="s">
        <v>4456</v>
      </c>
      <c r="N42" s="147"/>
      <c r="O42" s="147"/>
      <c r="P42" s="1173"/>
      <c r="Q42" s="142"/>
      <c r="R42" s="646" t="s">
        <v>400</v>
      </c>
      <c r="S42" s="1641" t="s">
        <v>3310</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3914</v>
      </c>
      <c r="C43" s="1642"/>
      <c r="D43" s="1643"/>
      <c r="E43" s="1643"/>
      <c r="F43" s="1643"/>
      <c r="G43" s="1644">
        <v>10</v>
      </c>
      <c r="H43" s="1645">
        <v>5</v>
      </c>
      <c r="I43" s="1644"/>
      <c r="J43" s="1731"/>
      <c r="K43" s="1731"/>
      <c r="L43" s="1645"/>
      <c r="M43" s="147" t="s">
        <v>3225</v>
      </c>
      <c r="N43" s="147"/>
      <c r="O43" s="147"/>
      <c r="P43" s="810"/>
      <c r="Q43" s="142"/>
      <c r="R43" s="646" t="s">
        <v>342</v>
      </c>
      <c r="S43" s="1641" t="s">
        <v>3914</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4033</v>
      </c>
      <c r="C44" s="1642"/>
      <c r="D44" s="1643"/>
      <c r="E44" s="1643"/>
      <c r="F44" s="1643"/>
      <c r="G44" s="1644">
        <v>1</v>
      </c>
      <c r="H44" s="1645"/>
      <c r="I44" s="1644"/>
      <c r="J44" s="1731"/>
      <c r="K44" s="1731"/>
      <c r="L44" s="1645"/>
      <c r="M44" s="1743" t="s">
        <v>4048</v>
      </c>
      <c r="N44" s="223"/>
      <c r="O44" s="223"/>
      <c r="P44" s="805"/>
      <c r="Q44" s="142"/>
      <c r="R44" s="646" t="s">
        <v>343</v>
      </c>
      <c r="S44" s="1641" t="s">
        <v>4033</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3180</v>
      </c>
      <c r="C45" s="1642"/>
      <c r="D45" s="1643"/>
      <c r="E45" s="1643"/>
      <c r="F45" s="1643"/>
      <c r="G45" s="1644">
        <v>10</v>
      </c>
      <c r="H45" s="1645">
        <v>5</v>
      </c>
      <c r="I45" s="1644"/>
      <c r="J45" s="1731"/>
      <c r="K45" s="1731"/>
      <c r="L45" s="1645"/>
      <c r="M45" s="1743" t="s">
        <v>4411</v>
      </c>
      <c r="N45" s="223"/>
      <c r="O45" s="241" t="s">
        <v>4047</v>
      </c>
      <c r="P45" s="1824" t="str">
        <f>IF('Part VII-Threshold Criteria OLD'!$P$341="Agree","Yes","")</f>
        <v/>
      </c>
      <c r="Q45" s="142"/>
      <c r="R45" s="646" t="s">
        <v>344</v>
      </c>
      <c r="S45" s="1641" t="s">
        <v>3180</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4034</v>
      </c>
      <c r="C46" s="1642"/>
      <c r="D46" s="1643"/>
      <c r="E46" s="1643"/>
      <c r="F46" s="1643"/>
      <c r="G46" s="1644">
        <v>3</v>
      </c>
      <c r="H46" s="1645"/>
      <c r="I46" s="1644"/>
      <c r="J46" s="1731"/>
      <c r="K46" s="1731"/>
      <c r="L46" s="1645"/>
      <c r="M46" s="1743"/>
      <c r="N46" s="223"/>
      <c r="O46" s="241" t="s">
        <v>4457</v>
      </c>
      <c r="P46" s="1825" t="str">
        <f>IF('Part VII-Threshold Criteria OLD'!$P$344="Agree","Yes","")</f>
        <v/>
      </c>
      <c r="Q46" s="142"/>
      <c r="R46" s="646" t="s">
        <v>1602</v>
      </c>
      <c r="S46" s="1641" t="s">
        <v>4034</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3284</v>
      </c>
      <c r="B47" s="1641" t="s">
        <v>3918</v>
      </c>
      <c r="C47" s="1642"/>
      <c r="D47" s="1643"/>
      <c r="E47" s="1643"/>
      <c r="F47" s="1643"/>
      <c r="G47" s="1644">
        <v>5</v>
      </c>
      <c r="H47" s="1645"/>
      <c r="I47" s="1644"/>
      <c r="J47" s="1731"/>
      <c r="K47" s="1731"/>
      <c r="L47" s="1645"/>
      <c r="M47" s="1217"/>
      <c r="N47" s="1767"/>
      <c r="O47" s="1744" t="s">
        <v>4458</v>
      </c>
      <c r="P47" s="1826" t="str">
        <f>IF('Part VII-Threshold Criteria OLD'!$P$346="Agree","Yes","")</f>
        <v/>
      </c>
      <c r="Q47" s="142"/>
      <c r="R47" s="646" t="s">
        <v>3284</v>
      </c>
      <c r="S47" s="1641" t="s">
        <v>3918</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3683</v>
      </c>
      <c r="C48" s="1642"/>
      <c r="D48" s="1643"/>
      <c r="E48" s="1643"/>
      <c r="F48" s="1643"/>
      <c r="G48" s="1644">
        <v>4</v>
      </c>
      <c r="H48" s="1645">
        <v>4</v>
      </c>
      <c r="I48" s="1644">
        <v>4</v>
      </c>
      <c r="J48" s="1731">
        <v>4</v>
      </c>
      <c r="K48" s="1731">
        <v>4</v>
      </c>
      <c r="L48" s="1645">
        <v>4</v>
      </c>
      <c r="M48" s="1761" t="s">
        <v>2437</v>
      </c>
      <c r="N48" s="1762"/>
      <c r="O48" s="1763"/>
      <c r="P48" s="1173"/>
      <c r="R48" s="646" t="s">
        <v>2075</v>
      </c>
      <c r="S48" s="1641" t="s">
        <v>3683</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3166</v>
      </c>
    </row>
    <row r="49" spans="1:46" s="115" customFormat="1" ht="10.5" customHeight="1">
      <c r="A49" s="646" t="s">
        <v>3284</v>
      </c>
      <c r="B49" s="1641" t="s">
        <v>4448</v>
      </c>
      <c r="C49" s="1642"/>
      <c r="D49" s="1643"/>
      <c r="E49" s="1643"/>
      <c r="F49" s="1643"/>
      <c r="G49" s="1644">
        <v>2</v>
      </c>
      <c r="H49" s="1645">
        <v>2</v>
      </c>
      <c r="I49" s="1644">
        <v>2</v>
      </c>
      <c r="J49" s="1731">
        <v>2</v>
      </c>
      <c r="K49" s="1731">
        <v>2</v>
      </c>
      <c r="L49" s="1645">
        <v>2</v>
      </c>
      <c r="M49" s="1764" t="s">
        <v>4459</v>
      </c>
      <c r="N49" s="1765"/>
      <c r="O49" s="1766"/>
      <c r="P49" s="805"/>
      <c r="R49" s="646" t="s">
        <v>3284</v>
      </c>
      <c r="S49" s="1641" t="s">
        <v>4448</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4598</v>
      </c>
      <c r="AR49" s="223"/>
      <c r="AS49" s="72"/>
      <c r="AT49" s="1822" t="e">
        <f>#REF!+#REF!+#REF!</f>
        <v>#REF!</v>
      </c>
    </row>
    <row r="50" spans="1:46" s="115" customFormat="1" ht="10.5" customHeight="1">
      <c r="A50" s="646" t="s">
        <v>3285</v>
      </c>
      <c r="B50" s="1641" t="s">
        <v>4449</v>
      </c>
      <c r="C50" s="1642"/>
      <c r="D50" s="1643"/>
      <c r="E50" s="1643"/>
      <c r="F50" s="1643"/>
      <c r="G50" s="1644">
        <v>2</v>
      </c>
      <c r="H50" s="1645">
        <v>2</v>
      </c>
      <c r="I50" s="1644">
        <v>2</v>
      </c>
      <c r="J50" s="1731">
        <v>2</v>
      </c>
      <c r="K50" s="1731">
        <v>2</v>
      </c>
      <c r="L50" s="1645">
        <v>2</v>
      </c>
      <c r="M50" s="147" t="s">
        <v>4460</v>
      </c>
      <c r="N50" s="72"/>
      <c r="O50" s="72"/>
      <c r="P50" s="455" t="e">
        <f>#REF!</f>
        <v>#REF!</v>
      </c>
      <c r="R50" s="646" t="s">
        <v>3285</v>
      </c>
      <c r="S50" s="1641" t="s">
        <v>4449</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4589</v>
      </c>
      <c r="AR50" s="1457"/>
      <c r="AS50" s="1457"/>
      <c r="AT50" s="1823" t="e">
        <f>#REF!+#REF!-#REF!-#REF!</f>
        <v>#REF!</v>
      </c>
    </row>
    <row r="51" spans="1:46" s="115" customFormat="1" ht="10.5" customHeight="1">
      <c r="A51" s="646" t="s">
        <v>3283</v>
      </c>
      <c r="B51" s="1641" t="s">
        <v>4454</v>
      </c>
      <c r="C51" s="1642"/>
      <c r="D51" s="1643"/>
      <c r="E51" s="1643"/>
      <c r="F51" s="1643"/>
      <c r="G51" s="1644">
        <v>2</v>
      </c>
      <c r="H51" s="1645"/>
      <c r="I51" s="1644"/>
      <c r="J51" s="1731">
        <v>2</v>
      </c>
      <c r="K51" s="1731">
        <v>2</v>
      </c>
      <c r="L51" s="1645">
        <v>2</v>
      </c>
      <c r="Q51" s="142"/>
      <c r="R51" s="646" t="s">
        <v>3283</v>
      </c>
      <c r="S51" s="1641" t="s">
        <v>4454</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3286</v>
      </c>
      <c r="B52" s="1641" t="s">
        <v>4035</v>
      </c>
      <c r="C52" s="1642"/>
      <c r="D52" s="1643"/>
      <c r="E52" s="1643"/>
      <c r="F52" s="1643"/>
      <c r="G52" s="1644">
        <v>2</v>
      </c>
      <c r="H52" s="1645"/>
      <c r="I52" s="1644"/>
      <c r="J52" s="1731">
        <v>2</v>
      </c>
      <c r="K52" s="1731">
        <v>2</v>
      </c>
      <c r="L52" s="1645">
        <v>2</v>
      </c>
      <c r="M52" s="4628" t="s">
        <v>4634</v>
      </c>
      <c r="N52" s="4629"/>
      <c r="O52" s="4629"/>
      <c r="P52" s="4629"/>
      <c r="Q52" s="391"/>
      <c r="R52" s="646" t="s">
        <v>3286</v>
      </c>
      <c r="S52" s="1641" t="s">
        <v>4035</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3287</v>
      </c>
      <c r="B53" s="1641" t="s">
        <v>3311</v>
      </c>
      <c r="C53" s="1642"/>
      <c r="D53" s="1643"/>
      <c r="E53" s="1643"/>
      <c r="F53" s="1643"/>
      <c r="G53" s="1644">
        <v>2</v>
      </c>
      <c r="H53" s="1645"/>
      <c r="I53" s="1644"/>
      <c r="J53" s="1731">
        <v>2</v>
      </c>
      <c r="K53" s="1731">
        <v>2</v>
      </c>
      <c r="L53" s="1645">
        <v>2</v>
      </c>
      <c r="M53" s="4628"/>
      <c r="N53" s="4629"/>
      <c r="O53" s="4629"/>
      <c r="P53" s="4629"/>
      <c r="R53" s="646" t="s">
        <v>3287</v>
      </c>
      <c r="S53" s="1641" t="s">
        <v>3311</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3290</v>
      </c>
      <c r="B54" s="1641" t="s">
        <v>3312</v>
      </c>
      <c r="C54" s="1642"/>
      <c r="D54" s="1643"/>
      <c r="E54" s="1643"/>
      <c r="F54" s="1643"/>
      <c r="G54" s="1644">
        <v>4</v>
      </c>
      <c r="H54" s="1645">
        <v>2</v>
      </c>
      <c r="I54" s="1644">
        <v>2</v>
      </c>
      <c r="J54" s="1731">
        <v>4</v>
      </c>
      <c r="K54" s="1731">
        <v>4</v>
      </c>
      <c r="L54" s="1645">
        <v>4</v>
      </c>
      <c r="M54" s="4630"/>
      <c r="N54" s="4631"/>
      <c r="O54" s="4631"/>
      <c r="P54" s="4631"/>
      <c r="R54" s="646" t="s">
        <v>3290</v>
      </c>
      <c r="S54" s="1641" t="s">
        <v>3312</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3291</v>
      </c>
      <c r="B55" s="1641" t="s">
        <v>3313</v>
      </c>
      <c r="C55" s="1642"/>
      <c r="D55" s="1643"/>
      <c r="E55" s="1643"/>
      <c r="F55" s="1643"/>
      <c r="G55" s="1644">
        <v>2</v>
      </c>
      <c r="H55" s="1645"/>
      <c r="I55" s="1644"/>
      <c r="J55" s="1731"/>
      <c r="K55" s="1731"/>
      <c r="L55" s="1645"/>
      <c r="M55" s="4496" t="s">
        <v>4610</v>
      </c>
      <c r="N55" s="4497"/>
      <c r="O55" s="4497"/>
      <c r="P55" s="4498"/>
      <c r="R55" s="646" t="s">
        <v>3291</v>
      </c>
      <c r="S55" s="1641" t="s">
        <v>3313</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3292</v>
      </c>
      <c r="B56" s="1641" t="s">
        <v>4036</v>
      </c>
      <c r="C56" s="1642"/>
      <c r="D56" s="1643"/>
      <c r="E56" s="1643"/>
      <c r="F56" s="1643"/>
      <c r="G56" s="1644">
        <v>10</v>
      </c>
      <c r="H56" s="1645">
        <v>10</v>
      </c>
      <c r="I56" s="1644">
        <v>10</v>
      </c>
      <c r="J56" s="1731">
        <v>10</v>
      </c>
      <c r="K56" s="1731">
        <v>10</v>
      </c>
      <c r="L56" s="1645">
        <v>10</v>
      </c>
      <c r="M56" s="4499"/>
      <c r="N56" s="4500"/>
      <c r="O56" s="4500"/>
      <c r="P56" s="4501"/>
      <c r="R56" s="646" t="s">
        <v>3292</v>
      </c>
      <c r="S56" s="1641" t="s">
        <v>4036</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3293</v>
      </c>
      <c r="B57" s="1641" t="s">
        <v>4450</v>
      </c>
      <c r="C57" s="1642"/>
      <c r="D57" s="1643"/>
      <c r="E57" s="1643"/>
      <c r="F57" s="1643"/>
      <c r="G57" s="1644">
        <v>3</v>
      </c>
      <c r="H57" s="1645">
        <v>3</v>
      </c>
      <c r="I57" s="1644">
        <v>3</v>
      </c>
      <c r="J57" s="1731">
        <v>3</v>
      </c>
      <c r="K57" s="1731">
        <v>3</v>
      </c>
      <c r="L57" s="1645">
        <v>3</v>
      </c>
      <c r="R57" s="646" t="s">
        <v>3293</v>
      </c>
      <c r="S57" s="1641" t="s">
        <v>4450</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3294</v>
      </c>
      <c r="B58" s="1641" t="s">
        <v>4037</v>
      </c>
      <c r="C58" s="1642"/>
      <c r="D58" s="1643"/>
      <c r="E58" s="1643"/>
      <c r="F58" s="1643"/>
      <c r="G58" s="1644"/>
      <c r="H58" s="1645"/>
      <c r="I58" s="1644">
        <v>6</v>
      </c>
      <c r="J58" s="1731">
        <v>6</v>
      </c>
      <c r="K58" s="1731">
        <v>6</v>
      </c>
      <c r="L58" s="1645">
        <v>6</v>
      </c>
      <c r="M58" s="4494" t="s">
        <v>4045</v>
      </c>
      <c r="N58" s="4495"/>
      <c r="O58" s="4495"/>
      <c r="P58" s="4495"/>
      <c r="Q58" s="142"/>
      <c r="R58" s="646" t="s">
        <v>3294</v>
      </c>
      <c r="S58" s="1641" t="s">
        <v>4037</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3295</v>
      </c>
      <c r="B59" s="1641" t="s">
        <v>4451</v>
      </c>
      <c r="C59" s="1642"/>
      <c r="D59" s="1643"/>
      <c r="E59" s="1643"/>
      <c r="F59" s="1643"/>
      <c r="G59" s="1644"/>
      <c r="H59" s="1645"/>
      <c r="I59" s="1644">
        <v>6</v>
      </c>
      <c r="J59" s="1731">
        <v>6</v>
      </c>
      <c r="K59" s="1731">
        <v>6</v>
      </c>
      <c r="L59" s="1645">
        <v>6</v>
      </c>
      <c r="M59" s="4626"/>
      <c r="N59" s="4627"/>
      <c r="O59" s="4627"/>
      <c r="P59" s="4627"/>
      <c r="Q59" s="142"/>
      <c r="R59" s="646" t="s">
        <v>3295</v>
      </c>
      <c r="S59" s="1641" t="s">
        <v>4451</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3682</v>
      </c>
      <c r="B60" s="1641" t="s">
        <v>4452</v>
      </c>
      <c r="C60" s="1642"/>
      <c r="D60" s="1643"/>
      <c r="E60" s="1643"/>
      <c r="F60" s="1643"/>
      <c r="G60" s="1644"/>
      <c r="H60" s="1645"/>
      <c r="I60" s="1644">
        <v>4</v>
      </c>
      <c r="J60" s="1731">
        <v>4</v>
      </c>
      <c r="K60" s="1731">
        <v>4</v>
      </c>
      <c r="L60" s="1645">
        <v>4</v>
      </c>
      <c r="M60" s="4357" t="s">
        <v>4611</v>
      </c>
      <c r="N60" s="4358"/>
      <c r="O60" s="4358"/>
      <c r="P60" s="4359"/>
      <c r="R60" s="646" t="s">
        <v>3682</v>
      </c>
      <c r="S60" s="1641" t="s">
        <v>4452</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4455</v>
      </c>
      <c r="B61" s="1646" t="s">
        <v>4453</v>
      </c>
      <c r="C61" s="1647"/>
      <c r="D61" s="1648"/>
      <c r="E61" s="1648"/>
      <c r="F61" s="1648"/>
      <c r="G61" s="1649"/>
      <c r="H61" s="1650"/>
      <c r="I61" s="1649">
        <v>6</v>
      </c>
      <c r="J61" s="1907">
        <v>4</v>
      </c>
      <c r="K61" s="1907">
        <v>6</v>
      </c>
      <c r="L61" s="1650">
        <v>4</v>
      </c>
      <c r="M61" s="4360"/>
      <c r="N61" s="4361"/>
      <c r="O61" s="4361"/>
      <c r="P61" s="4362"/>
      <c r="Q61" s="142"/>
      <c r="R61" s="646" t="s">
        <v>4455</v>
      </c>
      <c r="S61" s="1646" t="s">
        <v>4453</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4145</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2490</v>
      </c>
      <c r="C64" s="4"/>
      <c r="D64" s="4"/>
      <c r="E64" s="4"/>
      <c r="F64" s="29"/>
      <c r="G64" s="29"/>
      <c r="H64" s="147" t="s">
        <v>3708</v>
      </c>
      <c r="M64" s="119">
        <v>10</v>
      </c>
      <c r="N64" s="84"/>
      <c r="O64" s="855">
        <v>10</v>
      </c>
      <c r="P64" s="855">
        <f>MIN($M64, $M64-P67-P72-P68)</f>
        <v>10</v>
      </c>
      <c r="Q64" s="86" t="s">
        <v>415</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3684</v>
      </c>
      <c r="D66" s="41"/>
      <c r="E66" s="41"/>
      <c r="F66" s="878"/>
      <c r="N66" s="48" t="s">
        <v>1836</v>
      </c>
      <c r="P66" s="1521">
        <f>SUM(P67:P69)</f>
        <v>0</v>
      </c>
      <c r="Q66" s="29" t="s">
        <v>4143</v>
      </c>
    </row>
    <row r="67" spans="1:20" s="36" customFormat="1" ht="12.75" customHeight="1">
      <c r="A67" s="107"/>
      <c r="B67" s="1522" t="s">
        <v>1839</v>
      </c>
      <c r="C67" s="81" t="s">
        <v>3687</v>
      </c>
      <c r="D67" s="41"/>
      <c r="E67" s="41"/>
      <c r="F67" s="878"/>
      <c r="H67" s="147" t="s">
        <v>3091</v>
      </c>
      <c r="J67" s="42"/>
      <c r="N67" s="316" t="s">
        <v>1839</v>
      </c>
      <c r="P67" s="889">
        <f>F75</f>
        <v>0</v>
      </c>
    </row>
    <row r="68" spans="1:20" s="36" customFormat="1" ht="12.75" customHeight="1">
      <c r="A68" s="107"/>
      <c r="B68" s="1522" t="s">
        <v>1841</v>
      </c>
      <c r="C68" s="81" t="s">
        <v>4142</v>
      </c>
      <c r="D68" s="41"/>
      <c r="E68" s="41"/>
      <c r="F68" s="878"/>
      <c r="H68" s="147" t="s">
        <v>3685</v>
      </c>
      <c r="J68" s="42"/>
      <c r="N68" s="316" t="s">
        <v>1841</v>
      </c>
      <c r="P68" s="1118">
        <f>J75</f>
        <v>0</v>
      </c>
    </row>
    <row r="69" spans="1:20" s="36" customFormat="1" ht="12.75" customHeight="1">
      <c r="A69" s="107"/>
      <c r="B69" s="1522" t="s">
        <v>2326</v>
      </c>
      <c r="C69" s="81" t="s">
        <v>3686</v>
      </c>
      <c r="D69" s="41"/>
      <c r="E69" s="41"/>
      <c r="F69" s="878"/>
      <c r="H69" s="147" t="s">
        <v>3690</v>
      </c>
      <c r="J69" s="42"/>
      <c r="N69" s="316" t="s">
        <v>2326</v>
      </c>
      <c r="P69" s="1119"/>
    </row>
    <row r="70" spans="1:20" s="36" customFormat="1" ht="12.75" customHeight="1">
      <c r="C70" s="4409" t="s">
        <v>3774</v>
      </c>
      <c r="D70" s="4410"/>
      <c r="E70" s="4410"/>
      <c r="F70" s="4410"/>
      <c r="G70" s="4410"/>
      <c r="H70" s="4410"/>
      <c r="I70" s="4410"/>
      <c r="J70" s="4410"/>
      <c r="K70" s="4410"/>
      <c r="L70" s="4410"/>
      <c r="M70" s="4410"/>
      <c r="N70" s="4410"/>
      <c r="O70" s="4410"/>
      <c r="P70" s="4411"/>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4143</v>
      </c>
    </row>
    <row r="73" spans="1:20" s="36" customFormat="1" ht="3" customHeight="1">
      <c r="A73" s="455"/>
      <c r="B73" s="452"/>
      <c r="C73" s="453"/>
      <c r="D73" s="108"/>
      <c r="K73" s="676"/>
      <c r="L73" s="676"/>
      <c r="M73" s="457"/>
      <c r="N73" s="316"/>
      <c r="O73" s="679"/>
      <c r="P73" s="679"/>
    </row>
    <row r="74" spans="1:20" s="35" customFormat="1" ht="12.75" customHeight="1">
      <c r="A74" s="4323" t="s">
        <v>3978</v>
      </c>
      <c r="B74" s="4323"/>
      <c r="C74" s="4323"/>
      <c r="D74" s="4323"/>
      <c r="E74" s="4323"/>
      <c r="F74" s="1117" t="s">
        <v>3305</v>
      </c>
      <c r="G74" s="4481" t="s">
        <v>3980</v>
      </c>
      <c r="H74" s="4481"/>
      <c r="I74" s="4481"/>
      <c r="J74" s="1117" t="s">
        <v>3305</v>
      </c>
      <c r="K74" s="4485" t="s">
        <v>3979</v>
      </c>
      <c r="L74" s="4485"/>
      <c r="M74" s="4485"/>
      <c r="N74" s="4485"/>
      <c r="O74" s="4479" t="s">
        <v>3305</v>
      </c>
      <c r="P74" s="4480"/>
      <c r="R74" s="355"/>
      <c r="S74" s="125"/>
    </row>
    <row r="75" spans="1:20" s="35" customFormat="1" ht="12.75" customHeight="1">
      <c r="A75" s="4478"/>
      <c r="B75" s="4478"/>
      <c r="C75" s="4478"/>
      <c r="D75" s="4478"/>
      <c r="E75" s="4478"/>
      <c r="F75" s="57">
        <f>SUM(F76:F87)</f>
        <v>0</v>
      </c>
      <c r="G75" s="4482"/>
      <c r="H75" s="4483"/>
      <c r="I75" s="4484"/>
      <c r="J75" s="57">
        <f>SUM(J76:J87)</f>
        <v>0</v>
      </c>
      <c r="K75" s="4486"/>
      <c r="L75" s="4487"/>
      <c r="M75" s="4487"/>
      <c r="N75" s="4488"/>
      <c r="O75" s="4469">
        <f>SUM(O76:O87)</f>
        <v>0</v>
      </c>
      <c r="P75" s="4470"/>
      <c r="Q75" s="355"/>
      <c r="R75" s="125"/>
    </row>
    <row r="76" spans="1:20" s="35" customFormat="1" ht="24.75" customHeight="1">
      <c r="A76" s="4471">
        <v>1</v>
      </c>
      <c r="B76" s="4472"/>
      <c r="C76" s="4472"/>
      <c r="D76" s="4472"/>
      <c r="E76" s="4473"/>
      <c r="F76" s="667"/>
      <c r="G76" s="4471">
        <v>1</v>
      </c>
      <c r="H76" s="4472"/>
      <c r="I76" s="4473"/>
      <c r="J76" s="670" t="s">
        <v>1607</v>
      </c>
      <c r="K76" s="4474">
        <v>1</v>
      </c>
      <c r="L76" s="4475"/>
      <c r="M76" s="4475"/>
      <c r="N76" s="4475"/>
      <c r="O76" s="4476" t="s">
        <v>1607</v>
      </c>
      <c r="P76" s="4477"/>
      <c r="Q76" s="353" t="s">
        <v>1179</v>
      </c>
      <c r="R76" s="125"/>
    </row>
    <row r="77" spans="1:20" s="35" customFormat="1" ht="24.75" customHeight="1">
      <c r="A77" s="4368">
        <v>2</v>
      </c>
      <c r="B77" s="4369"/>
      <c r="C77" s="4369"/>
      <c r="D77" s="4369"/>
      <c r="E77" s="4370"/>
      <c r="F77" s="668"/>
      <c r="G77" s="4368">
        <v>2</v>
      </c>
      <c r="H77" s="4369"/>
      <c r="I77" s="4370"/>
      <c r="J77" s="668"/>
      <c r="K77" s="4402">
        <v>2</v>
      </c>
      <c r="L77" s="4403"/>
      <c r="M77" s="4403"/>
      <c r="N77" s="4403"/>
      <c r="O77" s="4363"/>
      <c r="P77" s="4364"/>
      <c r="Q77" s="354"/>
      <c r="R77" s="125"/>
    </row>
    <row r="78" spans="1:20" s="35" customFormat="1" ht="24.75" customHeight="1">
      <c r="A78" s="4368">
        <v>3</v>
      </c>
      <c r="B78" s="4369"/>
      <c r="C78" s="4369"/>
      <c r="D78" s="4369"/>
      <c r="E78" s="4370"/>
      <c r="F78" s="668"/>
      <c r="G78" s="4368">
        <v>3</v>
      </c>
      <c r="H78" s="4369"/>
      <c r="I78" s="4370"/>
      <c r="J78" s="921" t="s">
        <v>2570</v>
      </c>
      <c r="K78" s="4402">
        <v>3</v>
      </c>
      <c r="L78" s="4403"/>
      <c r="M78" s="4403"/>
      <c r="N78" s="4403"/>
      <c r="O78" s="4589" t="s">
        <v>2570</v>
      </c>
      <c r="P78" s="4590"/>
      <c r="Q78" s="4632" t="s">
        <v>3688</v>
      </c>
      <c r="R78" s="4633"/>
      <c r="S78" s="1120"/>
      <c r="T78" s="1120"/>
    </row>
    <row r="79" spans="1:20" s="35" customFormat="1" ht="24.75" customHeight="1">
      <c r="A79" s="4368">
        <v>4</v>
      </c>
      <c r="B79" s="4369"/>
      <c r="C79" s="4369"/>
      <c r="D79" s="4369"/>
      <c r="E79" s="4370"/>
      <c r="F79" s="668"/>
      <c r="G79" s="4368">
        <v>4</v>
      </c>
      <c r="H79" s="4369"/>
      <c r="I79" s="4370"/>
      <c r="J79" s="668"/>
      <c r="K79" s="4402">
        <v>4</v>
      </c>
      <c r="L79" s="4403"/>
      <c r="M79" s="4403"/>
      <c r="N79" s="4403"/>
      <c r="O79" s="4589" t="s">
        <v>2570</v>
      </c>
      <c r="P79" s="4590"/>
      <c r="Q79" s="4632"/>
      <c r="R79" s="4633"/>
      <c r="S79" s="1120"/>
      <c r="T79" s="1120"/>
    </row>
    <row r="80" spans="1:20" s="35" customFormat="1" ht="24.75" customHeight="1">
      <c r="A80" s="4368">
        <v>5</v>
      </c>
      <c r="B80" s="4369"/>
      <c r="C80" s="4369"/>
      <c r="D80" s="4369"/>
      <c r="E80" s="4370"/>
      <c r="F80" s="668"/>
      <c r="G80" s="4368">
        <v>5</v>
      </c>
      <c r="H80" s="4369"/>
      <c r="I80" s="4370"/>
      <c r="J80" s="921" t="s">
        <v>3061</v>
      </c>
      <c r="K80" s="4402">
        <v>5</v>
      </c>
      <c r="L80" s="4403"/>
      <c r="M80" s="4403"/>
      <c r="N80" s="4403"/>
      <c r="O80" s="4363"/>
      <c r="P80" s="4364"/>
      <c r="Q80" s="4632"/>
      <c r="R80" s="4633"/>
      <c r="S80" s="1120"/>
      <c r="T80" s="1120"/>
    </row>
    <row r="81" spans="1:19" s="35" customFormat="1" ht="24" customHeight="1">
      <c r="A81" s="4368">
        <v>6</v>
      </c>
      <c r="B81" s="4369"/>
      <c r="C81" s="4369"/>
      <c r="D81" s="4369"/>
      <c r="E81" s="4370"/>
      <c r="F81" s="668"/>
      <c r="G81" s="4368">
        <v>6</v>
      </c>
      <c r="H81" s="4369"/>
      <c r="I81" s="4370"/>
      <c r="J81" s="668"/>
      <c r="K81" s="4402">
        <v>6</v>
      </c>
      <c r="L81" s="4403"/>
      <c r="M81" s="4403"/>
      <c r="N81" s="4403"/>
      <c r="O81" s="4363"/>
      <c r="P81" s="4364"/>
      <c r="Q81" s="4632"/>
      <c r="R81" s="4633"/>
    </row>
    <row r="82" spans="1:19" s="35" customFormat="1" ht="24.75" customHeight="1">
      <c r="A82" s="4368">
        <v>7</v>
      </c>
      <c r="B82" s="4369"/>
      <c r="C82" s="4369"/>
      <c r="D82" s="4369"/>
      <c r="E82" s="4370"/>
      <c r="F82" s="668"/>
      <c r="G82" s="4368">
        <v>7</v>
      </c>
      <c r="H82" s="4369"/>
      <c r="I82" s="4370"/>
      <c r="J82" s="921" t="s">
        <v>3062</v>
      </c>
      <c r="K82" s="4402">
        <v>7</v>
      </c>
      <c r="L82" s="4403"/>
      <c r="M82" s="4403"/>
      <c r="N82" s="4403"/>
      <c r="O82" s="4363"/>
      <c r="P82" s="4364"/>
      <c r="Q82" s="125"/>
      <c r="R82" s="125"/>
    </row>
    <row r="83" spans="1:19" s="35" customFormat="1" ht="24.75" customHeight="1">
      <c r="A83" s="4368">
        <v>8</v>
      </c>
      <c r="B83" s="4369"/>
      <c r="C83" s="4369"/>
      <c r="D83" s="4369"/>
      <c r="E83" s="4370"/>
      <c r="F83" s="668"/>
      <c r="G83" s="4368">
        <v>8</v>
      </c>
      <c r="H83" s="4369"/>
      <c r="I83" s="4370"/>
      <c r="J83" s="668"/>
      <c r="K83" s="4402">
        <v>8</v>
      </c>
      <c r="L83" s="4403"/>
      <c r="M83" s="4403"/>
      <c r="N83" s="4403"/>
      <c r="O83" s="4363"/>
      <c r="P83" s="4364"/>
      <c r="Q83" s="125"/>
      <c r="R83" s="125"/>
    </row>
    <row r="84" spans="1:19" s="35" customFormat="1" ht="24.75" customHeight="1">
      <c r="A84" s="4368">
        <v>9</v>
      </c>
      <c r="B84" s="4369"/>
      <c r="C84" s="4369"/>
      <c r="D84" s="4369"/>
      <c r="E84" s="4370"/>
      <c r="F84" s="668"/>
      <c r="G84" s="4368">
        <v>9</v>
      </c>
      <c r="H84" s="4369"/>
      <c r="I84" s="4370"/>
      <c r="J84" s="921" t="s">
        <v>3063</v>
      </c>
      <c r="K84" s="4402">
        <v>9</v>
      </c>
      <c r="L84" s="4403"/>
      <c r="M84" s="4403"/>
      <c r="N84" s="4403"/>
      <c r="O84" s="4363"/>
      <c r="P84" s="4364"/>
      <c r="Q84" s="125"/>
      <c r="R84" s="125"/>
    </row>
    <row r="85" spans="1:19" s="35" customFormat="1" ht="24.75" customHeight="1">
      <c r="A85" s="4368">
        <v>10</v>
      </c>
      <c r="B85" s="4369"/>
      <c r="C85" s="4369"/>
      <c r="D85" s="4369"/>
      <c r="E85" s="4370"/>
      <c r="F85" s="668"/>
      <c r="G85" s="4368">
        <v>10</v>
      </c>
      <c r="H85" s="4369"/>
      <c r="I85" s="4370"/>
      <c r="J85" s="668"/>
      <c r="K85" s="4402">
        <v>10</v>
      </c>
      <c r="L85" s="4403"/>
      <c r="M85" s="4403"/>
      <c r="N85" s="4403"/>
      <c r="O85" s="4363"/>
      <c r="P85" s="4364"/>
      <c r="Q85" s="125"/>
    </row>
    <row r="86" spans="1:19" s="35" customFormat="1" ht="24.75" customHeight="1">
      <c r="A86" s="4368">
        <v>11</v>
      </c>
      <c r="B86" s="4369"/>
      <c r="C86" s="4369"/>
      <c r="D86" s="4369"/>
      <c r="E86" s="4370"/>
      <c r="F86" s="668"/>
      <c r="G86" s="4368">
        <v>11</v>
      </c>
      <c r="H86" s="4369"/>
      <c r="I86" s="4370"/>
      <c r="J86" s="921" t="s">
        <v>3064</v>
      </c>
      <c r="K86" s="4368">
        <v>11</v>
      </c>
      <c r="L86" s="4369"/>
      <c r="M86" s="4369"/>
      <c r="N86" s="4370"/>
      <c r="O86" s="4363"/>
      <c r="P86" s="4364"/>
      <c r="Q86" s="125"/>
      <c r="R86" s="125"/>
    </row>
    <row r="87" spans="1:19" s="35" customFormat="1" ht="24.75" customHeight="1">
      <c r="A87" s="4388">
        <v>12</v>
      </c>
      <c r="B87" s="4389"/>
      <c r="C87" s="4389"/>
      <c r="D87" s="4389"/>
      <c r="E87" s="4390"/>
      <c r="F87" s="669"/>
      <c r="G87" s="4388">
        <v>12</v>
      </c>
      <c r="H87" s="4389"/>
      <c r="I87" s="4390"/>
      <c r="J87" s="669"/>
      <c r="K87" s="4388">
        <v>12</v>
      </c>
      <c r="L87" s="4389"/>
      <c r="M87" s="4389"/>
      <c r="N87" s="4390"/>
      <c r="O87" s="4391"/>
      <c r="P87" s="439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60" t="s">
        <v>3805</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3697</v>
      </c>
      <c r="G90" s="67"/>
      <c r="H90" s="29"/>
      <c r="I90" s="38"/>
      <c r="K90" s="404"/>
      <c r="L90" s="671"/>
      <c r="M90" s="119"/>
      <c r="N90" s="5"/>
      <c r="O90" s="3"/>
      <c r="P90" s="3"/>
      <c r="Q90" s="86"/>
      <c r="R90" s="307"/>
    </row>
    <row r="91" spans="1:19" s="36" customFormat="1" ht="13.5" customHeight="1">
      <c r="A91" s="107" t="s">
        <v>1836</v>
      </c>
      <c r="B91" s="153" t="s">
        <v>4046</v>
      </c>
      <c r="E91" s="32"/>
      <c r="G91" s="67"/>
      <c r="H91" s="44" t="s">
        <v>4545</v>
      </c>
      <c r="I91" s="1178" t="e">
        <f>#REF!</f>
        <v>#REF!</v>
      </c>
      <c r="M91" s="119"/>
      <c r="N91" s="5"/>
      <c r="P91" s="1853" t="e">
        <f>IF(AND(O89&gt;0,NOT($M$55="New Supply")), "Ineligible to score in this section, not New Supply!","")</f>
        <v>#REF!</v>
      </c>
      <c r="Q91" s="5"/>
      <c r="R91" s="307"/>
    </row>
    <row r="92" spans="1:19" s="70" customFormat="1" ht="9" customHeight="1">
      <c r="A92" s="107"/>
      <c r="B92" s="4623" t="s">
        <v>3691</v>
      </c>
      <c r="C92" s="4623"/>
      <c r="D92" s="4623"/>
      <c r="E92" s="4623"/>
      <c r="F92" s="4623"/>
      <c r="G92" s="4623"/>
      <c r="H92" s="4623"/>
      <c r="I92" s="4623"/>
      <c r="J92" s="4623"/>
      <c r="K92" s="4623"/>
      <c r="L92" s="4623"/>
      <c r="M92" s="119"/>
      <c r="N92" s="5"/>
      <c r="Q92" s="5"/>
      <c r="R92" s="307"/>
    </row>
    <row r="93" spans="1:19" s="70" customFormat="1" ht="13.5" customHeight="1">
      <c r="B93" s="4623"/>
      <c r="C93" s="4623"/>
      <c r="D93" s="4623"/>
      <c r="E93" s="4623"/>
      <c r="F93" s="4623"/>
      <c r="G93" s="4623"/>
      <c r="H93" s="4623"/>
      <c r="I93" s="4623"/>
      <c r="J93" s="4623"/>
      <c r="K93" s="4623"/>
      <c r="L93" s="4623"/>
      <c r="M93" s="674">
        <v>2</v>
      </c>
      <c r="N93" s="316" t="s">
        <v>1836</v>
      </c>
      <c r="O93" s="680" t="e">
        <f>IF(AND(OR($J$89="9%",$J$89="4%"),$L$89="New Supply"),MIN($M93,O94+O95),0)</f>
        <v>#REF!</v>
      </c>
      <c r="P93" s="680" t="e">
        <f>IF(NOT($J$89="9%"),0,MIN($M93, P94+P95))</f>
        <v>#REF!</v>
      </c>
    </row>
    <row r="94" spans="1:19" s="70" customFormat="1" ht="13.5" customHeight="1">
      <c r="A94" s="107"/>
      <c r="B94" s="1134" t="s">
        <v>1839</v>
      </c>
      <c r="C94" s="1124" t="s">
        <v>3692</v>
      </c>
      <c r="D94" s="29"/>
      <c r="H94" s="29" t="s">
        <v>3693</v>
      </c>
      <c r="I94" s="1123"/>
      <c r="J94" s="1180" t="e">
        <f>#REF!</f>
        <v>#REF!</v>
      </c>
      <c r="L94" s="4572" t="str">
        <f>IF(AND(O94&gt;0,O95&gt;0), "CHOOSE EITHER A OR B, NOT BOTH!", "")</f>
        <v/>
      </c>
      <c r="M94" s="457">
        <v>2</v>
      </c>
      <c r="N94" s="150" t="s">
        <v>1839</v>
      </c>
      <c r="O94" s="405"/>
      <c r="P94" s="413"/>
      <c r="Q94" s="1153" t="str">
        <f>IF(OR($O94=$M94,$O94=0,$O94=""),"","*CHECK!*")</f>
        <v/>
      </c>
      <c r="R94" s="782" t="s">
        <v>3932</v>
      </c>
    </row>
    <row r="95" spans="1:19" s="70" customFormat="1" ht="13.5" customHeight="1">
      <c r="A95" s="395" t="s">
        <v>2918</v>
      </c>
      <c r="B95" s="1134" t="s">
        <v>1841</v>
      </c>
      <c r="C95" s="1124" t="s">
        <v>3694</v>
      </c>
      <c r="D95" s="29"/>
      <c r="I95" s="1123"/>
      <c r="K95" s="29"/>
      <c r="L95" s="4572"/>
      <c r="M95" s="457">
        <v>2</v>
      </c>
      <c r="N95" s="150" t="s">
        <v>1841</v>
      </c>
      <c r="O95" s="406"/>
      <c r="P95" s="414"/>
      <c r="Q95" s="1153" t="str">
        <f>IF(OR($O95=$M95,$O95=0,$O95=""),"","*CHECK!*")</f>
        <v/>
      </c>
      <c r="R95" s="782" t="s">
        <v>3932</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3092</v>
      </c>
      <c r="E97" s="79"/>
      <c r="H97" s="4373" t="s">
        <v>3695</v>
      </c>
      <c r="I97" s="4374"/>
      <c r="J97" s="1127" t="s">
        <v>3696</v>
      </c>
      <c r="M97" s="674">
        <v>3</v>
      </c>
      <c r="N97" s="128" t="s">
        <v>1838</v>
      </c>
      <c r="O97" s="680" t="e">
        <f>IF(AND(O98="Yes", O99="Yes"),$M$97,0)</f>
        <v>#REF!</v>
      </c>
      <c r="P97" s="680" t="e">
        <f>IF(AND(P98="Yes", P99="Yes"),$M$97,0)</f>
        <v>#REF!</v>
      </c>
    </row>
    <row r="98" spans="1:18" s="36" customFormat="1" ht="13.5" customHeight="1">
      <c r="A98" s="345"/>
      <c r="B98" s="1134" t="s">
        <v>1839</v>
      </c>
      <c r="C98" s="1125">
        <v>0.3</v>
      </c>
      <c r="D98" s="738" t="s">
        <v>3093</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3239</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22"/>
      <c r="B101" s="4123"/>
      <c r="C101" s="4123"/>
      <c r="D101" s="4123"/>
      <c r="E101" s="4123"/>
      <c r="F101" s="4123"/>
      <c r="G101" s="4123"/>
      <c r="H101" s="4123"/>
      <c r="I101" s="4123"/>
      <c r="J101" s="4123"/>
      <c r="K101" s="4123"/>
      <c r="L101" s="4123"/>
      <c r="M101" s="4123"/>
      <c r="N101" s="4123"/>
      <c r="O101" s="4123"/>
      <c r="P101" s="4124"/>
      <c r="Q101" s="353"/>
    </row>
    <row r="102" spans="1:18" ht="7.5" customHeight="1" thickBot="1"/>
    <row r="103" spans="1:18" s="36" customFormat="1" ht="13.5" customHeight="1" thickBot="1">
      <c r="A103" s="120" t="s">
        <v>1663</v>
      </c>
      <c r="B103" s="83" t="s">
        <v>3282</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5">
      <c r="A104" s="35"/>
      <c r="B104" s="241" t="s">
        <v>3171</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3204</v>
      </c>
      <c r="D105" s="26"/>
      <c r="N105" s="48"/>
      <c r="O105" s="705"/>
      <c r="P105" s="1674"/>
    </row>
    <row r="106" spans="1:18" s="70" customFormat="1" ht="12.75" customHeight="1">
      <c r="A106" s="107" t="s">
        <v>1836</v>
      </c>
      <c r="B106" s="141" t="s">
        <v>1732</v>
      </c>
      <c r="C106" s="4"/>
      <c r="D106" s="4"/>
      <c r="F106" s="243"/>
      <c r="H106" s="646" t="s">
        <v>2462</v>
      </c>
      <c r="I106" s="4393" t="s">
        <v>3919</v>
      </c>
      <c r="J106" s="4394"/>
      <c r="K106" s="4394"/>
      <c r="L106" s="4395"/>
      <c r="M106" s="457">
        <v>20</v>
      </c>
      <c r="N106" s="150" t="s">
        <v>1836</v>
      </c>
      <c r="O106" s="1675"/>
      <c r="P106" s="1676"/>
      <c r="Q106" s="1153"/>
      <c r="R106" s="782" t="s">
        <v>3932</v>
      </c>
    </row>
    <row r="107" spans="1:18" s="70" customFormat="1" ht="12.75" customHeight="1">
      <c r="A107" s="107" t="s">
        <v>1838</v>
      </c>
      <c r="B107" s="141" t="s">
        <v>3198</v>
      </c>
      <c r="D107" s="867"/>
      <c r="F107" s="1179"/>
      <c r="H107" s="646" t="s">
        <v>3252</v>
      </c>
      <c r="I107" s="4396"/>
      <c r="J107" s="4397"/>
      <c r="K107" s="4397"/>
      <c r="L107" s="4398"/>
      <c r="M107" s="878" t="s">
        <v>1163</v>
      </c>
      <c r="N107" s="48" t="s">
        <v>1838</v>
      </c>
      <c r="O107" s="1677"/>
      <c r="P107" s="1678"/>
      <c r="R107" s="782" t="s">
        <v>3932</v>
      </c>
    </row>
    <row r="108" spans="1:18" s="36" customFormat="1" ht="12.75" customHeight="1" thickBot="1">
      <c r="A108" s="35"/>
      <c r="B108" s="924" t="s">
        <v>3159</v>
      </c>
      <c r="C108" s="35"/>
      <c r="D108" s="41"/>
      <c r="E108" s="41"/>
      <c r="F108" s="41"/>
      <c r="G108" s="41"/>
      <c r="H108" s="29"/>
      <c r="I108" s="4399"/>
      <c r="J108" s="4400"/>
      <c r="K108" s="4400"/>
      <c r="L108" s="4401"/>
      <c r="M108" s="39"/>
      <c r="N108" s="47"/>
      <c r="O108" s="3"/>
      <c r="P108" s="24"/>
    </row>
    <row r="109" spans="1:18" s="36" customFormat="1" ht="90" customHeight="1" thickTop="1" thickBot="1">
      <c r="A109" s="4350"/>
      <c r="B109" s="4351"/>
      <c r="C109" s="4351"/>
      <c r="D109" s="4351"/>
      <c r="E109" s="4351"/>
      <c r="F109" s="4351"/>
      <c r="G109" s="4351"/>
      <c r="H109" s="4351"/>
      <c r="I109" s="4351"/>
      <c r="J109" s="4351"/>
      <c r="K109" s="4351"/>
      <c r="L109" s="4351"/>
      <c r="M109" s="4351"/>
      <c r="N109" s="4351"/>
      <c r="O109" s="4351"/>
      <c r="P109" s="4352"/>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22"/>
      <c r="B111" s="4123"/>
      <c r="C111" s="4123"/>
      <c r="D111" s="4123"/>
      <c r="E111" s="4123"/>
      <c r="F111" s="4123"/>
      <c r="G111" s="4123"/>
      <c r="H111" s="4123"/>
      <c r="I111" s="4123"/>
      <c r="J111" s="4123"/>
      <c r="K111" s="4123"/>
      <c r="L111" s="4123"/>
      <c r="M111" s="4123"/>
      <c r="N111" s="4123"/>
      <c r="O111" s="4123"/>
      <c r="P111" s="4124"/>
      <c r="Q111" s="353"/>
      <c r="R111" s="354"/>
    </row>
    <row r="112" spans="1:18" ht="7.5" customHeight="1" thickBot="1">
      <c r="M112" s="26"/>
      <c r="N112" s="39"/>
      <c r="O112" s="119"/>
      <c r="P112" s="119"/>
    </row>
    <row r="113" spans="1:21" s="36" customFormat="1" ht="13.5" customHeight="1" thickBot="1">
      <c r="A113" s="120" t="s">
        <v>495</v>
      </c>
      <c r="B113" s="83" t="s">
        <v>2407</v>
      </c>
      <c r="D113" s="34"/>
      <c r="H113" s="1461" t="s">
        <v>4049</v>
      </c>
      <c r="I113" s="1535" t="s">
        <v>4045</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3240</v>
      </c>
      <c r="D114" s="34"/>
      <c r="H114" s="141"/>
      <c r="L114" s="1840" t="str">
        <f>IF(AND(O113&gt;0,NOT($M$55="New Supply")), "Ineligible to score in this section, not New Supply!","")</f>
        <v/>
      </c>
      <c r="M114" s="119"/>
      <c r="N114" s="48"/>
      <c r="O114" s="779" t="s">
        <v>3066</v>
      </c>
      <c r="P114" s="779" t="s">
        <v>3067</v>
      </c>
      <c r="Q114" s="86"/>
      <c r="R114" s="866"/>
      <c r="S114" s="866"/>
      <c r="T114" s="866"/>
      <c r="U114" s="866"/>
    </row>
    <row r="115" spans="1:21" s="36" customFormat="1" ht="11.25" customHeight="1">
      <c r="A115" s="120"/>
      <c r="B115" s="306" t="s">
        <v>1839</v>
      </c>
      <c r="C115" s="29" t="s">
        <v>3698</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3699</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4051</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4467</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4468</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4471</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3241</v>
      </c>
      <c r="D123" s="34"/>
      <c r="F123" s="4455" t="s">
        <v>3132</v>
      </c>
      <c r="G123" s="4455"/>
      <c r="H123" s="4455"/>
      <c r="I123" s="4455"/>
      <c r="J123" s="4455" t="s">
        <v>3133</v>
      </c>
      <c r="K123" s="4455"/>
      <c r="L123" s="4455"/>
      <c r="M123" s="4455"/>
      <c r="N123" s="48"/>
      <c r="O123" s="4456" t="s">
        <v>3764</v>
      </c>
      <c r="P123" s="4457"/>
      <c r="Q123" s="86"/>
      <c r="R123" s="866"/>
      <c r="S123" s="866"/>
      <c r="T123" s="866"/>
      <c r="U123" s="866"/>
    </row>
    <row r="124" spans="1:21" s="36" customFormat="1" ht="12" customHeight="1">
      <c r="B124" s="1749"/>
      <c r="C124" s="1123" t="s">
        <v>4470</v>
      </c>
      <c r="E124" s="223"/>
      <c r="F124" s="4406"/>
      <c r="G124" s="4407"/>
      <c r="H124" s="4371"/>
      <c r="I124" s="4372"/>
      <c r="J124" s="4406"/>
      <c r="K124" s="4407"/>
      <c r="L124" s="4371"/>
      <c r="M124" s="4372"/>
      <c r="N124" s="48"/>
      <c r="Q124" s="86"/>
      <c r="R124" s="866"/>
      <c r="S124" s="866"/>
      <c r="T124" s="866"/>
      <c r="U124" s="866"/>
    </row>
    <row r="125" spans="1:21" s="36" customFormat="1" ht="12" customHeight="1">
      <c r="A125" s="1749"/>
      <c r="B125" s="1749"/>
      <c r="C125" s="1749"/>
      <c r="D125" s="236"/>
      <c r="E125" s="1748" t="s">
        <v>4052</v>
      </c>
      <c r="F125" s="4573"/>
      <c r="G125" s="4574"/>
      <c r="H125" s="4580"/>
      <c r="I125" s="4581"/>
      <c r="J125" s="4573"/>
      <c r="K125" s="4574"/>
      <c r="L125" s="4580"/>
      <c r="M125" s="4581"/>
      <c r="N125" s="48"/>
      <c r="O125" s="1229"/>
      <c r="P125" s="903"/>
      <c r="Q125" s="86"/>
      <c r="R125" s="866"/>
      <c r="S125" s="866"/>
      <c r="T125" s="866"/>
      <c r="U125" s="866"/>
    </row>
    <row r="126" spans="1:21" s="36" customFormat="1" ht="12" customHeight="1">
      <c r="A126" s="4586" t="s">
        <v>4578</v>
      </c>
      <c r="B126" s="4586"/>
      <c r="C126" s="1123" t="s">
        <v>4469</v>
      </c>
      <c r="E126" s="223"/>
      <c r="F126" s="4575"/>
      <c r="G126" s="4576"/>
      <c r="H126" s="4591"/>
      <c r="I126" s="4592"/>
      <c r="J126" s="4575"/>
      <c r="K126" s="4576"/>
      <c r="L126" s="4591"/>
      <c r="M126" s="4592"/>
      <c r="N126" s="48"/>
      <c r="O126" s="48"/>
      <c r="P126" s="48"/>
      <c r="Q126" s="86"/>
      <c r="R126" s="866"/>
      <c r="S126" s="866"/>
      <c r="T126" s="866"/>
      <c r="U126" s="866"/>
    </row>
    <row r="127" spans="1:21" s="36" customFormat="1" ht="12" customHeight="1">
      <c r="A127" s="4586"/>
      <c r="B127" s="4586"/>
      <c r="C127" s="236"/>
      <c r="D127" s="236"/>
      <c r="E127" s="1748" t="s">
        <v>3280</v>
      </c>
      <c r="F127" s="4452"/>
      <c r="G127" s="4453"/>
      <c r="H127" s="4578"/>
      <c r="I127" s="4579"/>
      <c r="J127" s="4452"/>
      <c r="K127" s="4453"/>
      <c r="L127" s="4578"/>
      <c r="M127" s="4579"/>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5" customHeight="1">
      <c r="A129" s="1836" t="s">
        <v>4601</v>
      </c>
      <c r="B129" s="83"/>
      <c r="D129" s="34"/>
      <c r="I129" s="4582" t="str">
        <f>IF(AND(O131&gt;0,O138&gt;0),"Pick A or B, not both!","")</f>
        <v/>
      </c>
      <c r="J129" s="4582"/>
      <c r="K129" s="4582" t="str">
        <f>IF(AND(P131&gt;0,P138&gt;0),"Pick A or B, not both!","")</f>
        <v/>
      </c>
      <c r="L129" s="4582"/>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5" customHeight="1">
      <c r="A131" s="112" t="s">
        <v>1836</v>
      </c>
      <c r="B131" s="141" t="s">
        <v>3156</v>
      </c>
      <c r="D131" s="34"/>
      <c r="F131" s="924" t="s">
        <v>4582</v>
      </c>
      <c r="M131" s="119">
        <v>6</v>
      </c>
      <c r="N131" s="316" t="s">
        <v>1836</v>
      </c>
      <c r="O131" s="1527">
        <f>IF(OR($J$113="Atlanta Metro",$J$113="Other Metro"),MIN($M131,O133+O134),0)</f>
        <v>0</v>
      </c>
      <c r="P131" s="1527">
        <f>IF(OR($J$113="Atlanta Metro",$J$113="Other Metro"),MIN($M131,P133+P134),0)</f>
        <v>0</v>
      </c>
      <c r="Q131" s="86"/>
    </row>
    <row r="132" spans="1:21" s="36" customFormat="1" ht="12.65" customHeight="1">
      <c r="A132" s="112"/>
      <c r="B132" s="29" t="s">
        <v>4053</v>
      </c>
      <c r="D132" s="34"/>
      <c r="F132" s="38"/>
      <c r="M132" s="119"/>
      <c r="N132" s="316"/>
      <c r="O132" s="176"/>
      <c r="P132" s="420"/>
      <c r="Q132" s="86"/>
    </row>
    <row r="133" spans="1:21" s="331" customFormat="1" ht="25.5" customHeight="1">
      <c r="B133" s="349" t="s">
        <v>1839</v>
      </c>
      <c r="C133" s="4454" t="s">
        <v>4576</v>
      </c>
      <c r="D133" s="4454"/>
      <c r="E133" s="4454"/>
      <c r="F133" s="4454"/>
      <c r="G133" s="4454"/>
      <c r="H133" s="4454"/>
      <c r="I133" s="4454"/>
      <c r="J133" s="4454"/>
      <c r="K133" s="4454"/>
      <c r="L133" s="4454"/>
      <c r="M133" s="1758">
        <v>6</v>
      </c>
      <c r="N133" s="373" t="s">
        <v>1839</v>
      </c>
      <c r="O133" s="1820"/>
      <c r="P133" s="1821"/>
      <c r="Q133" s="1153"/>
      <c r="R133" s="782" t="s">
        <v>3932</v>
      </c>
    </row>
    <row r="134" spans="1:21" s="331" customFormat="1" ht="12" customHeight="1">
      <c r="A134" s="455" t="s">
        <v>1273</v>
      </c>
      <c r="B134" s="349" t="s">
        <v>1841</v>
      </c>
      <c r="C134" s="3516" t="s">
        <v>4577</v>
      </c>
      <c r="D134" s="3516"/>
      <c r="E134" s="3516"/>
      <c r="F134" s="3516"/>
      <c r="G134" s="853"/>
      <c r="J134" s="4458" t="s">
        <v>4573</v>
      </c>
      <c r="K134" s="4459"/>
      <c r="L134" s="4460"/>
      <c r="M134" s="457">
        <v>5</v>
      </c>
      <c r="N134" s="347" t="s">
        <v>1841</v>
      </c>
      <c r="O134" s="1833"/>
      <c r="P134" s="1834"/>
      <c r="Q134" s="1720" t="s">
        <v>4569</v>
      </c>
      <c r="R134" s="1117" t="s">
        <v>4165</v>
      </c>
      <c r="S134" s="1117" t="s">
        <v>4050</v>
      </c>
    </row>
    <row r="135" spans="1:21" s="331" customFormat="1" ht="12" customHeight="1">
      <c r="B135" s="349"/>
      <c r="C135" s="3516"/>
      <c r="D135" s="3516"/>
      <c r="E135" s="3516"/>
      <c r="F135" s="3516"/>
      <c r="G135" s="853"/>
      <c r="H135" s="3354" t="s">
        <v>4571</v>
      </c>
      <c r="I135" s="3354"/>
      <c r="J135" s="4461"/>
      <c r="K135" s="4462"/>
      <c r="L135" s="4463"/>
      <c r="M135" s="4176" t="str">
        <f>IF(AND(O134&gt;0,O133&gt;0),"Pick A1 or A2!","")</f>
        <v/>
      </c>
      <c r="N135" s="4176"/>
      <c r="O135" s="4176"/>
      <c r="P135" s="4176"/>
      <c r="Q135" s="785"/>
      <c r="R135" s="1464">
        <v>0.25</v>
      </c>
      <c r="S135" s="1464">
        <v>5</v>
      </c>
    </row>
    <row r="136" spans="1:21" s="331" customFormat="1" ht="12" customHeight="1">
      <c r="B136" s="349"/>
      <c r="C136" s="3516"/>
      <c r="D136" s="3516"/>
      <c r="E136" s="3516"/>
      <c r="F136" s="3516"/>
      <c r="G136" s="853"/>
      <c r="H136" s="1679"/>
      <c r="I136" s="1814"/>
      <c r="J136" s="4461"/>
      <c r="K136" s="4462"/>
      <c r="L136" s="4463"/>
      <c r="Q136" s="785"/>
      <c r="R136" s="1464">
        <v>0.5</v>
      </c>
      <c r="S136" s="1464">
        <v>4.5</v>
      </c>
    </row>
    <row r="137" spans="1:21" s="331" customFormat="1" ht="12" customHeight="1">
      <c r="B137" s="349"/>
      <c r="C137" s="3516"/>
      <c r="D137" s="3516"/>
      <c r="E137" s="3516"/>
      <c r="F137" s="3516"/>
      <c r="G137" s="853"/>
      <c r="J137" s="4461"/>
      <c r="K137" s="4462"/>
      <c r="L137" s="4463"/>
      <c r="M137" s="70"/>
      <c r="N137" s="70"/>
      <c r="O137" s="70"/>
      <c r="P137" s="70"/>
      <c r="Q137" s="396"/>
      <c r="R137" s="1465">
        <v>1</v>
      </c>
      <c r="S137" s="1465">
        <v>4</v>
      </c>
    </row>
    <row r="138" spans="1:21" s="331" customFormat="1" ht="12" customHeight="1">
      <c r="A138" s="112" t="s">
        <v>1838</v>
      </c>
      <c r="B138" s="884" t="s">
        <v>3157</v>
      </c>
      <c r="C138" s="502"/>
      <c r="D138" s="502"/>
      <c r="F138" s="1812" t="s">
        <v>4568</v>
      </c>
      <c r="J138" s="4383" t="s">
        <v>3154</v>
      </c>
      <c r="K138" s="4384"/>
      <c r="L138" s="1747" t="s">
        <v>3155</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4570</v>
      </c>
      <c r="R138" s="1815">
        <v>0.25</v>
      </c>
      <c r="S138" s="1815">
        <v>3</v>
      </c>
    </row>
    <row r="139" spans="1:21" s="36" customFormat="1" ht="12" customHeight="1">
      <c r="A139" s="120"/>
      <c r="B139" s="1544" t="s">
        <v>1839</v>
      </c>
      <c r="C139" s="3516" t="s">
        <v>4583</v>
      </c>
      <c r="D139" s="3516"/>
      <c r="E139" s="3516"/>
      <c r="F139" s="3516"/>
      <c r="G139" s="853"/>
      <c r="H139" s="3354" t="s">
        <v>4572</v>
      </c>
      <c r="I139" s="3354"/>
      <c r="J139" s="4385" t="s">
        <v>4588</v>
      </c>
      <c r="K139" s="4386"/>
      <c r="L139" s="4387"/>
      <c r="M139" s="457">
        <v>3</v>
      </c>
      <c r="N139" s="347" t="s">
        <v>1839</v>
      </c>
      <c r="O139" s="4621"/>
      <c r="P139" s="4624"/>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608" t="s">
        <v>4465</v>
      </c>
      <c r="K140" s="4609"/>
      <c r="L140" s="4610"/>
      <c r="M140" s="70"/>
      <c r="O140" s="4622"/>
      <c r="P140" s="4625"/>
      <c r="Q140" s="86"/>
      <c r="R140" s="1465">
        <v>1</v>
      </c>
      <c r="S140" s="1465">
        <v>1</v>
      </c>
      <c r="U140" s="331"/>
    </row>
    <row r="141" spans="1:21" s="36" customFormat="1" ht="11.25" customHeight="1">
      <c r="A141" s="455" t="s">
        <v>1273</v>
      </c>
      <c r="B141" s="1544" t="s">
        <v>1841</v>
      </c>
      <c r="C141" s="3516" t="s">
        <v>4575</v>
      </c>
      <c r="D141" s="3516"/>
      <c r="E141" s="3516"/>
      <c r="F141" s="3516"/>
      <c r="G141" s="3516"/>
      <c r="H141" s="3516"/>
      <c r="I141" s="1813"/>
      <c r="J141" s="4611"/>
      <c r="K141" s="4612"/>
      <c r="L141" s="4613"/>
      <c r="M141" s="457">
        <v>1</v>
      </c>
      <c r="N141" s="347" t="s">
        <v>1841</v>
      </c>
      <c r="O141" s="4408"/>
      <c r="P141" s="4585"/>
      <c r="U141" s="331"/>
    </row>
    <row r="142" spans="1:21" s="36" customFormat="1" ht="11.25" customHeight="1">
      <c r="B142" s="1816"/>
      <c r="C142" s="3516"/>
      <c r="D142" s="3516"/>
      <c r="E142" s="3516"/>
      <c r="F142" s="3516"/>
      <c r="G142" s="3516"/>
      <c r="H142" s="3516"/>
      <c r="I142" s="1813"/>
      <c r="J142" s="4614"/>
      <c r="K142" s="4615"/>
      <c r="L142" s="4616"/>
      <c r="O142" s="4408"/>
      <c r="P142" s="4585"/>
      <c r="T142" s="331"/>
      <c r="U142" s="331"/>
    </row>
    <row r="143" spans="1:21" s="331" customFormat="1" ht="12" customHeight="1">
      <c r="A143" s="1543" t="s">
        <v>1273</v>
      </c>
      <c r="B143" s="1544" t="s">
        <v>2326</v>
      </c>
      <c r="C143" s="3516" t="s">
        <v>4574</v>
      </c>
      <c r="D143" s="3516"/>
      <c r="E143" s="3516"/>
      <c r="F143" s="3516"/>
      <c r="G143" s="3516"/>
      <c r="H143" s="3516"/>
      <c r="I143" s="4620"/>
      <c r="J143" s="4608" t="s">
        <v>4466</v>
      </c>
      <c r="K143" s="4609"/>
      <c r="L143" s="4610"/>
      <c r="M143" s="1758">
        <v>2</v>
      </c>
      <c r="N143" s="373" t="s">
        <v>2326</v>
      </c>
      <c r="O143" s="4583"/>
      <c r="P143" s="4404"/>
      <c r="Q143" s="785"/>
      <c r="R143" s="782"/>
    </row>
    <row r="144" spans="1:21" s="36" customFormat="1" ht="36.75" customHeight="1">
      <c r="C144" s="3516"/>
      <c r="D144" s="3516"/>
      <c r="E144" s="3516"/>
      <c r="F144" s="3516"/>
      <c r="G144" s="3516"/>
      <c r="H144" s="3516"/>
      <c r="I144" s="4620"/>
      <c r="J144" s="4617"/>
      <c r="K144" s="4618"/>
      <c r="L144" s="4619"/>
      <c r="O144" s="4584"/>
      <c r="P144" s="4405"/>
    </row>
    <row r="145" spans="1:19" s="36" customFormat="1" ht="12.65" customHeight="1">
      <c r="A145" s="29" t="s">
        <v>3281</v>
      </c>
      <c r="B145" s="141"/>
      <c r="E145" s="34"/>
      <c r="K145" s="41"/>
      <c r="M145" s="53"/>
      <c r="N145" s="53"/>
      <c r="O145" s="53"/>
      <c r="P145" s="53"/>
      <c r="Q145" s="307"/>
      <c r="R145" s="307"/>
    </row>
    <row r="146" spans="1:19" s="36" customFormat="1" ht="11.25" customHeight="1" thickBot="1">
      <c r="A146" s="35"/>
      <c r="B146" s="924" t="s">
        <v>3159</v>
      </c>
      <c r="C146" s="35"/>
      <c r="D146" s="41"/>
      <c r="E146" s="41"/>
      <c r="F146" s="41"/>
      <c r="G146" s="41"/>
      <c r="H146" s="29"/>
      <c r="K146" s="41"/>
      <c r="M146" s="39"/>
      <c r="N146" s="47"/>
      <c r="O146" s="3"/>
      <c r="P146" s="24"/>
    </row>
    <row r="147" spans="1:19" s="36" customFormat="1" ht="29.25" customHeight="1" thickTop="1" thickBot="1">
      <c r="A147" s="4350"/>
      <c r="B147" s="4351"/>
      <c r="C147" s="4351"/>
      <c r="D147" s="4351"/>
      <c r="E147" s="4351"/>
      <c r="F147" s="4351"/>
      <c r="G147" s="4351"/>
      <c r="H147" s="4351"/>
      <c r="I147" s="4351"/>
      <c r="J147" s="4351"/>
      <c r="K147" s="4351"/>
      <c r="L147" s="4351"/>
      <c r="M147" s="4351"/>
      <c r="N147" s="4351"/>
      <c r="O147" s="4351"/>
      <c r="P147" s="4352"/>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22"/>
      <c r="B149" s="4123"/>
      <c r="C149" s="4123"/>
      <c r="D149" s="4123"/>
      <c r="E149" s="4123"/>
      <c r="F149" s="4123"/>
      <c r="G149" s="4123"/>
      <c r="H149" s="4123"/>
      <c r="I149" s="4123"/>
      <c r="J149" s="4123"/>
      <c r="K149" s="4123"/>
      <c r="L149" s="4123"/>
      <c r="M149" s="4123"/>
      <c r="N149" s="4123"/>
      <c r="O149" s="4123"/>
      <c r="P149" s="4124"/>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4054</v>
      </c>
      <c r="C152" s="874"/>
      <c r="D152" s="874"/>
      <c r="E152" s="874"/>
      <c r="G152" s="1463" t="s">
        <v>3700</v>
      </c>
      <c r="H152" s="854" t="str">
        <f>'Part VII-Threshold Criteria OLD'!$J$35</f>
        <v>&lt;&lt; Select PROPOSED Tenancy &gt;&gt;</v>
      </c>
      <c r="M152" s="119">
        <v>3</v>
      </c>
      <c r="N152" s="55"/>
      <c r="O152" s="1528"/>
      <c r="P152" s="1529"/>
      <c r="Q152" s="1153" t="str">
        <f>IF(OR($O152&lt;=$M152,$O152=0,$O152=""),"","*CHECK!*")</f>
        <v/>
      </c>
      <c r="R152" s="1531" t="s">
        <v>415</v>
      </c>
      <c r="S152" s="782" t="s">
        <v>3932</v>
      </c>
    </row>
    <row r="153" spans="1:19" ht="18.75" customHeight="1">
      <c r="C153" s="1457" t="s">
        <v>4619</v>
      </c>
      <c r="F153" s="1457"/>
      <c r="G153" s="1457"/>
      <c r="H153" s="1457"/>
      <c r="I153" s="1564"/>
      <c r="J153" s="1565"/>
      <c r="K153" s="1566"/>
      <c r="M153" s="36"/>
      <c r="N153"/>
      <c r="O153"/>
      <c r="P153" s="1873"/>
    </row>
    <row r="154" spans="1:19" ht="11.25" customHeight="1">
      <c r="C154" s="1457" t="s">
        <v>4618</v>
      </c>
      <c r="F154" s="1457"/>
      <c r="G154" s="1457"/>
      <c r="H154" s="1457"/>
      <c r="I154" s="1564"/>
      <c r="J154" s="4605" t="s">
        <v>4726</v>
      </c>
      <c r="K154" s="4606"/>
      <c r="L154" s="4606"/>
      <c r="M154" s="4607"/>
      <c r="N154"/>
      <c r="O154"/>
      <c r="P154"/>
    </row>
    <row r="155" spans="1:19" ht="12.75" customHeight="1">
      <c r="B155" s="429"/>
      <c r="C155" s="429"/>
      <c r="D155" s="429"/>
      <c r="F155" s="4119" t="s">
        <v>4527</v>
      </c>
      <c r="G155" s="4119"/>
      <c r="H155" s="4119" t="s">
        <v>4171</v>
      </c>
      <c r="I155" s="4119"/>
      <c r="J155" s="4593" t="s">
        <v>4528</v>
      </c>
      <c r="K155" s="4594"/>
      <c r="L155" s="4596" t="s">
        <v>4725</v>
      </c>
      <c r="M155" s="4597"/>
      <c r="N155" s="44"/>
      <c r="O155" s="1776"/>
      <c r="P155" s="1777"/>
    </row>
    <row r="156" spans="1:19" ht="30.75" customHeight="1">
      <c r="B156" s="429"/>
      <c r="C156" s="429"/>
      <c r="D156" s="429"/>
      <c r="F156" s="4119"/>
      <c r="G156" s="4119"/>
      <c r="H156" s="4119"/>
      <c r="I156" s="4119"/>
      <c r="J156" s="4595"/>
      <c r="K156" s="4594"/>
      <c r="L156" s="4119"/>
      <c r="M156" s="4598"/>
      <c r="N156" s="44"/>
      <c r="O156" s="1778"/>
      <c r="P156" s="1777"/>
    </row>
    <row r="157" spans="1:19" ht="12" customHeight="1">
      <c r="B157" s="81" t="s">
        <v>4529</v>
      </c>
      <c r="C157" s="876"/>
      <c r="D157" s="36"/>
      <c r="F157" s="4241"/>
      <c r="G157" s="4241"/>
      <c r="H157" s="4241"/>
      <c r="I157" s="4241"/>
      <c r="J157" s="4595"/>
      <c r="K157" s="4594"/>
      <c r="L157" s="4241"/>
      <c r="M157" s="4599"/>
      <c r="N157" s="44"/>
      <c r="O157" s="1778"/>
      <c r="P157" s="1777"/>
    </row>
    <row r="158" spans="1:19">
      <c r="B158" s="4600"/>
      <c r="C158" s="4601"/>
      <c r="D158" s="4601"/>
      <c r="E158" s="4602"/>
      <c r="F158" s="4600"/>
      <c r="G158" s="4602"/>
      <c r="H158" s="4600"/>
      <c r="I158" s="4602"/>
      <c r="J158" s="4603"/>
      <c r="K158" s="4604"/>
      <c r="L158" s="4603"/>
      <c r="M158" s="4604"/>
      <c r="N158" s="4642"/>
      <c r="O158" s="4643"/>
    </row>
    <row r="159" spans="1:19">
      <c r="B159" s="4433"/>
      <c r="C159" s="4434"/>
      <c r="D159" s="4434"/>
      <c r="E159" s="4435"/>
      <c r="F159" s="4433"/>
      <c r="G159" s="4435"/>
      <c r="H159" s="4433"/>
      <c r="I159" s="4435"/>
      <c r="J159" s="4587"/>
      <c r="K159" s="4588"/>
      <c r="L159" s="4587"/>
      <c r="M159" s="4588"/>
      <c r="N159" s="4464"/>
      <c r="O159" s="4465"/>
    </row>
    <row r="160" spans="1:19">
      <c r="B160" s="4433"/>
      <c r="C160" s="4434"/>
      <c r="D160" s="4434"/>
      <c r="E160" s="4435"/>
      <c r="F160" s="4433"/>
      <c r="G160" s="4435"/>
      <c r="H160" s="4433"/>
      <c r="I160" s="4435"/>
      <c r="J160" s="4587"/>
      <c r="K160" s="4588"/>
      <c r="L160" s="4587"/>
      <c r="M160" s="4588"/>
      <c r="N160" s="4464"/>
      <c r="O160" s="4465"/>
    </row>
    <row r="161" spans="1:26">
      <c r="B161" s="4433"/>
      <c r="C161" s="4434"/>
      <c r="D161" s="4434"/>
      <c r="E161" s="4435"/>
      <c r="F161" s="4433"/>
      <c r="G161" s="4435"/>
      <c r="H161" s="4433"/>
      <c r="I161" s="4435"/>
      <c r="J161" s="4587"/>
      <c r="K161" s="4588"/>
      <c r="L161" s="4587"/>
      <c r="M161" s="4588"/>
      <c r="N161" s="4464"/>
      <c r="O161" s="4465"/>
    </row>
    <row r="162" spans="1:26">
      <c r="B162" s="4433"/>
      <c r="C162" s="4434"/>
      <c r="D162" s="4434"/>
      <c r="E162" s="4435"/>
      <c r="F162" s="4433"/>
      <c r="G162" s="4435"/>
      <c r="H162" s="4433"/>
      <c r="I162" s="4435"/>
      <c r="J162" s="4587"/>
      <c r="K162" s="4588"/>
      <c r="L162" s="4587"/>
      <c r="M162" s="4588"/>
      <c r="N162" s="4464"/>
      <c r="O162" s="4465"/>
    </row>
    <row r="163" spans="1:26">
      <c r="B163" s="4635"/>
      <c r="C163" s="4636"/>
      <c r="D163" s="4636"/>
      <c r="E163" s="4637"/>
      <c r="F163" s="4635"/>
      <c r="G163" s="4637"/>
      <c r="H163" s="4635"/>
      <c r="I163" s="4637"/>
      <c r="J163" s="4638"/>
      <c r="K163" s="4639"/>
      <c r="L163" s="4638"/>
      <c r="M163" s="4639"/>
      <c r="N163" s="4640"/>
      <c r="O163" s="4641"/>
    </row>
    <row r="164" spans="1:26" s="36" customFormat="1" ht="10.5" customHeight="1" thickBot="1">
      <c r="A164" s="35"/>
      <c r="B164" s="924" t="s">
        <v>3159</v>
      </c>
      <c r="C164" s="35"/>
      <c r="D164" s="41"/>
      <c r="E164" s="41"/>
      <c r="F164" s="41"/>
      <c r="G164" s="41"/>
      <c r="H164" s="29"/>
      <c r="I164" s="29"/>
      <c r="J164" s="29"/>
      <c r="K164" s="29"/>
      <c r="M164" s="39"/>
      <c r="N164" s="47"/>
      <c r="O164" s="3"/>
      <c r="P164" s="24"/>
    </row>
    <row r="165" spans="1:26" s="36" customFormat="1" ht="21.75" customHeight="1" thickTop="1" thickBot="1">
      <c r="A165" s="4350"/>
      <c r="B165" s="4351"/>
      <c r="C165" s="4351"/>
      <c r="D165" s="4351"/>
      <c r="E165" s="4351"/>
      <c r="F165" s="4351"/>
      <c r="G165" s="4351"/>
      <c r="H165" s="4351"/>
      <c r="I165" s="4351"/>
      <c r="J165" s="4351"/>
      <c r="K165" s="4351"/>
      <c r="L165" s="4351"/>
      <c r="M165" s="4351"/>
      <c r="N165" s="4351"/>
      <c r="O165" s="4351"/>
      <c r="P165" s="4352"/>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50"/>
      <c r="B167" s="4151"/>
      <c r="C167" s="4151"/>
      <c r="D167" s="4151"/>
      <c r="E167" s="4151"/>
      <c r="F167" s="4151"/>
      <c r="G167" s="4151"/>
      <c r="H167" s="4151"/>
      <c r="I167" s="4151"/>
      <c r="J167" s="4151"/>
      <c r="K167" s="4151"/>
      <c r="L167" s="4151"/>
      <c r="M167" s="4151"/>
      <c r="N167" s="4151"/>
      <c r="O167" s="4151"/>
      <c r="P167" s="4152"/>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3254</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4078</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4170</v>
      </c>
      <c r="D172" s="141"/>
      <c r="E172" s="141"/>
      <c r="F172" s="141"/>
      <c r="G172" s="141"/>
      <c r="H172" s="141"/>
      <c r="I172" s="141"/>
      <c r="J172" s="141"/>
      <c r="K172" s="141"/>
      <c r="L172" s="141"/>
      <c r="M172" s="457">
        <v>2</v>
      </c>
      <c r="N172" s="128" t="s">
        <v>1611</v>
      </c>
      <c r="O172" s="1501"/>
      <c r="P172" s="1551"/>
      <c r="Q172" s="1153" t="str">
        <f>IF(OR($O172=$M172,$O172=0,$O172=""),"","*CHECK!*")</f>
        <v/>
      </c>
      <c r="R172" s="782" t="s">
        <v>3932</v>
      </c>
      <c r="S172" s="1540"/>
      <c r="T172" s="1540"/>
      <c r="U172" s="1540"/>
    </row>
    <row r="173" spans="1:26" s="317" customFormat="1" ht="12" customHeight="1">
      <c r="B173" s="128" t="s">
        <v>2234</v>
      </c>
      <c r="C173" s="4111" t="s">
        <v>4579</v>
      </c>
      <c r="D173" s="4111"/>
      <c r="E173" s="4111"/>
      <c r="F173" s="4111"/>
      <c r="G173" s="4111"/>
      <c r="H173" s="4111"/>
      <c r="I173" s="4111"/>
      <c r="J173" s="4111"/>
      <c r="K173" s="4111"/>
      <c r="L173" s="128"/>
      <c r="M173" s="4577" t="s">
        <v>3996</v>
      </c>
      <c r="N173" s="4577"/>
      <c r="O173" s="4577"/>
      <c r="P173" s="4577"/>
      <c r="S173" s="1540"/>
      <c r="T173" s="1540"/>
      <c r="U173" s="1540"/>
      <c r="V173" s="333"/>
      <c r="W173" s="333"/>
      <c r="X173" s="333"/>
      <c r="Y173" s="333"/>
      <c r="Z173" s="333"/>
    </row>
    <row r="174" spans="1:26" s="36" customFormat="1" ht="12.75" customHeight="1">
      <c r="A174" s="305"/>
      <c r="B174" s="49"/>
      <c r="C174" s="4111"/>
      <c r="D174" s="4111"/>
      <c r="E174" s="4111"/>
      <c r="F174" s="4111"/>
      <c r="G174" s="4111"/>
      <c r="H174" s="4111"/>
      <c r="I174" s="4111"/>
      <c r="J174" s="4111"/>
      <c r="K174" s="4111"/>
      <c r="L174" s="128" t="s">
        <v>2234</v>
      </c>
      <c r="M174" s="4569" t="s">
        <v>3205</v>
      </c>
      <c r="N174" s="4570"/>
      <c r="O174" s="4570"/>
      <c r="P174" s="4571"/>
      <c r="S174" s="1540"/>
      <c r="T174" s="1540"/>
      <c r="U174" s="1540"/>
    </row>
    <row r="175" spans="1:26" s="26" customFormat="1" ht="12.75" customHeight="1">
      <c r="B175" s="49" t="s">
        <v>2235</v>
      </c>
      <c r="C175" s="29" t="s">
        <v>3836</v>
      </c>
      <c r="D175" s="29"/>
      <c r="E175" s="29"/>
      <c r="F175" s="29"/>
      <c r="G175" s="29"/>
      <c r="H175" s="29"/>
      <c r="L175" s="49" t="s">
        <v>2235</v>
      </c>
      <c r="M175" s="4385" t="s">
        <v>3205</v>
      </c>
      <c r="N175" s="4386"/>
      <c r="O175" s="4386"/>
      <c r="P175" s="4387"/>
      <c r="S175" s="1540"/>
      <c r="T175" s="1540"/>
      <c r="U175" s="1540"/>
      <c r="V175" s="72"/>
      <c r="W175" s="72"/>
      <c r="X175" s="72"/>
      <c r="Y175" s="72"/>
      <c r="Z175" s="72"/>
    </row>
    <row r="176" spans="1:26" s="26" customFormat="1" ht="12.75" customHeight="1">
      <c r="B176" s="49" t="s">
        <v>2236</v>
      </c>
      <c r="C176" s="29" t="s">
        <v>4076</v>
      </c>
      <c r="D176" s="29"/>
      <c r="E176" s="29"/>
      <c r="F176" s="29"/>
      <c r="G176" s="29"/>
      <c r="H176" s="29"/>
      <c r="L176" s="49" t="s">
        <v>2236</v>
      </c>
      <c r="M176" s="4385" t="s">
        <v>3205</v>
      </c>
      <c r="N176" s="4386"/>
      <c r="O176" s="4386"/>
      <c r="P176" s="4387"/>
      <c r="Q176" s="1257">
        <f>IF(K176="Yes",1,0)</f>
        <v>0</v>
      </c>
      <c r="S176" s="1540"/>
      <c r="T176" s="1540"/>
      <c r="U176" s="1540"/>
      <c r="V176" s="1257" t="e">
        <f>IF(#REF!="Yes",1,0)</f>
        <v>#REF!</v>
      </c>
      <c r="W176" s="72"/>
      <c r="X176" s="72"/>
      <c r="Y176" s="72"/>
      <c r="Z176" s="72"/>
    </row>
    <row r="177" spans="1:26" s="26" customFormat="1" ht="12.75" customHeight="1">
      <c r="A177" s="48"/>
      <c r="B177" s="49" t="s">
        <v>2237</v>
      </c>
      <c r="C177" s="29" t="s">
        <v>4077</v>
      </c>
      <c r="D177" s="29"/>
      <c r="E177" s="29"/>
      <c r="F177" s="29"/>
      <c r="G177" s="29"/>
      <c r="L177" s="49" t="s">
        <v>2237</v>
      </c>
      <c r="M177" s="4524" t="s">
        <v>3205</v>
      </c>
      <c r="N177" s="4525"/>
      <c r="O177" s="4525"/>
      <c r="P177" s="4526"/>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4153</v>
      </c>
      <c r="D179" s="108"/>
      <c r="E179" s="108"/>
      <c r="F179" s="108"/>
      <c r="G179" s="108"/>
      <c r="H179" s="108"/>
      <c r="I179" s="108"/>
      <c r="K179" s="922"/>
      <c r="L179" s="922"/>
      <c r="R179" s="1540"/>
      <c r="S179" s="1540"/>
      <c r="T179" s="1540"/>
      <c r="U179" s="1540"/>
    </row>
    <row r="180" spans="1:26">
      <c r="A180" s="395"/>
      <c r="B180" s="128" t="s">
        <v>2234</v>
      </c>
      <c r="C180" s="4111" t="s">
        <v>4080</v>
      </c>
      <c r="D180" s="4111"/>
      <c r="E180" s="4111"/>
      <c r="F180" s="4111"/>
      <c r="G180" s="4111"/>
      <c r="H180" s="4111"/>
      <c r="I180" s="4111"/>
      <c r="J180" s="4111"/>
      <c r="K180" s="4111"/>
      <c r="L180" s="4111"/>
      <c r="M180" s="1758">
        <v>1</v>
      </c>
      <c r="N180" s="128" t="s">
        <v>3950</v>
      </c>
      <c r="O180" s="1548"/>
      <c r="P180" s="1552"/>
      <c r="Q180" s="1153" t="str">
        <f>IF(OR($O180=$M180,$O180=0,$O180=""),"","*CHECK!*")</f>
        <v/>
      </c>
      <c r="R180" s="782" t="s">
        <v>3932</v>
      </c>
    </row>
    <row r="181" spans="1:26" ht="36.75" customHeight="1">
      <c r="A181" s="395"/>
      <c r="B181" s="117" t="s">
        <v>2235</v>
      </c>
      <c r="C181" s="4111" t="s">
        <v>4081</v>
      </c>
      <c r="D181" s="4111"/>
      <c r="E181" s="4111"/>
      <c r="F181" s="4111"/>
      <c r="G181" s="4111"/>
      <c r="H181" s="4111"/>
      <c r="I181" s="4111"/>
      <c r="J181" s="4111"/>
      <c r="K181" s="4111"/>
      <c r="L181" s="4111"/>
      <c r="M181" s="1758">
        <v>1</v>
      </c>
      <c r="N181" s="128" t="s">
        <v>4162</v>
      </c>
      <c r="O181" s="1569"/>
      <c r="P181" s="1570"/>
      <c r="Q181" s="1153" t="str">
        <f>IF(OR($O181=$M181,$O181=0,$O181=""),"","*CHECK!*")</f>
        <v/>
      </c>
      <c r="R181" s="782" t="s">
        <v>3932</v>
      </c>
    </row>
    <row r="182" spans="1:26" ht="12" customHeight="1">
      <c r="A182" s="395"/>
      <c r="B182" s="1519" t="s">
        <v>2236</v>
      </c>
      <c r="C182" s="44" t="s">
        <v>4164</v>
      </c>
      <c r="D182" s="100"/>
      <c r="E182" s="100"/>
      <c r="F182" s="100"/>
      <c r="G182" s="100"/>
      <c r="H182" s="100"/>
      <c r="I182" s="100"/>
      <c r="J182" s="100"/>
      <c r="K182" s="100"/>
      <c r="L182" s="100"/>
      <c r="M182" s="457">
        <v>1</v>
      </c>
      <c r="N182" s="48" t="s">
        <v>4163</v>
      </c>
      <c r="O182" s="1549"/>
      <c r="P182" s="1553"/>
      <c r="Q182" s="1153" t="str">
        <f>IF(OR($O182=$M182,$O182=0,$O182=""),"","*CHECK!*")</f>
        <v/>
      </c>
      <c r="R182" s="782" t="s">
        <v>3932</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3701</v>
      </c>
      <c r="D184" s="26"/>
      <c r="F184" s="1130"/>
      <c r="K184" s="902"/>
      <c r="L184" s="307" t="str">
        <f>IF(OR($O184=$M184,$O184=0,$O184=1,$O184=""),"","* * Check Score! * *")</f>
        <v/>
      </c>
      <c r="M184" s="457">
        <v>2</v>
      </c>
      <c r="N184" s="48" t="s">
        <v>1838</v>
      </c>
      <c r="O184" s="458"/>
      <c r="P184" s="652"/>
      <c r="Q184" s="785" t="str">
        <f>IF(OR($O184=$M184,$O184=0,$O184=""),"","*CHECK!*")</f>
        <v/>
      </c>
      <c r="R184" s="782" t="s">
        <v>3932</v>
      </c>
    </row>
    <row r="185" spans="1:26" s="70" customFormat="1" ht="10.5" customHeight="1" thickBot="1">
      <c r="A185" s="35"/>
      <c r="B185" s="924" t="s">
        <v>3159</v>
      </c>
      <c r="C185" s="35"/>
      <c r="D185" s="41"/>
      <c r="E185" s="41"/>
      <c r="F185" s="41"/>
      <c r="G185" s="41"/>
      <c r="H185" s="29"/>
      <c r="I185" s="29"/>
      <c r="J185" s="29"/>
      <c r="K185" s="29"/>
      <c r="M185" s="39"/>
      <c r="N185" s="5"/>
      <c r="O185" s="3"/>
      <c r="P185" s="119"/>
    </row>
    <row r="186" spans="1:26" s="36" customFormat="1" ht="21.75" customHeight="1" thickTop="1" thickBot="1">
      <c r="A186" s="4350"/>
      <c r="B186" s="4351"/>
      <c r="C186" s="4351"/>
      <c r="D186" s="4351"/>
      <c r="E186" s="4351"/>
      <c r="F186" s="4351"/>
      <c r="G186" s="4351"/>
      <c r="H186" s="4351"/>
      <c r="I186" s="4351"/>
      <c r="J186" s="4351"/>
      <c r="K186" s="4351"/>
      <c r="L186" s="4351"/>
      <c r="M186" s="4351"/>
      <c r="N186" s="4351"/>
      <c r="O186" s="4351"/>
      <c r="P186" s="4352"/>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50"/>
      <c r="B188" s="4151"/>
      <c r="C188" s="4151"/>
      <c r="D188" s="4151"/>
      <c r="E188" s="4151"/>
      <c r="F188" s="4151"/>
      <c r="G188" s="4151"/>
      <c r="H188" s="4151"/>
      <c r="I188" s="4151"/>
      <c r="J188" s="4151"/>
      <c r="K188" s="4151"/>
      <c r="L188" s="4151"/>
      <c r="M188" s="4151"/>
      <c r="N188" s="4151"/>
      <c r="O188" s="4151"/>
      <c r="P188" s="4152"/>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3255</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3556</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4154</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4112</v>
      </c>
      <c r="D193" s="26"/>
      <c r="G193" s="369"/>
      <c r="N193"/>
      <c r="O193" s="31"/>
      <c r="P193" s="31"/>
      <c r="Q193" s="241"/>
    </row>
    <row r="194" spans="1:24" s="1260" customFormat="1" ht="12.75" customHeight="1">
      <c r="B194" s="349" t="s">
        <v>1839</v>
      </c>
      <c r="C194" s="4111" t="s">
        <v>4109</v>
      </c>
      <c r="D194" s="4111"/>
      <c r="E194" s="4111"/>
      <c r="F194" s="4111"/>
      <c r="G194" s="4111"/>
      <c r="H194" s="4111"/>
      <c r="I194" s="4111"/>
      <c r="J194" s="4111"/>
      <c r="K194" s="4111"/>
      <c r="L194" s="4111"/>
      <c r="M194" s="871" t="s">
        <v>697</v>
      </c>
      <c r="N194" s="316" t="s">
        <v>1839</v>
      </c>
      <c r="O194" s="881"/>
      <c r="P194" s="880"/>
      <c r="Q194" s="934"/>
      <c r="V194" s="1511"/>
      <c r="W194" s="1511"/>
    </row>
    <row r="195" spans="1:24" s="26" customFormat="1" ht="12.75" customHeight="1">
      <c r="A195" s="395"/>
      <c r="B195" s="349" t="s">
        <v>1841</v>
      </c>
      <c r="C195" s="33" t="s">
        <v>4110</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11" t="s">
        <v>4113</v>
      </c>
      <c r="D196" s="4111"/>
      <c r="E196" s="4111"/>
      <c r="F196" s="4111"/>
      <c r="G196" s="4111"/>
      <c r="H196" s="4111"/>
      <c r="I196" s="4111"/>
      <c r="J196" s="4111"/>
      <c r="K196" s="4111"/>
      <c r="L196" s="4111"/>
      <c r="M196" s="456"/>
      <c r="N196" s="316" t="s">
        <v>2326</v>
      </c>
      <c r="O196" s="883"/>
      <c r="P196" s="882"/>
      <c r="Q196" s="787"/>
      <c r="V196" s="929"/>
      <c r="W196" s="929"/>
    </row>
    <row r="197" spans="1:24" ht="11.65" customHeight="1">
      <c r="A197" s="107" t="s">
        <v>1957</v>
      </c>
      <c r="B197" s="141" t="s">
        <v>4111</v>
      </c>
      <c r="D197" s="26"/>
      <c r="G197" s="369"/>
      <c r="N197"/>
      <c r="O197" s="31"/>
      <c r="P197" s="31"/>
      <c r="Q197" s="241"/>
    </row>
    <row r="198" spans="1:24" s="1260" customFormat="1" ht="23.25" customHeight="1">
      <c r="B198" s="349" t="s">
        <v>1839</v>
      </c>
      <c r="C198" s="4111" t="s">
        <v>4114</v>
      </c>
      <c r="D198" s="4111"/>
      <c r="E198" s="4111"/>
      <c r="F198" s="4111"/>
      <c r="G198" s="4111"/>
      <c r="H198" s="4111"/>
      <c r="I198" s="4111"/>
      <c r="J198" s="4111"/>
      <c r="K198" s="4111"/>
      <c r="L198" s="4111"/>
      <c r="M198" s="871" t="s">
        <v>1957</v>
      </c>
      <c r="N198" s="316" t="s">
        <v>1839</v>
      </c>
      <c r="O198" s="881"/>
      <c r="P198" s="880"/>
      <c r="Q198" s="934"/>
      <c r="V198" s="1511"/>
      <c r="W198" s="1511"/>
    </row>
    <row r="199" spans="1:24" s="26" customFormat="1" ht="23.25" customHeight="1">
      <c r="A199" s="395"/>
      <c r="B199" s="349" t="s">
        <v>1841</v>
      </c>
      <c r="C199" s="4111" t="s">
        <v>4155</v>
      </c>
      <c r="D199" s="4111"/>
      <c r="E199" s="4111"/>
      <c r="F199" s="4111"/>
      <c r="G199" s="4111"/>
      <c r="H199" s="4111"/>
      <c r="I199" s="4111"/>
      <c r="J199" s="4111"/>
      <c r="K199" s="4111"/>
      <c r="L199" s="4111"/>
      <c r="M199" s="103"/>
      <c r="N199" s="316" t="s">
        <v>1841</v>
      </c>
      <c r="O199" s="883"/>
      <c r="P199" s="882"/>
      <c r="Q199" s="787"/>
      <c r="V199" s="929"/>
      <c r="W199" s="929"/>
    </row>
    <row r="200" spans="1:24" s="36" customFormat="1" ht="12" customHeight="1" thickBot="1">
      <c r="A200" s="35"/>
      <c r="B200" s="924" t="s">
        <v>3159</v>
      </c>
      <c r="C200" s="35"/>
      <c r="D200" s="41"/>
      <c r="E200" s="41"/>
      <c r="F200" s="41"/>
      <c r="G200" s="41"/>
      <c r="H200" s="29"/>
      <c r="I200" s="29"/>
      <c r="M200" s="39"/>
      <c r="N200" s="47"/>
      <c r="O200" s="3"/>
      <c r="P200" s="24"/>
    </row>
    <row r="201" spans="1:24" s="36" customFormat="1" ht="45.65" customHeight="1" thickTop="1" thickBot="1">
      <c r="A201" s="4503"/>
      <c r="B201" s="4504"/>
      <c r="C201" s="4504"/>
      <c r="D201" s="4504"/>
      <c r="E201" s="4504"/>
      <c r="F201" s="4504"/>
      <c r="G201" s="4504"/>
      <c r="H201" s="4504"/>
      <c r="I201" s="4504"/>
      <c r="J201" s="4504"/>
      <c r="K201" s="4504"/>
      <c r="L201" s="4504"/>
      <c r="M201" s="4504"/>
      <c r="N201" s="4504"/>
      <c r="O201" s="4504"/>
      <c r="P201" s="4505"/>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409"/>
      <c r="B203" s="4410"/>
      <c r="C203" s="4410"/>
      <c r="D203" s="4410"/>
      <c r="E203" s="4410"/>
      <c r="F203" s="4410"/>
      <c r="G203" s="4410"/>
      <c r="H203" s="4410"/>
      <c r="I203" s="4410"/>
      <c r="J203" s="4410"/>
      <c r="K203" s="4410"/>
      <c r="L203" s="4410"/>
      <c r="M203" s="4410"/>
      <c r="N203" s="4410"/>
      <c r="O203" s="4410"/>
      <c r="P203" s="4411"/>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3702</v>
      </c>
      <c r="D207" s="38"/>
      <c r="E207" s="38"/>
      <c r="K207" s="1258"/>
      <c r="M207" s="457">
        <v>5</v>
      </c>
      <c r="N207" s="48" t="s">
        <v>1836</v>
      </c>
      <c r="O207" s="458"/>
      <c r="P207" s="652"/>
      <c r="Q207" s="1153" t="str">
        <f>IF(O207&lt;=M207,"","*CHECK!*")</f>
        <v/>
      </c>
      <c r="R207" s="782" t="s">
        <v>3932</v>
      </c>
      <c r="S207" s="1542"/>
      <c r="T207" s="1542"/>
      <c r="U207" s="1542"/>
    </row>
    <row r="208" spans="1:24" ht="12.75" customHeight="1">
      <c r="B208" s="1512"/>
      <c r="C208" s="29" t="s">
        <v>4156</v>
      </c>
      <c r="D208" s="70"/>
      <c r="E208" s="38"/>
      <c r="F208" s="38"/>
      <c r="G208" s="70"/>
      <c r="H208" s="70"/>
      <c r="I208" s="70"/>
      <c r="J208" s="4548" t="s">
        <v>3121</v>
      </c>
      <c r="K208" s="4549"/>
      <c r="L208" s="4550"/>
      <c r="M208" s="4551"/>
      <c r="N208" s="53"/>
      <c r="R208" s="86"/>
      <c r="S208" s="70"/>
    </row>
    <row r="209" spans="1:27" ht="12.75" customHeight="1">
      <c r="C209" s="673" t="s">
        <v>4157</v>
      </c>
      <c r="D209" s="44"/>
      <c r="J209" s="4521"/>
      <c r="K209" s="4522"/>
      <c r="L209" s="4522"/>
      <c r="M209" s="4523"/>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4115</v>
      </c>
      <c r="C211" s="29"/>
      <c r="K211" s="48"/>
      <c r="L211" s="48"/>
      <c r="M211" s="457">
        <v>5</v>
      </c>
      <c r="N211" s="48" t="s">
        <v>1838</v>
      </c>
      <c r="O211" s="458"/>
      <c r="P211" s="652"/>
      <c r="Q211" s="1153" t="str">
        <f>IF(O211&lt;=M211,"","*CHECK!*")</f>
        <v/>
      </c>
      <c r="R211" s="782" t="s">
        <v>3932</v>
      </c>
      <c r="S211" s="1542"/>
      <c r="T211" s="1542"/>
      <c r="U211" s="1542"/>
    </row>
    <row r="212" spans="1:27">
      <c r="C212" s="1550" t="s">
        <v>4121</v>
      </c>
      <c r="E212" s="4353" t="s">
        <v>4120</v>
      </c>
      <c r="F212" s="4353"/>
      <c r="G212" s="4353"/>
      <c r="H212" s="4353"/>
      <c r="I212" s="1144" t="s">
        <v>4147</v>
      </c>
      <c r="J212" s="4353" t="s">
        <v>4120</v>
      </c>
      <c r="K212" s="4353"/>
      <c r="L212" s="4353"/>
      <c r="M212" s="4353"/>
      <c r="N212"/>
      <c r="O212"/>
      <c r="P212"/>
    </row>
    <row r="213" spans="1:27" ht="13.5" customHeight="1">
      <c r="B213" s="399"/>
      <c r="C213" s="29" t="s">
        <v>4118</v>
      </c>
      <c r="E213" s="4354"/>
      <c r="F213" s="4355"/>
      <c r="G213" s="4355"/>
      <c r="H213" s="4356"/>
      <c r="I213" s="1779" t="s">
        <v>905</v>
      </c>
      <c r="J213" s="4518"/>
      <c r="K213" s="4519"/>
      <c r="L213" s="4519"/>
      <c r="M213" s="4520"/>
      <c r="N213"/>
      <c r="Q213" s="24"/>
      <c r="R213" s="24"/>
      <c r="S213" s="24"/>
      <c r="T213" s="24"/>
      <c r="U213" s="24"/>
      <c r="V213" s="24"/>
      <c r="W213" s="24"/>
      <c r="X213" s="24"/>
      <c r="Y213" s="24"/>
      <c r="Z213" s="24"/>
      <c r="AA213" s="1780"/>
    </row>
    <row r="214" spans="1:27" ht="13.5" customHeight="1">
      <c r="C214" s="29" t="s">
        <v>4119</v>
      </c>
      <c r="E214" s="4466"/>
      <c r="F214" s="4467"/>
      <c r="G214" s="4467"/>
      <c r="H214" s="4468"/>
      <c r="I214" s="1818"/>
      <c r="J214" s="4347"/>
      <c r="K214" s="4348"/>
      <c r="L214" s="4348"/>
      <c r="M214" s="4349"/>
      <c r="N214" s="1153" t="str">
        <f>IF(P211&lt;=N211,"","*CHECK!*")</f>
        <v/>
      </c>
      <c r="Q214" s="24"/>
      <c r="R214" s="24"/>
      <c r="S214" s="24"/>
      <c r="T214" s="24"/>
      <c r="U214" s="24"/>
      <c r="V214" s="24"/>
      <c r="W214" s="24"/>
      <c r="X214" s="24"/>
      <c r="Y214" s="24"/>
      <c r="Z214" s="24"/>
      <c r="AA214" s="1780"/>
    </row>
    <row r="215" spans="1:27" ht="13.5" customHeight="1">
      <c r="B215" s="399"/>
      <c r="C215" s="29" t="s">
        <v>4116</v>
      </c>
      <c r="E215" s="4466"/>
      <c r="F215" s="4467"/>
      <c r="G215" s="4467"/>
      <c r="H215" s="4468"/>
      <c r="I215" s="1818"/>
      <c r="J215" s="4347"/>
      <c r="K215" s="4348"/>
      <c r="L215" s="4348"/>
      <c r="M215" s="4349"/>
      <c r="N215"/>
      <c r="Q215" s="24"/>
      <c r="R215" s="24"/>
      <c r="S215" s="24"/>
      <c r="T215" s="24"/>
      <c r="U215" s="24"/>
      <c r="V215" s="24"/>
      <c r="W215" s="24"/>
      <c r="X215" s="24"/>
      <c r="Y215" s="24"/>
      <c r="Z215" s="24"/>
      <c r="AA215" s="1780"/>
    </row>
    <row r="216" spans="1:27" ht="13.5" customHeight="1">
      <c r="B216" s="44"/>
      <c r="C216" s="29" t="s">
        <v>4117</v>
      </c>
      <c r="E216" s="4509"/>
      <c r="F216" s="4510"/>
      <c r="G216" s="4510"/>
      <c r="H216" s="4511"/>
      <c r="I216" s="1819"/>
      <c r="J216" s="4515"/>
      <c r="K216" s="4516"/>
      <c r="L216" s="4516"/>
      <c r="M216" s="4517"/>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3159</v>
      </c>
      <c r="C219" s="35"/>
      <c r="D219" s="41"/>
      <c r="E219" s="41"/>
      <c r="F219" s="41"/>
      <c r="G219" s="41"/>
      <c r="H219" s="29"/>
      <c r="I219" s="29"/>
      <c r="J219" s="29"/>
      <c r="K219" s="29"/>
      <c r="M219" s="39"/>
      <c r="N219" s="47"/>
      <c r="O219" s="3"/>
      <c r="P219" s="24"/>
    </row>
    <row r="220" spans="1:27" s="36" customFormat="1" ht="34.9" customHeight="1" thickTop="1" thickBot="1">
      <c r="A220" s="4350"/>
      <c r="B220" s="4351"/>
      <c r="C220" s="4351"/>
      <c r="D220" s="4351"/>
      <c r="E220" s="4351"/>
      <c r="F220" s="4351"/>
      <c r="G220" s="4351"/>
      <c r="H220" s="4351"/>
      <c r="I220" s="4351"/>
      <c r="J220" s="4351"/>
      <c r="K220" s="4351"/>
      <c r="L220" s="4351"/>
      <c r="M220" s="4351"/>
      <c r="N220" s="4351"/>
      <c r="O220" s="4351"/>
      <c r="P220" s="4352"/>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9"/>
      <c r="B223" s="4410"/>
      <c r="C223" s="4410"/>
      <c r="D223" s="4410"/>
      <c r="E223" s="4410"/>
      <c r="F223" s="4410"/>
      <c r="G223" s="4410"/>
      <c r="H223" s="4410"/>
      <c r="I223" s="4410"/>
      <c r="J223" s="4410"/>
      <c r="K223" s="4410"/>
      <c r="L223" s="4410"/>
      <c r="M223" s="4410"/>
      <c r="N223" s="4410"/>
      <c r="O223" s="4410"/>
      <c r="P223" s="4411"/>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3910</v>
      </c>
      <c r="C225" s="44"/>
      <c r="G225" s="1535" t="s">
        <v>4150</v>
      </c>
      <c r="H225" s="1462" t="e">
        <f>IF(OR($M$34="9% Credit Competitive Round only", $M$34="9% Credit &amp; HOME"),"9%",IF(OR($M$34="4% Credit/TE Bond", $M$34="4% Credit/TE Bond &amp; HOME", $M$34="4% Credit/TE Bond &amp; HOME NOFA", $M$34="4% Credit &amp; NHTF", $M$34="4% Credit &amp; NHTF &amp; HOME"),"4%",""))</f>
        <v>#REF!</v>
      </c>
      <c r="J225" s="1535" t="s">
        <v>362</v>
      </c>
      <c r="K225" s="4543" t="str">
        <f>M55</f>
        <v>&lt;&lt; Select Activity Type &gt;&gt;</v>
      </c>
      <c r="L225" s="4544"/>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4151</v>
      </c>
      <c r="D226" s="32"/>
      <c r="E226" s="29"/>
      <c r="F226" s="119"/>
      <c r="G226" s="878" t="s">
        <v>3069</v>
      </c>
      <c r="H226" s="1132" t="e">
        <f>IF(#REF!=0,0,#REF!/#REF!)</f>
        <v>#REF!</v>
      </c>
      <c r="J226" s="369" t="s">
        <v>3839</v>
      </c>
      <c r="K226" s="4513" t="e">
        <f>#REF!</f>
        <v>#REF!</v>
      </c>
      <c r="L226" s="4514"/>
      <c r="M226" s="31"/>
      <c r="N226" s="119"/>
      <c r="O226" s="24"/>
      <c r="P226" s="3"/>
    </row>
    <row r="227" spans="1:24" ht="12" customHeight="1">
      <c r="A227" s="674" t="s">
        <v>1836</v>
      </c>
      <c r="B227" s="67" t="s">
        <v>3837</v>
      </c>
      <c r="C227" s="44"/>
      <c r="E227" s="236" t="s">
        <v>3838</v>
      </c>
      <c r="M227" s="457">
        <v>1</v>
      </c>
      <c r="N227" s="48" t="s">
        <v>1836</v>
      </c>
      <c r="O227" s="1261"/>
      <c r="P227" s="1262"/>
      <c r="Q227" s="785" t="str">
        <f>IF(OR($O227=$M227,$O227=0,$O227=""),"","*CHECK!*")</f>
        <v/>
      </c>
      <c r="R227" s="782" t="s">
        <v>3932</v>
      </c>
    </row>
    <row r="228" spans="1:24" ht="12" customHeight="1">
      <c r="A228" s="674" t="s">
        <v>1838</v>
      </c>
      <c r="B228" s="67" t="s">
        <v>3692</v>
      </c>
      <c r="C228" s="44"/>
      <c r="E228" s="236" t="s">
        <v>3915</v>
      </c>
      <c r="M228" s="869">
        <v>1</v>
      </c>
      <c r="N228" s="48" t="s">
        <v>1838</v>
      </c>
      <c r="O228" s="406"/>
      <c r="P228" s="414"/>
      <c r="Q228" s="785" t="str">
        <f>IF(OR($O228=$M228,$O228=0,$O228=""),"","*CHECK!*")</f>
        <v/>
      </c>
      <c r="R228" s="782" t="s">
        <v>3932</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9"/>
      <c r="B231" s="4410"/>
      <c r="C231" s="4410"/>
      <c r="D231" s="4410"/>
      <c r="E231" s="4410"/>
      <c r="F231" s="4410"/>
      <c r="G231" s="4410"/>
      <c r="H231" s="4410"/>
      <c r="I231" s="4410"/>
      <c r="J231" s="4410"/>
      <c r="K231" s="4410"/>
      <c r="L231" s="4410"/>
      <c r="M231" s="4410"/>
      <c r="N231" s="4410"/>
      <c r="O231" s="4410"/>
      <c r="P231" s="4411"/>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3256</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3181</v>
      </c>
      <c r="D235" s="371"/>
      <c r="E235" s="371"/>
      <c r="F235" s="371"/>
      <c r="G235" s="371"/>
      <c r="H235" s="371"/>
      <c r="L235" s="371"/>
      <c r="M235" s="4507"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3182</v>
      </c>
      <c r="D236" s="371"/>
      <c r="L236" s="371"/>
      <c r="M236" s="4507"/>
      <c r="N236" s="48" t="s">
        <v>1838</v>
      </c>
      <c r="O236" s="176"/>
      <c r="P236" s="420"/>
      <c r="Q236" s="795"/>
      <c r="R236" s="1542"/>
      <c r="S236" s="1542"/>
      <c r="T236" s="1542"/>
      <c r="U236" s="1542"/>
      <c r="V236" s="1542"/>
    </row>
    <row r="237" spans="1:24" s="36" customFormat="1" ht="10.5" customHeight="1" thickBot="1">
      <c r="A237" s="35"/>
      <c r="B237" s="924" t="s">
        <v>3159</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50"/>
      <c r="B238" s="4351"/>
      <c r="C238" s="4351"/>
      <c r="D238" s="4351"/>
      <c r="E238" s="4351"/>
      <c r="F238" s="4351"/>
      <c r="G238" s="4351"/>
      <c r="H238" s="4351"/>
      <c r="I238" s="4351"/>
      <c r="J238" s="4351"/>
      <c r="K238" s="4351"/>
      <c r="L238" s="4351"/>
      <c r="M238" s="4351"/>
      <c r="N238" s="4351"/>
      <c r="O238" s="4351"/>
      <c r="P238" s="4352"/>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9"/>
      <c r="B240" s="4410"/>
      <c r="C240" s="4410"/>
      <c r="D240" s="4410"/>
      <c r="E240" s="4410"/>
      <c r="F240" s="4410"/>
      <c r="G240" s="4410"/>
      <c r="H240" s="4410"/>
      <c r="I240" s="4410"/>
      <c r="J240" s="4410"/>
      <c r="K240" s="4410"/>
      <c r="L240" s="4410"/>
      <c r="M240" s="4410"/>
      <c r="N240" s="4410"/>
      <c r="O240" s="4410"/>
      <c r="P240" s="4411"/>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3912</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3932</v>
      </c>
      <c r="S242" s="826"/>
      <c r="T242" s="826"/>
      <c r="U242" s="826"/>
      <c r="V242" s="826"/>
      <c r="W242" s="847"/>
      <c r="X242" s="847"/>
    </row>
    <row r="243" spans="1:27" s="79" customFormat="1" ht="10.5">
      <c r="A243" s="349"/>
      <c r="B243" s="108" t="s">
        <v>4158</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4159</v>
      </c>
      <c r="E244" s="33" t="s">
        <v>3227</v>
      </c>
      <c r="G244" s="1555"/>
      <c r="H244" s="48" t="s">
        <v>573</v>
      </c>
      <c r="I244" s="4378"/>
      <c r="J244" s="4378"/>
      <c r="L244" s="1574" t="s">
        <v>4161</v>
      </c>
      <c r="M244" s="4379"/>
      <c r="N244" s="4379"/>
    </row>
    <row r="245" spans="1:27" s="32" customFormat="1" ht="11.25" customHeight="1">
      <c r="A245" s="306"/>
      <c r="B245" s="349" t="s">
        <v>1841</v>
      </c>
      <c r="C245" s="29" t="s">
        <v>4160</v>
      </c>
      <c r="E245" s="33" t="s">
        <v>3227</v>
      </c>
      <c r="G245" s="1556"/>
      <c r="H245" s="48" t="s">
        <v>573</v>
      </c>
      <c r="I245" s="4508"/>
      <c r="J245" s="4508"/>
      <c r="L245" s="1574" t="s">
        <v>4161</v>
      </c>
      <c r="M245" s="4512"/>
      <c r="N245" s="451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3159</v>
      </c>
      <c r="C247" s="35"/>
      <c r="D247" s="41"/>
      <c r="E247" s="41"/>
      <c r="F247" s="41"/>
      <c r="G247" s="41"/>
      <c r="H247" s="29"/>
      <c r="I247" s="29"/>
      <c r="J247" s="29"/>
      <c r="K247" s="29"/>
      <c r="M247" s="39"/>
      <c r="N247" s="47"/>
      <c r="O247" s="3"/>
      <c r="P247" s="24"/>
    </row>
    <row r="248" spans="1:27" s="36" customFormat="1" ht="21.75" customHeight="1" thickTop="1" thickBot="1">
      <c r="A248" s="4350"/>
      <c r="B248" s="4351"/>
      <c r="C248" s="4351"/>
      <c r="D248" s="4351"/>
      <c r="E248" s="4351"/>
      <c r="F248" s="4351"/>
      <c r="G248" s="4351"/>
      <c r="H248" s="4351"/>
      <c r="I248" s="4351"/>
      <c r="J248" s="4351"/>
      <c r="K248" s="4351"/>
      <c r="L248" s="4351"/>
      <c r="M248" s="4351"/>
      <c r="N248" s="4351"/>
      <c r="O248" s="4351"/>
      <c r="P248" s="4352"/>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50"/>
      <c r="B250" s="4151"/>
      <c r="C250" s="4151"/>
      <c r="D250" s="4151"/>
      <c r="E250" s="4151"/>
      <c r="F250" s="4151"/>
      <c r="G250" s="4151"/>
      <c r="H250" s="4151"/>
      <c r="I250" s="4151"/>
      <c r="J250" s="4151"/>
      <c r="K250" s="4151"/>
      <c r="L250" s="4151"/>
      <c r="M250" s="4151"/>
      <c r="N250" s="4151"/>
      <c r="O250" s="4151"/>
      <c r="P250" s="4152"/>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3840</v>
      </c>
      <c r="D252" s="34"/>
      <c r="E252" s="44" t="s">
        <v>4167</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3932</v>
      </c>
      <c r="S252" s="1557"/>
      <c r="T252" s="1557"/>
      <c r="U252" s="1557"/>
      <c r="V252" s="1557"/>
      <c r="W252" s="847"/>
      <c r="X252" s="847"/>
    </row>
    <row r="253" spans="1:27" s="26" customFormat="1" ht="11.25" customHeight="1">
      <c r="A253" s="107" t="s">
        <v>1836</v>
      </c>
      <c r="B253" s="141" t="s">
        <v>4166</v>
      </c>
      <c r="M253" s="457">
        <v>5</v>
      </c>
      <c r="N253" s="48" t="s">
        <v>1836</v>
      </c>
      <c r="O253" s="1558"/>
      <c r="P253" s="888"/>
      <c r="Q253" s="785" t="str">
        <f>IF(OR($O253=$M253,$O253=$M253-1,$O253=0,$O253=""),"","*CHECK!*")</f>
        <v/>
      </c>
      <c r="R253" s="782" t="s">
        <v>3932</v>
      </c>
      <c r="S253" s="1557"/>
      <c r="T253" s="1557"/>
      <c r="U253" s="1557"/>
      <c r="V253" s="1557"/>
    </row>
    <row r="254" spans="1:27" s="26" customFormat="1" ht="11.25" customHeight="1">
      <c r="A254" s="107" t="s">
        <v>1838</v>
      </c>
      <c r="B254" s="141" t="s">
        <v>4168</v>
      </c>
      <c r="M254" s="457">
        <v>3</v>
      </c>
      <c r="N254" s="48" t="s">
        <v>1838</v>
      </c>
      <c r="O254" s="405"/>
      <c r="P254" s="413"/>
      <c r="Q254" s="785" t="str">
        <f>IF(OR($O254=$M254,$O254=$M254-1,$O254=0,$O254=""),"","*CHECK!*")</f>
        <v/>
      </c>
      <c r="R254" s="782" t="s">
        <v>3932</v>
      </c>
    </row>
    <row r="255" spans="1:27">
      <c r="A255" s="107" t="s">
        <v>697</v>
      </c>
      <c r="B255" s="141" t="s">
        <v>4169</v>
      </c>
      <c r="E255" s="33" t="s">
        <v>4131</v>
      </c>
      <c r="I255" s="1259"/>
      <c r="L255" s="1516"/>
      <c r="M255" s="457">
        <v>3</v>
      </c>
      <c r="N255" s="48" t="s">
        <v>697</v>
      </c>
      <c r="O255" s="406"/>
      <c r="P255" s="414"/>
      <c r="Q255" s="785" t="str">
        <f>IF(OR($O255=$M255,$O255=$M255-1,$O255=0,$O255=""),"","*CHECK!*")</f>
        <v/>
      </c>
      <c r="R255" s="782" t="s">
        <v>3932</v>
      </c>
    </row>
    <row r="256" spans="1:27" s="36" customFormat="1" ht="10.5" customHeight="1" thickBot="1">
      <c r="A256" s="35"/>
      <c r="B256" s="924" t="s">
        <v>3159</v>
      </c>
      <c r="C256" s="35"/>
      <c r="D256" s="41"/>
      <c r="E256" s="41"/>
      <c r="F256" s="41"/>
      <c r="G256" s="41"/>
      <c r="H256" s="29"/>
      <c r="I256" s="29"/>
      <c r="J256" s="29"/>
      <c r="K256" s="29"/>
      <c r="M256" s="39"/>
      <c r="N256" s="47"/>
      <c r="O256" s="3"/>
      <c r="P256" s="24"/>
    </row>
    <row r="257" spans="1:21" s="36" customFormat="1" ht="21.75" customHeight="1" thickTop="1" thickBot="1">
      <c r="A257" s="4350"/>
      <c r="B257" s="4351"/>
      <c r="C257" s="4351"/>
      <c r="D257" s="4351"/>
      <c r="E257" s="4351"/>
      <c r="F257" s="4351"/>
      <c r="G257" s="4351"/>
      <c r="H257" s="4351"/>
      <c r="I257" s="4351"/>
      <c r="J257" s="4351"/>
      <c r="K257" s="4351"/>
      <c r="L257" s="4351"/>
      <c r="M257" s="4351"/>
      <c r="N257" s="4351"/>
      <c r="O257" s="4351"/>
      <c r="P257" s="4352"/>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50"/>
      <c r="B259" s="4151"/>
      <c r="C259" s="4151"/>
      <c r="D259" s="4151"/>
      <c r="E259" s="4151"/>
      <c r="F259" s="4151"/>
      <c r="G259" s="4151"/>
      <c r="H259" s="4151"/>
      <c r="I259" s="4151"/>
      <c r="J259" s="4151"/>
      <c r="K259" s="4151"/>
      <c r="L259" s="4151"/>
      <c r="M259" s="4151"/>
      <c r="N259" s="4151"/>
      <c r="O259" s="4151"/>
      <c r="P259" s="4152"/>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3933</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4512</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4513</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4514</v>
      </c>
      <c r="D265" s="46"/>
      <c r="E265" s="46"/>
      <c r="F265" s="37"/>
      <c r="G265"/>
      <c r="K265" s="48"/>
      <c r="M265" s="457">
        <v>1</v>
      </c>
      <c r="N265" s="150" t="s">
        <v>2326</v>
      </c>
      <c r="O265" s="176"/>
      <c r="P265" s="420"/>
      <c r="R265" s="236"/>
      <c r="T265" s="832"/>
      <c r="U265" s="832"/>
    </row>
    <row r="266" spans="1:21" s="36" customFormat="1" ht="11.25" customHeight="1">
      <c r="A266" s="107" t="s">
        <v>1838</v>
      </c>
      <c r="B266" s="141" t="s">
        <v>3832</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33" t="s">
        <v>4515</v>
      </c>
      <c r="C267" s="4133"/>
      <c r="D267" s="4133"/>
      <c r="E267" s="4133"/>
      <c r="F267" s="4133"/>
      <c r="G267" s="4133"/>
      <c r="H267" s="4133"/>
      <c r="I267" s="4133"/>
      <c r="J267" s="4133"/>
      <c r="K267" s="4133"/>
      <c r="L267" s="4133"/>
      <c r="M267" s="5"/>
      <c r="N267" s="48"/>
      <c r="O267" s="925"/>
      <c r="P267" s="926"/>
      <c r="Q267" s="236"/>
      <c r="R267" s="307"/>
      <c r="T267" s="832"/>
      <c r="U267" s="832"/>
    </row>
    <row r="268" spans="1:21" s="36" customFormat="1" ht="11.25" customHeight="1">
      <c r="A268" s="107" t="s">
        <v>697</v>
      </c>
      <c r="B268" s="141" t="s">
        <v>3704</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11" t="s">
        <v>4516</v>
      </c>
      <c r="C269" s="4111"/>
      <c r="D269" s="4111"/>
      <c r="E269" s="4111"/>
      <c r="F269" s="4111"/>
      <c r="G269" s="4111"/>
      <c r="H269" s="4111"/>
      <c r="I269" s="4111"/>
      <c r="J269" s="4111"/>
      <c r="K269" s="4111"/>
      <c r="L269" s="4111"/>
      <c r="M269" s="5"/>
      <c r="N269" s="48"/>
      <c r="O269" s="883"/>
      <c r="P269" s="882"/>
      <c r="Q269" s="236"/>
      <c r="R269" s="307"/>
      <c r="T269" s="832"/>
      <c r="U269" s="832"/>
    </row>
    <row r="270" spans="1:21" s="36" customFormat="1" ht="22.5" customHeight="1">
      <c r="B270" s="4111" t="s">
        <v>4132</v>
      </c>
      <c r="C270" s="4111"/>
      <c r="D270" s="4111"/>
      <c r="E270" s="4111"/>
      <c r="F270" s="4111"/>
      <c r="G270" s="4111"/>
      <c r="H270" s="4111"/>
      <c r="I270" s="4111"/>
      <c r="J270" s="4111"/>
      <c r="K270" s="4111"/>
      <c r="L270" s="4111"/>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50"/>
      <c r="B272" s="4151"/>
      <c r="C272" s="4151"/>
      <c r="D272" s="4151"/>
      <c r="E272" s="4151"/>
      <c r="F272" s="4151"/>
      <c r="G272" s="4151"/>
      <c r="H272" s="4151"/>
      <c r="I272" s="4151"/>
      <c r="J272" s="4151"/>
      <c r="K272" s="4151"/>
      <c r="L272" s="4151"/>
      <c r="M272" s="4151"/>
      <c r="N272" s="4151"/>
      <c r="O272" s="4151"/>
      <c r="P272" s="4152"/>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3284</v>
      </c>
      <c r="B274" s="83" t="s">
        <v>4472</v>
      </c>
      <c r="D274" s="38"/>
      <c r="E274" s="38"/>
      <c r="G274" s="1537"/>
      <c r="H274" s="147"/>
      <c r="I274" s="1535" t="s">
        <v>4045</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4473</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4474</v>
      </c>
      <c r="D277" s="371"/>
      <c r="L277" s="371"/>
      <c r="M277" s="869">
        <v>2</v>
      </c>
      <c r="N277" s="48" t="s">
        <v>1838</v>
      </c>
      <c r="O277" s="176"/>
      <c r="P277" s="420"/>
      <c r="Q277" s="795">
        <f>IF(L277="Yes",1,0)</f>
        <v>0</v>
      </c>
      <c r="R277" s="1542"/>
      <c r="S277" s="1542"/>
      <c r="T277" s="1542"/>
      <c r="U277" s="1542"/>
      <c r="V277" s="1542"/>
    </row>
    <row r="278" spans="1:24" ht="11.25" customHeight="1">
      <c r="B278" s="241" t="s">
        <v>4581</v>
      </c>
      <c r="D278" s="371"/>
      <c r="L278" s="371"/>
      <c r="M278" s="869"/>
      <c r="N278" s="869"/>
      <c r="O278" s="869"/>
      <c r="P278" s="869"/>
      <c r="Q278" s="795"/>
      <c r="R278" s="1542"/>
      <c r="S278" s="1542"/>
      <c r="T278" s="1542"/>
      <c r="U278" s="1542"/>
      <c r="V278" s="1542"/>
    </row>
    <row r="279" spans="1:24" ht="38.25" customHeight="1">
      <c r="B279" s="4529"/>
      <c r="C279" s="4530"/>
      <c r="D279" s="4530"/>
      <c r="E279" s="4530"/>
      <c r="F279" s="4530"/>
      <c r="G279" s="4530"/>
      <c r="H279" s="4530"/>
      <c r="I279" s="4530"/>
      <c r="J279" s="4530"/>
      <c r="K279" s="4530"/>
      <c r="L279" s="4530"/>
      <c r="M279" s="4530"/>
      <c r="N279" s="4530"/>
      <c r="O279" s="4530"/>
      <c r="P279" s="4531"/>
      <c r="Q279" s="795"/>
      <c r="R279" s="1542"/>
      <c r="S279" s="1542"/>
      <c r="T279" s="1542"/>
      <c r="U279" s="1542"/>
      <c r="V279" s="1542"/>
    </row>
    <row r="280" spans="1:24" s="36" customFormat="1" ht="10.5" customHeight="1" thickBot="1">
      <c r="A280" s="35"/>
      <c r="B280" s="924" t="s">
        <v>3159</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50"/>
      <c r="B281" s="4351"/>
      <c r="C281" s="4351"/>
      <c r="D281" s="4351"/>
      <c r="E281" s="4351"/>
      <c r="F281" s="4351"/>
      <c r="G281" s="4351"/>
      <c r="H281" s="4351"/>
      <c r="I281" s="4351"/>
      <c r="J281" s="4351"/>
      <c r="K281" s="4351"/>
      <c r="L281" s="4351"/>
      <c r="M281" s="4351"/>
      <c r="N281" s="4351"/>
      <c r="O281" s="4351"/>
      <c r="P281" s="4352"/>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9"/>
      <c r="B283" s="4410"/>
      <c r="C283" s="4410"/>
      <c r="D283" s="4410"/>
      <c r="E283" s="4410"/>
      <c r="F283" s="4410"/>
      <c r="G283" s="4410"/>
      <c r="H283" s="4410"/>
      <c r="I283" s="4410"/>
      <c r="J283" s="4410"/>
      <c r="K283" s="4410"/>
      <c r="L283" s="4410"/>
      <c r="M283" s="4410"/>
      <c r="N283" s="4410"/>
      <c r="O283" s="4410"/>
      <c r="P283" s="4411"/>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3285</v>
      </c>
      <c r="B285" s="83" t="s">
        <v>4477</v>
      </c>
      <c r="D285" s="38"/>
      <c r="E285" s="38"/>
      <c r="G285" s="1537"/>
      <c r="H285" s="147"/>
      <c r="I285" s="147" t="s">
        <v>4600</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4594</v>
      </c>
      <c r="D286" s="38"/>
      <c r="E286" s="38"/>
      <c r="G286" s="147"/>
      <c r="J286" s="1253"/>
      <c r="M286" s="455"/>
      <c r="Q286" s="86"/>
      <c r="R286" s="1542"/>
      <c r="S286" s="1542"/>
      <c r="T286" s="1542"/>
      <c r="U286" s="1542"/>
      <c r="V286" s="1542"/>
      <c r="W286" s="36"/>
      <c r="X286" s="36"/>
    </row>
    <row r="287" spans="1:24" s="70" customFormat="1" ht="11.25" customHeight="1">
      <c r="A287" s="120"/>
      <c r="C287" s="29" t="s">
        <v>4591</v>
      </c>
      <c r="G287" s="147"/>
      <c r="I287" s="4557"/>
      <c r="J287" s="4558"/>
      <c r="K287" s="4559"/>
      <c r="L287" s="4560"/>
      <c r="M287" s="455"/>
      <c r="O287" s="1829"/>
      <c r="P287" s="1830"/>
      <c r="Q287" s="86"/>
      <c r="R287" s="1542"/>
      <c r="S287" s="1542"/>
      <c r="T287" s="1542"/>
      <c r="U287" s="1542"/>
      <c r="V287" s="1542"/>
      <c r="W287" s="36"/>
      <c r="X287" s="36"/>
    </row>
    <row r="288" spans="1:24" s="70" customFormat="1" ht="11.25" customHeight="1">
      <c r="A288" s="120"/>
      <c r="C288" s="29" t="s">
        <v>4590</v>
      </c>
      <c r="G288" s="147"/>
      <c r="I288" s="4561"/>
      <c r="J288" s="4562"/>
      <c r="M288" s="455"/>
      <c r="O288" s="1829"/>
      <c r="P288" s="1830"/>
      <c r="Q288" s="86"/>
      <c r="R288" s="1542"/>
      <c r="S288" s="1542"/>
      <c r="T288" s="1542"/>
      <c r="U288" s="1542"/>
      <c r="V288" s="1542"/>
      <c r="W288" s="36"/>
      <c r="X288" s="36"/>
    </row>
    <row r="289" spans="1:24" s="70" customFormat="1" ht="11.25" customHeight="1">
      <c r="A289" s="120"/>
      <c r="C289" s="29" t="s">
        <v>4592</v>
      </c>
      <c r="G289" s="147"/>
      <c r="I289" s="4563" t="s">
        <v>4593</v>
      </c>
      <c r="J289" s="4564"/>
      <c r="K289" s="4565"/>
      <c r="L289" s="4566"/>
      <c r="M289" s="455"/>
      <c r="O289" s="4567" t="s">
        <v>3066</v>
      </c>
      <c r="P289" s="4567" t="s">
        <v>3067</v>
      </c>
      <c r="Q289" s="86"/>
      <c r="R289" s="1542"/>
      <c r="S289" s="1542"/>
      <c r="T289" s="1542"/>
      <c r="U289" s="1542"/>
      <c r="V289" s="1542"/>
      <c r="W289" s="36"/>
      <c r="X289" s="36"/>
    </row>
    <row r="290" spans="1:24" s="36" customFormat="1" ht="11.25" customHeight="1">
      <c r="A290" s="120"/>
      <c r="B290" s="29" t="s">
        <v>4481</v>
      </c>
      <c r="D290" s="34"/>
      <c r="H290" s="141"/>
      <c r="M290" s="119"/>
      <c r="N290" s="48"/>
      <c r="O290" s="4568"/>
      <c r="P290" s="4568"/>
      <c r="Q290" s="86"/>
      <c r="R290" s="866"/>
      <c r="S290" s="866"/>
      <c r="T290" s="866"/>
      <c r="U290" s="866"/>
    </row>
    <row r="291" spans="1:24" s="36" customFormat="1" ht="11.25" customHeight="1">
      <c r="A291" s="1828"/>
      <c r="B291" s="128" t="s">
        <v>2234</v>
      </c>
      <c r="C291" s="29" t="s">
        <v>4480</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4599</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4482</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4478</v>
      </c>
      <c r="D295" s="371"/>
      <c r="E295" s="371"/>
      <c r="G295" s="371" t="s">
        <v>4486</v>
      </c>
      <c r="H295" s="371"/>
      <c r="L295" s="371"/>
      <c r="M295" s="869">
        <v>2</v>
      </c>
      <c r="N295" s="48" t="s">
        <v>1836</v>
      </c>
      <c r="O295" s="886"/>
      <c r="P295" s="870"/>
      <c r="Q295" s="1751" t="str">
        <f>IF(OR(O295=0,O295="",O295=$M295),"","Check!")</f>
        <v/>
      </c>
      <c r="R295" s="854" t="s">
        <v>2453</v>
      </c>
      <c r="S295" s="1542"/>
      <c r="T295" s="1542"/>
      <c r="U295" s="1542"/>
      <c r="V295" s="1542"/>
    </row>
    <row r="296" spans="1:24" s="331" customFormat="1" ht="21.75" customHeight="1">
      <c r="A296" s="1520"/>
      <c r="B296" s="349" t="s">
        <v>1839</v>
      </c>
      <c r="C296" s="4111" t="s">
        <v>4487</v>
      </c>
      <c r="D296" s="4111"/>
      <c r="E296" s="4111"/>
      <c r="F296" s="4111"/>
      <c r="G296" s="4111"/>
      <c r="H296" s="4111"/>
      <c r="I296" s="4111"/>
      <c r="J296" s="4111"/>
      <c r="K296" s="4111"/>
      <c r="L296" s="4111"/>
      <c r="M296" s="4111"/>
      <c r="N296" s="150" t="s">
        <v>1839</v>
      </c>
      <c r="O296" s="1224"/>
      <c r="P296" s="1225"/>
      <c r="Q296" s="330"/>
      <c r="R296" s="1750"/>
      <c r="S296" s="1750"/>
      <c r="T296" s="1750"/>
      <c r="U296" s="1750"/>
    </row>
    <row r="297" spans="1:24" s="331" customFormat="1" ht="21.75" customHeight="1" thickBot="1">
      <c r="A297" s="1520"/>
      <c r="B297" s="349" t="s">
        <v>1841</v>
      </c>
      <c r="C297" s="4111" t="s">
        <v>4488</v>
      </c>
      <c r="D297" s="4111"/>
      <c r="E297" s="4111"/>
      <c r="F297" s="4111"/>
      <c r="G297" s="4111"/>
      <c r="H297" s="4111"/>
      <c r="I297" s="4111"/>
      <c r="J297" s="4111"/>
      <c r="K297" s="4111"/>
      <c r="L297" s="4111"/>
      <c r="M297" s="4111"/>
      <c r="N297" s="150" t="s">
        <v>1841</v>
      </c>
      <c r="O297" s="883"/>
      <c r="P297" s="882"/>
      <c r="Q297" s="330"/>
      <c r="R297" s="1750"/>
      <c r="S297" s="1750"/>
      <c r="T297" s="1750"/>
      <c r="U297" s="1750"/>
    </row>
    <row r="298" spans="1:24" ht="11.25" customHeight="1" thickBot="1">
      <c r="A298" s="674" t="s">
        <v>1838</v>
      </c>
      <c r="B298" s="872" t="s">
        <v>4479</v>
      </c>
      <c r="D298" s="371"/>
      <c r="G298" s="44" t="s">
        <v>4489</v>
      </c>
      <c r="L298" s="371"/>
      <c r="M298" s="869">
        <v>2</v>
      </c>
      <c r="N298" s="48" t="s">
        <v>1838</v>
      </c>
      <c r="O298" s="886"/>
      <c r="P298" s="870"/>
      <c r="Q298" s="1751" t="str">
        <f>IF(OR(O298=0,O298="",O298=$M298),"","Check!")</f>
        <v/>
      </c>
      <c r="R298" s="854" t="s">
        <v>2453</v>
      </c>
      <c r="S298" s="1542"/>
      <c r="T298" s="1542"/>
      <c r="U298" s="1542"/>
      <c r="V298" s="1542"/>
    </row>
    <row r="299" spans="1:24" s="331" customFormat="1" ht="10.5" customHeight="1">
      <c r="A299" s="1520"/>
      <c r="B299" s="349" t="s">
        <v>1839</v>
      </c>
      <c r="C299" s="4111" t="s">
        <v>4490</v>
      </c>
      <c r="D299" s="4111"/>
      <c r="E299" s="4111"/>
      <c r="F299" s="4111"/>
      <c r="G299" s="4111"/>
      <c r="H299" s="4111"/>
      <c r="I299" s="4111"/>
      <c r="J299" s="4111"/>
      <c r="K299" s="4111"/>
      <c r="L299" s="4111"/>
      <c r="M299" s="4111"/>
      <c r="N299" s="150" t="s">
        <v>1839</v>
      </c>
      <c r="O299" s="1224"/>
      <c r="P299" s="1225"/>
      <c r="Q299" s="330"/>
      <c r="R299" s="1750"/>
      <c r="S299" s="1750"/>
      <c r="T299" s="1750"/>
      <c r="U299" s="1750"/>
    </row>
    <row r="300" spans="1:24" s="331" customFormat="1" ht="10.5" customHeight="1">
      <c r="A300" s="1520"/>
      <c r="B300" s="349" t="s">
        <v>1841</v>
      </c>
      <c r="C300" s="4111" t="s">
        <v>4491</v>
      </c>
      <c r="D300" s="4111"/>
      <c r="E300" s="4111"/>
      <c r="F300" s="4111"/>
      <c r="G300" s="4111"/>
      <c r="H300" s="4111"/>
      <c r="I300" s="4111"/>
      <c r="J300" s="4111"/>
      <c r="K300" s="4111"/>
      <c r="L300" s="4111"/>
      <c r="M300" s="4111"/>
      <c r="N300" s="150" t="s">
        <v>1841</v>
      </c>
      <c r="O300" s="883"/>
      <c r="P300" s="882"/>
      <c r="Q300" s="330"/>
      <c r="R300" s="1750"/>
      <c r="S300" s="1750"/>
      <c r="T300" s="1750"/>
      <c r="U300" s="1750"/>
    </row>
    <row r="301" spans="1:24" s="331" customFormat="1" ht="10.5" customHeight="1">
      <c r="A301" s="1520"/>
      <c r="B301" s="349" t="s">
        <v>2326</v>
      </c>
      <c r="C301" s="673" t="s">
        <v>4595</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4492</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4493</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11" t="s">
        <v>4494</v>
      </c>
      <c r="D304" s="4111"/>
      <c r="E304" s="4111"/>
      <c r="F304" s="4111"/>
      <c r="G304" s="4111"/>
      <c r="H304" s="4111"/>
      <c r="I304" s="4111"/>
      <c r="J304" s="4111"/>
      <c r="K304" s="4111"/>
      <c r="L304" s="4111"/>
      <c r="M304" s="4111"/>
      <c r="N304" s="150" t="s">
        <v>1149</v>
      </c>
      <c r="O304" s="883"/>
      <c r="P304" s="882"/>
      <c r="Q304" s="330"/>
      <c r="R304" s="1750"/>
      <c r="S304" s="1750"/>
      <c r="T304" s="1750"/>
      <c r="U304" s="1750"/>
    </row>
    <row r="305" spans="1:22" s="36" customFormat="1" ht="10.5" customHeight="1" thickBot="1">
      <c r="A305" s="35"/>
      <c r="B305" s="924" t="s">
        <v>3159</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50"/>
      <c r="B306" s="4351"/>
      <c r="C306" s="4351"/>
      <c r="D306" s="4351"/>
      <c r="E306" s="4351"/>
      <c r="F306" s="4351"/>
      <c r="G306" s="4351"/>
      <c r="H306" s="4351"/>
      <c r="I306" s="4351"/>
      <c r="J306" s="4351"/>
      <c r="K306" s="4351"/>
      <c r="L306" s="4351"/>
      <c r="M306" s="4351"/>
      <c r="N306" s="4351"/>
      <c r="O306" s="4351"/>
      <c r="P306" s="4352"/>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9"/>
      <c r="B308" s="4410"/>
      <c r="C308" s="4410"/>
      <c r="D308" s="4410"/>
      <c r="E308" s="4410"/>
      <c r="F308" s="4410"/>
      <c r="G308" s="4410"/>
      <c r="H308" s="4410"/>
      <c r="I308" s="4410"/>
      <c r="J308" s="4410"/>
      <c r="K308" s="4410"/>
      <c r="L308" s="4410"/>
      <c r="M308" s="4410"/>
      <c r="N308" s="4410"/>
      <c r="O308" s="4410"/>
      <c r="P308" s="4411"/>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3283</v>
      </c>
      <c r="B310" s="83" t="s">
        <v>4483</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4484</v>
      </c>
      <c r="D311" s="371"/>
      <c r="E311" s="371" t="s">
        <v>4495</v>
      </c>
      <c r="F311" s="371"/>
      <c r="G311" s="371"/>
      <c r="H311" s="371"/>
      <c r="I311" s="4375"/>
      <c r="J311" s="4376"/>
      <c r="K311" s="4376"/>
      <c r="L311" s="4377"/>
      <c r="M311" s="869">
        <v>2</v>
      </c>
      <c r="N311" s="48" t="s">
        <v>1836</v>
      </c>
      <c r="O311" s="1261"/>
      <c r="P311" s="1262"/>
      <c r="Q311" s="1751" t="str">
        <f>IF(OR(O311=0,O311="",O311=$M311),"","Check!")</f>
        <v/>
      </c>
      <c r="R311" s="854" t="s">
        <v>2453</v>
      </c>
      <c r="S311" s="1542"/>
      <c r="T311" s="1542"/>
      <c r="U311" s="1542"/>
      <c r="V311" s="1542"/>
    </row>
    <row r="312" spans="1:22" ht="11.25" customHeight="1">
      <c r="A312" s="674" t="s">
        <v>1838</v>
      </c>
      <c r="B312" s="872" t="s">
        <v>4485</v>
      </c>
      <c r="D312" s="371"/>
      <c r="L312" s="371"/>
      <c r="M312" s="869">
        <v>2</v>
      </c>
      <c r="N312" s="48" t="s">
        <v>1838</v>
      </c>
      <c r="O312" s="406"/>
      <c r="P312" s="414"/>
      <c r="Q312" s="1751" t="str">
        <f>IF(OR(O312=0,O312="",O312=$M312),"","Check!")</f>
        <v/>
      </c>
      <c r="R312" s="854" t="s">
        <v>2453</v>
      </c>
      <c r="S312" s="1542"/>
      <c r="T312" s="1542"/>
      <c r="U312" s="1542"/>
      <c r="V312" s="1542"/>
    </row>
    <row r="313" spans="1:22" s="36" customFormat="1" ht="10.5" customHeight="1" thickBot="1">
      <c r="A313" s="35"/>
      <c r="B313" s="924" t="s">
        <v>3159</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50"/>
      <c r="B314" s="4351"/>
      <c r="C314" s="4351"/>
      <c r="D314" s="4351"/>
      <c r="E314" s="4351"/>
      <c r="F314" s="4351"/>
      <c r="G314" s="4351"/>
      <c r="H314" s="4351"/>
      <c r="I314" s="4351"/>
      <c r="J314" s="4351"/>
      <c r="K314" s="4351"/>
      <c r="L314" s="4351"/>
      <c r="M314" s="4351"/>
      <c r="N314" s="4351"/>
      <c r="O314" s="4351"/>
      <c r="P314" s="4352"/>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9"/>
      <c r="B316" s="4410"/>
      <c r="C316" s="4410"/>
      <c r="D316" s="4410"/>
      <c r="E316" s="4410"/>
      <c r="F316" s="4410"/>
      <c r="G316" s="4410"/>
      <c r="H316" s="4410"/>
      <c r="I316" s="4410"/>
      <c r="J316" s="4410"/>
      <c r="K316" s="4410"/>
      <c r="L316" s="4410"/>
      <c r="M316" s="4410"/>
      <c r="N316" s="4410"/>
      <c r="O316" s="4410"/>
      <c r="P316" s="4411"/>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3286</v>
      </c>
      <c r="B318" s="83" t="s">
        <v>3257</v>
      </c>
      <c r="C318" s="67"/>
      <c r="D318" s="44"/>
      <c r="E318" s="29"/>
      <c r="G318" s="44"/>
      <c r="I318" s="1535" t="s">
        <v>4150</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4133</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3258</v>
      </c>
      <c r="C320" s="67"/>
      <c r="D320" s="44"/>
      <c r="E320" s="29"/>
      <c r="G320" s="1382"/>
      <c r="I320" s="33" t="s">
        <v>3951</v>
      </c>
      <c r="K320" s="1517">
        <f>'Part VIII Scoring Criteria OLD'!P42</f>
        <v>0</v>
      </c>
      <c r="M320" s="457">
        <v>2</v>
      </c>
      <c r="N320" s="48" t="s">
        <v>1836</v>
      </c>
      <c r="P320" s="415"/>
      <c r="Q320" s="86"/>
      <c r="R320" s="854" t="s">
        <v>2453</v>
      </c>
    </row>
    <row r="321" spans="1:19" s="70" customFormat="1" ht="10.5" customHeight="1">
      <c r="A321" s="674"/>
      <c r="B321" s="306" t="s">
        <v>1839</v>
      </c>
      <c r="C321" s="29" t="s">
        <v>3719</v>
      </c>
      <c r="D321" s="26"/>
      <c r="N321" s="347" t="s">
        <v>3720</v>
      </c>
      <c r="O321" s="175"/>
      <c r="P321" s="418"/>
      <c r="R321" s="307"/>
    </row>
    <row r="322" spans="1:19" s="70" customFormat="1" ht="10.5" customHeight="1">
      <c r="A322" s="674"/>
      <c r="B322" s="306"/>
      <c r="C322" s="29" t="s">
        <v>4475</v>
      </c>
      <c r="D322" s="26"/>
      <c r="N322" s="347" t="s">
        <v>3721</v>
      </c>
      <c r="O322" s="299"/>
      <c r="P322" s="419"/>
      <c r="R322" s="307"/>
    </row>
    <row r="323" spans="1:19" s="70" customFormat="1" ht="10.5" customHeight="1">
      <c r="A323" s="674"/>
      <c r="B323" s="306" t="s">
        <v>1841</v>
      </c>
      <c r="C323" s="29" t="s">
        <v>3263</v>
      </c>
      <c r="D323" s="26"/>
      <c r="N323" s="347" t="s">
        <v>1841</v>
      </c>
      <c r="O323" s="299"/>
      <c r="P323" s="419"/>
      <c r="R323" s="307"/>
    </row>
    <row r="324" spans="1:19" s="70" customFormat="1" ht="10.5" customHeight="1">
      <c r="A324" s="674"/>
      <c r="B324" s="306" t="s">
        <v>2326</v>
      </c>
      <c r="C324" s="29" t="s">
        <v>3722</v>
      </c>
      <c r="D324" s="26"/>
      <c r="N324" s="347" t="s">
        <v>2326</v>
      </c>
      <c r="O324" s="299"/>
      <c r="P324" s="419"/>
      <c r="R324" s="307"/>
    </row>
    <row r="325" spans="1:19" s="70" customFormat="1" ht="10.5" customHeight="1">
      <c r="A325" s="922"/>
      <c r="B325" s="306" t="s">
        <v>1149</v>
      </c>
      <c r="C325" s="29" t="s">
        <v>3264</v>
      </c>
      <c r="D325" s="26"/>
      <c r="N325" s="347" t="s">
        <v>1149</v>
      </c>
      <c r="O325" s="176"/>
      <c r="P325" s="419"/>
      <c r="R325" s="307"/>
    </row>
    <row r="326" spans="1:19" s="36" customFormat="1" ht="12" customHeight="1">
      <c r="A326" s="674" t="s">
        <v>1838</v>
      </c>
      <c r="B326" s="141" t="s">
        <v>3259</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3719</v>
      </c>
      <c r="D327" s="29"/>
      <c r="E327" s="29"/>
      <c r="M327" s="119"/>
      <c r="N327" s="347" t="s">
        <v>3720</v>
      </c>
      <c r="O327" s="175"/>
      <c r="P327" s="418"/>
      <c r="Q327" s="86"/>
    </row>
    <row r="328" spans="1:19" s="70" customFormat="1" ht="10.5" customHeight="1">
      <c r="A328" s="107"/>
      <c r="B328" s="306"/>
      <c r="C328" s="29" t="s">
        <v>4476</v>
      </c>
      <c r="D328" s="26"/>
      <c r="N328" s="347" t="s">
        <v>3721</v>
      </c>
      <c r="O328" s="299"/>
      <c r="P328" s="419"/>
      <c r="R328" s="307"/>
    </row>
    <row r="329" spans="1:19" s="70" customFormat="1" ht="10.5" customHeight="1">
      <c r="A329" s="107"/>
      <c r="B329" s="306" t="s">
        <v>1841</v>
      </c>
      <c r="C329" s="29" t="s">
        <v>3275</v>
      </c>
      <c r="D329" s="26"/>
      <c r="N329" s="347" t="s">
        <v>1841</v>
      </c>
      <c r="O329" s="299"/>
      <c r="P329" s="419"/>
      <c r="R329" s="307"/>
    </row>
    <row r="330" spans="1:19" s="70" customFormat="1" ht="10.5" customHeight="1">
      <c r="B330" s="306" t="s">
        <v>2326</v>
      </c>
      <c r="C330" s="29" t="s">
        <v>3264</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50"/>
      <c r="B332" s="4151"/>
      <c r="C332" s="4151"/>
      <c r="D332" s="4151"/>
      <c r="E332" s="4151"/>
      <c r="F332" s="4151"/>
      <c r="G332" s="4151"/>
      <c r="H332" s="4151"/>
      <c r="I332" s="4151"/>
      <c r="J332" s="4151"/>
      <c r="K332" s="4151"/>
      <c r="L332" s="4151"/>
      <c r="M332" s="4151"/>
      <c r="N332" s="4151"/>
      <c r="O332" s="4151"/>
      <c r="P332" s="4152"/>
      <c r="Q332" s="353"/>
    </row>
    <row r="333" spans="1:19" ht="2.25" customHeight="1" thickBot="1"/>
    <row r="334" spans="1:19" s="36" customFormat="1" ht="13.5" customHeight="1" thickBot="1">
      <c r="A334" s="121" t="s">
        <v>3287</v>
      </c>
      <c r="B334" s="83" t="s">
        <v>1553</v>
      </c>
      <c r="D334" s="67"/>
      <c r="E334" s="67"/>
      <c r="G334" s="29"/>
      <c r="M334" s="119">
        <v>2</v>
      </c>
      <c r="N334" s="320"/>
      <c r="O334" s="886"/>
      <c r="P334" s="870"/>
      <c r="Q334" s="86" t="s">
        <v>415</v>
      </c>
      <c r="R334" s="1559" t="s">
        <v>3932</v>
      </c>
      <c r="S334" s="1559"/>
    </row>
    <row r="335" spans="1:19" s="36" customFormat="1" ht="11.25" customHeight="1">
      <c r="A335" s="107"/>
      <c r="B335" s="89" t="s">
        <v>3070</v>
      </c>
      <c r="D335" s="67"/>
      <c r="E335" s="67"/>
      <c r="G335" s="29"/>
      <c r="I335" s="3428" t="s">
        <v>3965</v>
      </c>
      <c r="J335" s="3429"/>
      <c r="K335" s="3429"/>
      <c r="L335" s="3430"/>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3159</v>
      </c>
      <c r="C337" s="35"/>
      <c r="D337" s="41"/>
      <c r="E337" s="41"/>
      <c r="F337" s="41"/>
      <c r="G337" s="41"/>
      <c r="H337" s="29"/>
      <c r="I337" s="29"/>
      <c r="J337" s="29"/>
      <c r="K337" s="29"/>
      <c r="M337" s="39"/>
      <c r="N337" s="5"/>
      <c r="O337" s="3"/>
      <c r="P337" s="119"/>
    </row>
    <row r="338" spans="1:20" s="36" customFormat="1" ht="10.9" customHeight="1" thickTop="1" thickBot="1">
      <c r="A338" s="4350"/>
      <c r="B338" s="4351"/>
      <c r="C338" s="4351"/>
      <c r="D338" s="4351"/>
      <c r="E338" s="4351"/>
      <c r="F338" s="4351"/>
      <c r="G338" s="4351"/>
      <c r="H338" s="4351"/>
      <c r="I338" s="4351"/>
      <c r="J338" s="4351"/>
      <c r="K338" s="4351"/>
      <c r="L338" s="4351"/>
      <c r="M338" s="4351"/>
      <c r="N338" s="4351"/>
      <c r="O338" s="4351"/>
      <c r="P338" s="4352"/>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50"/>
      <c r="B340" s="4151"/>
      <c r="C340" s="4151"/>
      <c r="D340" s="4151"/>
      <c r="E340" s="4151"/>
      <c r="F340" s="4151"/>
      <c r="G340" s="4151"/>
      <c r="H340" s="4151"/>
      <c r="I340" s="4151"/>
      <c r="J340" s="4151"/>
      <c r="K340" s="4151"/>
      <c r="L340" s="4151"/>
      <c r="M340" s="4151"/>
      <c r="N340" s="4151"/>
      <c r="O340" s="4151"/>
      <c r="P340" s="4152"/>
      <c r="Q340" s="353"/>
    </row>
    <row r="341" spans="1:20" ht="3" customHeight="1" thickBot="1"/>
    <row r="342" spans="1:20" s="36" customFormat="1" ht="13.5" customHeight="1" thickBot="1">
      <c r="A342" s="120" t="s">
        <v>3290</v>
      </c>
      <c r="B342" s="83" t="s">
        <v>3261</v>
      </c>
      <c r="D342" s="67"/>
      <c r="E342" s="67"/>
      <c r="F342" s="29"/>
      <c r="G342" s="29"/>
      <c r="H342" s="29"/>
      <c r="J342" s="1877" t="s">
        <v>4044</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4497</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506" t="str">
        <f>IF(OR(O344="No",O344="",O345="No",O345="",O346="No",O346="",O347="No",O347=""),"Unmet criterion results in no points!","")</f>
        <v>Unmet criterion results in no points!</v>
      </c>
      <c r="M344" s="4506"/>
      <c r="N344" s="49" t="s">
        <v>2234</v>
      </c>
      <c r="O344" s="175"/>
      <c r="P344" s="418"/>
      <c r="R344" s="4502" t="str">
        <f>IF(OR(P344="No",P344="",P345="No",P345="",P346="No",P346="",P347="No",P347=""),"Unmet criterion results in no points!","")</f>
        <v>Unmet criterion results in no points!</v>
      </c>
      <c r="S344" s="4502" t="e">
        <f>IF(OR(V344="No",V344="",V345="No",V345="",V346="No",V346="",V347="No",V347="",#REF!="No",#REF!="",#REF!="No",#REF!=""),"Unmet criterion results in no points!","")</f>
        <v>#REF!</v>
      </c>
    </row>
    <row r="345" spans="1:20" s="79" customFormat="1" ht="12.75" customHeight="1">
      <c r="B345" s="49" t="s">
        <v>2235</v>
      </c>
      <c r="C345" s="29" t="s">
        <v>3193</v>
      </c>
      <c r="L345" s="4506"/>
      <c r="M345" s="4506"/>
      <c r="N345" s="49" t="s">
        <v>2235</v>
      </c>
      <c r="O345" s="299"/>
      <c r="P345" s="419"/>
      <c r="R345" s="4502"/>
      <c r="S345" s="4502"/>
    </row>
    <row r="346" spans="1:20" s="79" customFormat="1" ht="12.75" customHeight="1">
      <c r="B346" s="49" t="s">
        <v>2236</v>
      </c>
      <c r="C346" s="29" t="s">
        <v>3192</v>
      </c>
      <c r="L346" s="4506"/>
      <c r="M346" s="4506"/>
      <c r="N346" s="49" t="s">
        <v>2236</v>
      </c>
      <c r="O346" s="299"/>
      <c r="P346" s="419"/>
      <c r="R346" s="4502"/>
      <c r="S346" s="4502"/>
    </row>
    <row r="347" spans="1:20" s="79" customFormat="1" ht="33.75" customHeight="1">
      <c r="B347" s="117" t="s">
        <v>2237</v>
      </c>
      <c r="C347" s="4111" t="s">
        <v>4496</v>
      </c>
      <c r="D347" s="4111"/>
      <c r="E347" s="4111"/>
      <c r="F347" s="4111"/>
      <c r="G347" s="4111"/>
      <c r="H347" s="4111"/>
      <c r="I347" s="4111"/>
      <c r="J347" s="4111"/>
      <c r="K347" s="4111"/>
      <c r="L347" s="4111"/>
      <c r="M347" s="4111"/>
      <c r="N347" s="117" t="s">
        <v>2237</v>
      </c>
      <c r="O347" s="883"/>
      <c r="P347" s="882"/>
    </row>
    <row r="348" spans="1:20" ht="3" customHeight="1" thickBot="1">
      <c r="C348" s="4111"/>
      <c r="D348" s="4111"/>
      <c r="E348" s="4111"/>
      <c r="F348" s="4111"/>
      <c r="G348" s="4111"/>
      <c r="H348" s="4111"/>
      <c r="I348" s="4111"/>
      <c r="J348" s="4111"/>
      <c r="K348" s="4111"/>
      <c r="L348" s="4111"/>
      <c r="M348" s="4111"/>
    </row>
    <row r="349" spans="1:20" ht="12.75" customHeight="1" thickBot="1">
      <c r="A349" s="793" t="s">
        <v>1836</v>
      </c>
      <c r="B349" s="141" t="s">
        <v>3262</v>
      </c>
      <c r="L349" s="307" t="str">
        <f>IF(O349&lt;=M349,"","* * Check Score! * *")</f>
        <v/>
      </c>
      <c r="M349" s="457">
        <v>3</v>
      </c>
      <c r="N349" s="48" t="s">
        <v>1836</v>
      </c>
      <c r="O349" s="1538"/>
      <c r="P349" s="1539"/>
      <c r="Q349" s="785" t="str">
        <f>IF(O349&lt;=M349,"","*CHECK!*")</f>
        <v/>
      </c>
      <c r="R349" s="392" t="s">
        <v>3932</v>
      </c>
      <c r="S349" s="392"/>
      <c r="T349" s="1362"/>
    </row>
    <row r="350" spans="1:20" ht="12.75" customHeight="1">
      <c r="A350" s="793"/>
      <c r="B350" s="673" t="s">
        <v>4613</v>
      </c>
      <c r="C350" s="108"/>
      <c r="D350" s="108"/>
      <c r="E350" s="108"/>
      <c r="F350" s="108"/>
      <c r="G350" s="108"/>
      <c r="H350" s="108"/>
      <c r="I350" s="108"/>
      <c r="N350"/>
      <c r="O350" s="1337"/>
      <c r="P350" s="1336"/>
      <c r="R350" s="392"/>
      <c r="S350" s="392"/>
      <c r="T350" s="1362"/>
    </row>
    <row r="351" spans="1:20" ht="12.75" customHeight="1">
      <c r="A351" s="793"/>
      <c r="B351" s="1849" t="s">
        <v>4612</v>
      </c>
      <c r="C351" s="108"/>
      <c r="D351" s="108"/>
      <c r="E351" s="108"/>
      <c r="F351" s="108"/>
      <c r="G351" s="108"/>
      <c r="H351" s="108"/>
      <c r="I351" s="108"/>
      <c r="J351" s="4451" t="s">
        <v>1843</v>
      </c>
      <c r="K351" s="4451"/>
      <c r="M351" s="4451" t="s">
        <v>1843</v>
      </c>
      <c r="N351" s="4451"/>
      <c r="O351" s="4451"/>
      <c r="P351" s="4451"/>
      <c r="R351" s="1746"/>
      <c r="S351" s="1746"/>
      <c r="T351" s="1362"/>
    </row>
    <row r="352" spans="1:20" s="36" customFormat="1" ht="12.75" customHeight="1">
      <c r="A352" s="151"/>
      <c r="B352" s="150" t="s">
        <v>4498</v>
      </c>
      <c r="C352" s="29" t="s">
        <v>1386</v>
      </c>
      <c r="I352" s="49" t="s">
        <v>2234</v>
      </c>
      <c r="J352" s="4441"/>
      <c r="K352" s="4442"/>
      <c r="L352" s="49" t="s">
        <v>2234</v>
      </c>
      <c r="M352" s="4545"/>
      <c r="N352" s="4546"/>
      <c r="O352" s="4546"/>
      <c r="P352" s="4547"/>
      <c r="R352" s="307"/>
    </row>
    <row r="353" spans="1:18" ht="12.75" customHeight="1">
      <c r="A353" s="152"/>
      <c r="B353" s="117" t="s">
        <v>2235</v>
      </c>
      <c r="C353" s="29" t="s">
        <v>3072</v>
      </c>
      <c r="I353" s="117" t="s">
        <v>2235</v>
      </c>
      <c r="J353" s="4446"/>
      <c r="K353" s="4447"/>
      <c r="L353" s="117" t="s">
        <v>2235</v>
      </c>
      <c r="M353" s="4448"/>
      <c r="N353" s="4449"/>
      <c r="O353" s="4449"/>
      <c r="P353" s="4450"/>
      <c r="R353" s="307"/>
    </row>
    <row r="354" spans="1:18" ht="12.75" customHeight="1">
      <c r="B354" s="49" t="s">
        <v>2236</v>
      </c>
      <c r="C354" s="29" t="s">
        <v>3833</v>
      </c>
      <c r="I354" s="49" t="s">
        <v>2236</v>
      </c>
      <c r="J354" s="4446"/>
      <c r="K354" s="4447"/>
      <c r="L354" s="49" t="s">
        <v>2236</v>
      </c>
      <c r="M354" s="4448"/>
      <c r="N354" s="4449"/>
      <c r="O354" s="4449"/>
      <c r="P354" s="4450"/>
      <c r="R354" s="307"/>
    </row>
    <row r="355" spans="1:18" ht="12.75" customHeight="1">
      <c r="A355" s="152"/>
      <c r="B355" s="49" t="s">
        <v>2237</v>
      </c>
      <c r="C355" s="29" t="s">
        <v>2988</v>
      </c>
      <c r="I355" s="49" t="s">
        <v>2237</v>
      </c>
      <c r="J355" s="4446"/>
      <c r="K355" s="4447"/>
      <c r="L355" s="49" t="s">
        <v>2237</v>
      </c>
      <c r="M355" s="4448"/>
      <c r="N355" s="4449"/>
      <c r="O355" s="4449"/>
      <c r="P355" s="4450"/>
      <c r="R355" s="307"/>
    </row>
    <row r="356" spans="1:18" s="36" customFormat="1" ht="12.75" customHeight="1">
      <c r="A356" s="151"/>
      <c r="B356" s="117" t="s">
        <v>2238</v>
      </c>
      <c r="C356" s="29" t="s">
        <v>2467</v>
      </c>
      <c r="I356" s="117" t="s">
        <v>2238</v>
      </c>
      <c r="J356" s="4446"/>
      <c r="K356" s="4447"/>
      <c r="L356" s="117" t="s">
        <v>2238</v>
      </c>
      <c r="M356" s="4448"/>
      <c r="N356" s="4449"/>
      <c r="O356" s="4449"/>
      <c r="P356" s="4450"/>
      <c r="R356" s="307"/>
    </row>
    <row r="357" spans="1:18" ht="12.75" customHeight="1">
      <c r="B357" s="49" t="s">
        <v>2254</v>
      </c>
      <c r="C357" s="29" t="s">
        <v>1385</v>
      </c>
      <c r="I357" s="49" t="s">
        <v>2254</v>
      </c>
      <c r="J357" s="4446"/>
      <c r="K357" s="4447"/>
      <c r="L357" s="49" t="s">
        <v>2254</v>
      </c>
      <c r="M357" s="4448"/>
      <c r="N357" s="4449"/>
      <c r="O357" s="4449"/>
      <c r="P357" s="4450"/>
      <c r="R357" s="307"/>
    </row>
    <row r="358" spans="1:18" ht="12.75" customHeight="1">
      <c r="B358" s="49" t="s">
        <v>2255</v>
      </c>
      <c r="C358" s="29" t="s">
        <v>4134</v>
      </c>
      <c r="I358" s="49" t="s">
        <v>2255</v>
      </c>
      <c r="J358" s="4446"/>
      <c r="K358" s="4447"/>
      <c r="L358" s="49" t="s">
        <v>2255</v>
      </c>
      <c r="M358" s="1513"/>
      <c r="N358" s="1514"/>
      <c r="O358" s="1514"/>
      <c r="P358" s="1515"/>
      <c r="R358" s="307"/>
    </row>
    <row r="359" spans="1:18" ht="12.75" customHeight="1">
      <c r="A359" s="152"/>
      <c r="B359" s="48" t="s">
        <v>2256</v>
      </c>
      <c r="C359" s="29" t="s">
        <v>3071</v>
      </c>
      <c r="I359" s="48" t="s">
        <v>2256</v>
      </c>
      <c r="J359" s="4446"/>
      <c r="K359" s="4447"/>
      <c r="L359" s="48" t="s">
        <v>2256</v>
      </c>
      <c r="M359" s="4448"/>
      <c r="N359" s="4449"/>
      <c r="O359" s="4449"/>
      <c r="P359" s="4450"/>
      <c r="R359" s="307"/>
    </row>
    <row r="360" spans="1:18" ht="12.75" customHeight="1">
      <c r="B360" s="48" t="s">
        <v>2257</v>
      </c>
      <c r="C360" s="29" t="s">
        <v>4499</v>
      </c>
      <c r="I360" s="48" t="s">
        <v>2257</v>
      </c>
      <c r="J360" s="4446"/>
      <c r="K360" s="4447"/>
      <c r="L360" s="48" t="s">
        <v>2257</v>
      </c>
      <c r="M360" s="4448"/>
      <c r="N360" s="4449"/>
      <c r="O360" s="4449"/>
      <c r="P360" s="4450"/>
      <c r="R360" s="307"/>
    </row>
    <row r="361" spans="1:18" ht="12.75" customHeight="1">
      <c r="B361" s="48" t="s">
        <v>3073</v>
      </c>
      <c r="C361" s="29" t="s">
        <v>3705</v>
      </c>
      <c r="I361" s="48" t="s">
        <v>3073</v>
      </c>
      <c r="J361" s="4446"/>
      <c r="K361" s="4447"/>
      <c r="L361" s="48" t="s">
        <v>3073</v>
      </c>
      <c r="M361" s="4448"/>
      <c r="N361" s="4449"/>
      <c r="O361" s="4449"/>
      <c r="P361" s="4450"/>
      <c r="R361" s="307"/>
    </row>
    <row r="362" spans="1:18" ht="12.75" customHeight="1" thickBot="1">
      <c r="B362" s="48" t="s">
        <v>4135</v>
      </c>
      <c r="C362" s="29" t="s">
        <v>4136</v>
      </c>
      <c r="I362" s="48" t="s">
        <v>4135</v>
      </c>
      <c r="J362" s="4446"/>
      <c r="K362" s="4447"/>
      <c r="L362" s="48" t="s">
        <v>4135</v>
      </c>
      <c r="M362" s="4536"/>
      <c r="N362" s="4537"/>
      <c r="O362" s="4537"/>
      <c r="P362" s="4538"/>
      <c r="R362" s="307"/>
    </row>
    <row r="363" spans="1:18" ht="12.75" customHeight="1" thickBot="1">
      <c r="B363" s="906" t="s">
        <v>4500</v>
      </c>
      <c r="H363" s="89" t="s">
        <v>2406</v>
      </c>
      <c r="J363" s="4437">
        <f>SUM(J352:K362)</f>
        <v>0</v>
      </c>
      <c r="K363" s="4438"/>
      <c r="M363" s="4437">
        <f>SUM($M352:$M362)</f>
        <v>0</v>
      </c>
      <c r="N363" s="4440"/>
      <c r="O363" s="4440"/>
      <c r="P363" s="4438"/>
      <c r="R363" s="307"/>
    </row>
    <row r="364" spans="1:18" ht="6" customHeight="1">
      <c r="M364" s="392"/>
      <c r="N364" s="392"/>
      <c r="O364" s="115"/>
      <c r="P364" s="392"/>
    </row>
    <row r="365" spans="1:18" s="36" customFormat="1" ht="12" customHeight="1">
      <c r="A365" s="35"/>
      <c r="B365" s="1134" t="s">
        <v>1841</v>
      </c>
      <c r="C365" s="399" t="s">
        <v>2405</v>
      </c>
      <c r="D365" s="230"/>
      <c r="E365" s="230"/>
      <c r="F365" s="33" t="s">
        <v>4137</v>
      </c>
      <c r="H365"/>
      <c r="I365"/>
      <c r="J365" s="4555" t="e">
        <f>#REF!</f>
        <v>#REF!</v>
      </c>
      <c r="K365" s="4556"/>
      <c r="L365" s="429"/>
      <c r="M365" s="392"/>
      <c r="N365" s="392"/>
      <c r="O365" s="868"/>
      <c r="P365" s="392"/>
    </row>
    <row r="366" spans="1:18" ht="13.5" customHeight="1">
      <c r="C366" s="230"/>
      <c r="D366" s="230"/>
      <c r="E366" s="230"/>
      <c r="F366" s="348" t="s">
        <v>4138</v>
      </c>
      <c r="J366" s="4553" t="e">
        <f>IF(J365=0,0,J363/J365)</f>
        <v>#REF!</v>
      </c>
      <c r="K366" s="4554"/>
      <c r="M366" s="4443" t="e">
        <f>IF($J365=0,0,$M363/$J365)</f>
        <v>#REF!</v>
      </c>
      <c r="N366" s="4444"/>
      <c r="O366" s="4444"/>
      <c r="P366" s="4445"/>
    </row>
    <row r="367" spans="1:18" s="36" customFormat="1" ht="12.75" customHeight="1">
      <c r="C367" s="230"/>
      <c r="D367" s="230"/>
      <c r="E367" s="230"/>
      <c r="F367" s="44" t="s">
        <v>4139</v>
      </c>
      <c r="I367"/>
      <c r="J367" s="4527">
        <f>IF(L344="", IF($J366&gt;=30000, 3,IF($J366&gt;=20000, 2,IF($J366&gt;=10000,1,0))),0)</f>
        <v>0</v>
      </c>
      <c r="K367" s="4528"/>
      <c r="L367" s="397"/>
      <c r="M367" s="4527">
        <f>IF(R344="", IF($M366&gt;=30000, 3,IF($M366&gt;=20000, 2,IF($M366&gt;=10000,1,0))),0)</f>
        <v>0</v>
      </c>
      <c r="N367" s="4552"/>
      <c r="O367" s="4552"/>
      <c r="P367" s="4528"/>
    </row>
    <row r="368" spans="1:18" ht="9" customHeight="1" thickBot="1"/>
    <row r="369" spans="1:22" s="70" customFormat="1" ht="12.75" customHeight="1" thickBot="1">
      <c r="A369" s="674" t="s">
        <v>1838</v>
      </c>
      <c r="B369" s="153" t="s">
        <v>3074</v>
      </c>
      <c r="D369" s="32"/>
      <c r="E369" s="29"/>
      <c r="F369" s="119"/>
      <c r="H369" s="29"/>
      <c r="I369" s="119"/>
      <c r="J369" s="33"/>
      <c r="K369" s="33"/>
      <c r="L369" s="307" t="str">
        <f>IF(OR($O369=$M369,$O369=0,$O369=""),"","* * Check Score! * *")</f>
        <v/>
      </c>
      <c r="M369" s="457">
        <v>1</v>
      </c>
      <c r="N369" s="48" t="s">
        <v>1838</v>
      </c>
      <c r="O369" s="886"/>
      <c r="P369" s="870"/>
      <c r="Q369" s="782" t="s">
        <v>3932</v>
      </c>
      <c r="V369" s="832"/>
    </row>
    <row r="370" spans="1:22" s="36" customFormat="1" ht="22.5" customHeight="1">
      <c r="A370" s="107"/>
      <c r="B370" s="349" t="s">
        <v>1839</v>
      </c>
      <c r="C370" s="4111" t="s">
        <v>4501</v>
      </c>
      <c r="D370" s="4111"/>
      <c r="E370" s="4111"/>
      <c r="F370" s="4111"/>
      <c r="G370" s="4111"/>
      <c r="H370" s="4111"/>
      <c r="I370" s="4111"/>
      <c r="J370" s="4111"/>
      <c r="K370" s="4111"/>
      <c r="L370" s="4111"/>
      <c r="M370" s="4111"/>
      <c r="N370" s="373" t="s">
        <v>1839</v>
      </c>
      <c r="O370" s="825"/>
      <c r="P370" s="1502"/>
      <c r="V370" s="832"/>
    </row>
    <row r="371" spans="1:22" s="36" customFormat="1" ht="12.75" customHeight="1">
      <c r="A371" s="107"/>
      <c r="B371" s="306" t="s">
        <v>1841</v>
      </c>
      <c r="C371" s="29" t="s">
        <v>3187</v>
      </c>
      <c r="D371" s="29"/>
      <c r="E371" s="29"/>
      <c r="F371" s="29"/>
      <c r="G371" s="29"/>
      <c r="H371" s="29"/>
      <c r="I371" s="29"/>
      <c r="J371" s="29"/>
      <c r="K371" s="29"/>
      <c r="M371" s="29"/>
      <c r="N371" s="347" t="s">
        <v>1841</v>
      </c>
      <c r="O371" s="299"/>
      <c r="P371" s="419"/>
      <c r="V371" s="832"/>
    </row>
    <row r="372" spans="1:22" ht="12.75" customHeight="1">
      <c r="B372" s="306" t="s">
        <v>2326</v>
      </c>
      <c r="C372" s="44" t="s">
        <v>3706</v>
      </c>
      <c r="N372" s="347" t="s">
        <v>2326</v>
      </c>
      <c r="O372" s="176"/>
      <c r="P372" s="420"/>
    </row>
    <row r="373" spans="1:22" ht="12" customHeight="1" thickBot="1">
      <c r="B373" s="924" t="s">
        <v>3159</v>
      </c>
    </row>
    <row r="374" spans="1:22" s="36" customFormat="1" ht="21.75" customHeight="1" thickTop="1" thickBot="1">
      <c r="A374" s="4350"/>
      <c r="B374" s="4351"/>
      <c r="C374" s="4351"/>
      <c r="D374" s="4351"/>
      <c r="E374" s="4351"/>
      <c r="F374" s="4351"/>
      <c r="G374" s="4351"/>
      <c r="H374" s="4351"/>
      <c r="I374" s="4351"/>
      <c r="J374" s="4351"/>
      <c r="K374" s="4351"/>
      <c r="L374" s="4351"/>
      <c r="M374" s="4351"/>
      <c r="N374" s="4351"/>
      <c r="O374" s="4351"/>
      <c r="P374" s="4352"/>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50"/>
      <c r="B376" s="4151"/>
      <c r="C376" s="4151"/>
      <c r="D376" s="4151"/>
      <c r="E376" s="4151"/>
      <c r="F376" s="4151"/>
      <c r="G376" s="4151"/>
      <c r="H376" s="4151"/>
      <c r="I376" s="4151"/>
      <c r="J376" s="4151"/>
      <c r="K376" s="4151"/>
      <c r="L376" s="4151"/>
      <c r="M376" s="4151"/>
      <c r="N376" s="4151"/>
      <c r="O376" s="4151"/>
      <c r="P376" s="4152"/>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3291</v>
      </c>
      <c r="B378" s="83" t="s">
        <v>2463</v>
      </c>
      <c r="D378" s="33"/>
      <c r="G378" s="46" t="s">
        <v>3990</v>
      </c>
      <c r="I378" s="1463" t="s">
        <v>4150</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28" t="s">
        <v>3765</v>
      </c>
      <c r="E380" s="3429"/>
      <c r="F380" s="3429"/>
      <c r="G380" s="3429"/>
      <c r="H380" s="3429"/>
      <c r="I380" s="3430"/>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3834</v>
      </c>
      <c r="C382" s="108"/>
      <c r="D382" s="108"/>
      <c r="E382" s="108"/>
      <c r="F382" s="108"/>
      <c r="G382" s="108"/>
      <c r="H382" s="108"/>
      <c r="I382" s="108"/>
      <c r="M382" s="1758">
        <v>2</v>
      </c>
      <c r="N382" s="128" t="s">
        <v>1836</v>
      </c>
      <c r="O382" s="458"/>
      <c r="P382" s="1019"/>
      <c r="Q382" s="785" t="str">
        <f>IF(OR($O382=$M382,$O382=0,$O382=""),"","*CHECK!*")</f>
        <v/>
      </c>
      <c r="R382" s="782" t="s">
        <v>3932</v>
      </c>
    </row>
    <row r="383" spans="1:22" s="331" customFormat="1" ht="12" customHeight="1">
      <c r="A383" s="330"/>
      <c r="B383" s="4133" t="s">
        <v>4502</v>
      </c>
      <c r="C383" s="4133"/>
      <c r="D383" s="4133"/>
      <c r="E383" s="4133"/>
      <c r="F383" s="4133"/>
      <c r="G383" s="4133"/>
      <c r="H383" s="4133"/>
      <c r="I383" s="4133"/>
      <c r="J383" s="4133"/>
      <c r="K383" s="4133"/>
      <c r="L383" s="4133"/>
      <c r="M383" s="4535" t="s">
        <v>3766</v>
      </c>
      <c r="N383" s="4535"/>
      <c r="Q383" s="147"/>
    </row>
    <row r="384" spans="1:22" s="331" customFormat="1" ht="12" customHeight="1">
      <c r="B384" s="4133"/>
      <c r="C384" s="4133"/>
      <c r="D384" s="4133"/>
      <c r="E384" s="4133"/>
      <c r="F384" s="4133"/>
      <c r="G384" s="4133"/>
      <c r="H384" s="4133"/>
      <c r="I384" s="4133"/>
      <c r="J384" s="4133"/>
      <c r="K384" s="4133"/>
      <c r="L384" s="4133"/>
      <c r="M384" s="4535"/>
      <c r="N384" s="4535"/>
      <c r="O384" s="4541" t="e">
        <f>#REF!</f>
        <v>#REF!</v>
      </c>
      <c r="P384" s="4542"/>
      <c r="Q384" s="147"/>
    </row>
    <row r="385" spans="1:19" s="331" customFormat="1" ht="12" customHeight="1">
      <c r="B385" s="4133"/>
      <c r="C385" s="4133"/>
      <c r="D385" s="4133"/>
      <c r="E385" s="4133"/>
      <c r="F385" s="4133"/>
      <c r="G385" s="4133"/>
      <c r="H385" s="4133"/>
      <c r="I385" s="4133"/>
      <c r="J385" s="4133"/>
      <c r="K385" s="4133"/>
      <c r="L385" s="4133"/>
      <c r="M385" s="241" t="s">
        <v>2511</v>
      </c>
      <c r="N385" s="332"/>
      <c r="O385" s="4539" t="e">
        <f>#REF!</f>
        <v>#REF!</v>
      </c>
      <c r="P385" s="4540"/>
      <c r="Q385" s="147"/>
    </row>
    <row r="386" spans="1:19" s="331" customFormat="1" ht="12" customHeight="1">
      <c r="B386" s="4532"/>
      <c r="C386" s="4532"/>
      <c r="D386" s="4532"/>
      <c r="E386" s="4532"/>
      <c r="F386" s="4532"/>
      <c r="G386" s="4532"/>
      <c r="H386" s="4532"/>
      <c r="I386" s="4532"/>
      <c r="J386" s="4532"/>
      <c r="K386" s="4532"/>
      <c r="L386" s="4532"/>
      <c r="M386" s="1135" t="s">
        <v>2512</v>
      </c>
      <c r="N386" s="332"/>
      <c r="O386" s="4533" t="e">
        <f>IF(O385=0,0,O384/O385)</f>
        <v>#REF!</v>
      </c>
      <c r="P386" s="4534"/>
      <c r="Q386" s="147"/>
    </row>
    <row r="387" spans="1:19" s="36" customFormat="1" ht="105.75" customHeight="1">
      <c r="A387" s="410"/>
      <c r="B387" s="4162" t="s">
        <v>3329</v>
      </c>
      <c r="C387" s="4163"/>
      <c r="D387" s="4163"/>
      <c r="E387" s="4163"/>
      <c r="F387" s="4163"/>
      <c r="G387" s="4163"/>
      <c r="H387" s="4163"/>
      <c r="I387" s="4163"/>
      <c r="J387" s="4163"/>
      <c r="K387" s="4163"/>
      <c r="L387" s="4163"/>
      <c r="M387" s="4163"/>
      <c r="N387" s="4163"/>
      <c r="O387" s="4163"/>
      <c r="P387" s="4164"/>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3328</v>
      </c>
      <c r="B389" s="100" t="s">
        <v>3835</v>
      </c>
      <c r="C389" s="108"/>
      <c r="H389" s="108"/>
      <c r="M389" s="332">
        <v>2</v>
      </c>
      <c r="N389" s="128" t="s">
        <v>1838</v>
      </c>
      <c r="O389" s="458"/>
      <c r="P389" s="1019"/>
      <c r="Q389" s="785" t="str">
        <f>IF(OR($O389=$M389,$O389=0,$O389=""),"","*CHECK!*")</f>
        <v/>
      </c>
      <c r="R389" s="782" t="s">
        <v>3932</v>
      </c>
    </row>
    <row r="390" spans="1:19" s="331" customFormat="1" ht="11.25" customHeight="1">
      <c r="A390" s="411"/>
      <c r="B390" s="108" t="s">
        <v>4503</v>
      </c>
      <c r="C390" s="108"/>
      <c r="D390" s="108"/>
      <c r="E390" s="108"/>
      <c r="F390" s="108"/>
      <c r="G390" s="108"/>
      <c r="H390" s="108"/>
      <c r="I390" s="108"/>
      <c r="J390" s="108"/>
      <c r="K390" s="108"/>
      <c r="L390" s="108"/>
      <c r="Q390" s="147"/>
    </row>
    <row r="391" spans="1:19" s="331" customFormat="1" ht="11.25" customHeight="1">
      <c r="A391" s="411"/>
      <c r="E391" s="1752"/>
      <c r="G391" s="1182" t="s">
        <v>3707</v>
      </c>
      <c r="H391" s="1754" t="e">
        <f>#REF!</f>
        <v>#REF!</v>
      </c>
      <c r="I391" s="934" t="s">
        <v>2511</v>
      </c>
      <c r="J391" s="409" t="e">
        <f>#REF!</f>
        <v>#REF!</v>
      </c>
      <c r="K391" s="1756" t="s">
        <v>2512</v>
      </c>
      <c r="L391" s="1755" t="e">
        <f>IF(J391=0,0,H391/J391)</f>
        <v>#REF!</v>
      </c>
      <c r="N391" s="1753"/>
      <c r="Q391" s="147"/>
    </row>
    <row r="392" spans="1:19" s="36" customFormat="1" ht="11.25" customHeight="1" thickBot="1">
      <c r="A392" s="35"/>
      <c r="B392" s="924" t="s">
        <v>3159</v>
      </c>
      <c r="C392" s="35"/>
      <c r="D392" s="41"/>
      <c r="E392" s="41"/>
      <c r="F392" s="41"/>
      <c r="G392" s="41"/>
      <c r="H392" s="29"/>
      <c r="I392" s="29"/>
      <c r="J392" s="29"/>
      <c r="K392" s="29"/>
      <c r="M392" s="39"/>
      <c r="N392" s="47"/>
      <c r="O392" s="3"/>
      <c r="P392" s="24"/>
    </row>
    <row r="393" spans="1:19" s="36" customFormat="1" ht="73.5" customHeight="1" thickTop="1" thickBot="1">
      <c r="A393" s="4350"/>
      <c r="B393" s="4351"/>
      <c r="C393" s="4351"/>
      <c r="D393" s="4351"/>
      <c r="E393" s="4351"/>
      <c r="F393" s="4351"/>
      <c r="G393" s="4351"/>
      <c r="H393" s="4351"/>
      <c r="I393" s="4351"/>
      <c r="J393" s="4351"/>
      <c r="K393" s="4351"/>
      <c r="L393" s="4351"/>
      <c r="M393" s="4351"/>
      <c r="N393" s="4351"/>
      <c r="O393" s="4351"/>
      <c r="P393" s="4352"/>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50"/>
      <c r="B395" s="4151"/>
      <c r="C395" s="4151"/>
      <c r="D395" s="4151"/>
      <c r="E395" s="4151"/>
      <c r="F395" s="4151"/>
      <c r="G395" s="4151"/>
      <c r="H395" s="4151"/>
      <c r="I395" s="4151"/>
      <c r="J395" s="4151"/>
      <c r="K395" s="4151"/>
      <c r="L395" s="4151"/>
      <c r="M395" s="4151"/>
      <c r="N395" s="4151"/>
      <c r="O395" s="4151"/>
      <c r="P395" s="4152"/>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3292</v>
      </c>
      <c r="B397" s="83" t="s">
        <v>3911</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81">
        <v>10</v>
      </c>
      <c r="P399" s="1781">
        <v>10</v>
      </c>
      <c r="Q399" s="86"/>
    </row>
    <row r="400" spans="1:19" s="70" customFormat="1" ht="12.75" customHeight="1">
      <c r="A400" s="121"/>
      <c r="B400" s="66" t="s">
        <v>3095</v>
      </c>
      <c r="D400" s="38"/>
      <c r="E400" s="38"/>
      <c r="F400" s="32"/>
      <c r="G400" s="29"/>
      <c r="I400" s="29"/>
      <c r="J400" s="29"/>
      <c r="K400" s="29"/>
      <c r="L400" s="307"/>
      <c r="M400" s="119"/>
      <c r="N400" s="5"/>
      <c r="O400" s="890"/>
      <c r="P400" s="888"/>
      <c r="Q400" s="86"/>
    </row>
    <row r="401" spans="1:21" s="70" customFormat="1" ht="12.75" customHeight="1">
      <c r="A401" s="121"/>
      <c r="B401" s="66" t="s">
        <v>3096</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50"/>
      <c r="B403" s="4151"/>
      <c r="C403" s="4151"/>
      <c r="D403" s="4151"/>
      <c r="E403" s="4151"/>
      <c r="F403" s="4151"/>
      <c r="G403" s="4151"/>
      <c r="H403" s="4151"/>
      <c r="I403" s="4151"/>
      <c r="J403" s="4151"/>
      <c r="K403" s="4151"/>
      <c r="L403" s="4151"/>
      <c r="M403" s="4151"/>
      <c r="N403" s="4151"/>
      <c r="O403" s="4151"/>
      <c r="P403" s="4152"/>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3293</v>
      </c>
      <c r="B405" s="83" t="s">
        <v>4504</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4505</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4506</v>
      </c>
      <c r="C407" s="26"/>
      <c r="D407" s="70"/>
      <c r="E407" s="66"/>
      <c r="F407" s="29"/>
      <c r="G407" s="29"/>
      <c r="H407" s="29"/>
      <c r="I407" s="70"/>
      <c r="J407" s="70"/>
      <c r="K407" s="31"/>
      <c r="L407" s="1880"/>
      <c r="M407" s="457">
        <v>1</v>
      </c>
      <c r="N407" s="1573" t="s">
        <v>1836</v>
      </c>
      <c r="O407" s="1261"/>
      <c r="P407" s="1262"/>
      <c r="Q407" s="785" t="str">
        <f>IF(OR($O407=$M407,$O407=0,$O407=""),"","*CHECK!*")</f>
        <v/>
      </c>
      <c r="R407" s="782" t="s">
        <v>2453</v>
      </c>
    </row>
    <row r="408" spans="1:21" s="108" customFormat="1" ht="12" customHeight="1">
      <c r="A408" s="674" t="s">
        <v>1838</v>
      </c>
      <c r="B408" s="141" t="s">
        <v>4507</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4140</v>
      </c>
      <c r="C409" s="26"/>
      <c r="D409" s="26"/>
      <c r="E409" s="26"/>
      <c r="F409" s="26"/>
      <c r="G409" s="26"/>
      <c r="H409" s="26"/>
      <c r="I409" s="26"/>
      <c r="J409" s="26"/>
      <c r="K409" s="26"/>
      <c r="L409" s="26"/>
      <c r="M409" s="457">
        <v>1</v>
      </c>
      <c r="N409" s="1573" t="s">
        <v>697</v>
      </c>
      <c r="O409" s="1783"/>
      <c r="P409" s="1784"/>
      <c r="Q409" s="785" t="str">
        <f>IF(OR($O409=$M409,$O409=0,$O409=""),"","*CHECK!*")</f>
        <v/>
      </c>
      <c r="R409" s="782" t="s">
        <v>2453</v>
      </c>
      <c r="S409" s="36"/>
      <c r="T409" s="36"/>
      <c r="U409" s="36"/>
    </row>
    <row r="410" spans="1:21" s="72" customFormat="1" ht="12" customHeight="1">
      <c r="A410" s="674" t="s">
        <v>1957</v>
      </c>
      <c r="B410" s="141" t="s">
        <v>4508</v>
      </c>
      <c r="H410" s="29"/>
      <c r="M410" s="457">
        <v>2</v>
      </c>
      <c r="N410" s="1573" t="s">
        <v>1957</v>
      </c>
      <c r="O410" s="891">
        <f>O411-O412</f>
        <v>2</v>
      </c>
      <c r="P410" s="891">
        <f>P411-P412</f>
        <v>2</v>
      </c>
      <c r="Q410" s="785" t="str">
        <f>IF(OR($O410=$M410,$O410=0,$O410=""),"","*CHECK!*")</f>
        <v/>
      </c>
    </row>
    <row r="411" spans="1:21" s="70" customFormat="1" ht="12" customHeight="1">
      <c r="A411" s="121"/>
      <c r="C411" s="66" t="s">
        <v>3094</v>
      </c>
      <c r="D411" s="38"/>
      <c r="E411" s="38"/>
      <c r="I411" s="29"/>
      <c r="J411" s="29"/>
      <c r="K411" s="29"/>
      <c r="L411" s="307"/>
      <c r="M411" s="119"/>
      <c r="N411" s="5"/>
      <c r="O411" s="1852">
        <v>2</v>
      </c>
      <c r="P411" s="1852">
        <v>2</v>
      </c>
      <c r="Q411" s="86"/>
    </row>
    <row r="412" spans="1:21" s="70" customFormat="1" ht="12" customHeight="1">
      <c r="A412" s="121"/>
      <c r="C412" s="66" t="s">
        <v>3095</v>
      </c>
      <c r="D412" s="38"/>
      <c r="E412" s="38"/>
      <c r="F412" s="32"/>
      <c r="G412" s="29"/>
      <c r="I412" s="29"/>
      <c r="J412" s="29"/>
      <c r="K412" s="29"/>
      <c r="L412" s="307"/>
      <c r="M412" s="119"/>
      <c r="N412" s="5"/>
      <c r="O412" s="1782"/>
      <c r="P412" s="652"/>
      <c r="Q412" s="86"/>
      <c r="R412" s="782" t="s">
        <v>2453</v>
      </c>
    </row>
    <row r="413" spans="1:21" s="36" customFormat="1" ht="10.5" customHeight="1" thickBot="1">
      <c r="A413" s="35"/>
      <c r="B413" s="924" t="s">
        <v>3159</v>
      </c>
      <c r="C413" s="35"/>
      <c r="D413" s="41"/>
      <c r="E413" s="41"/>
      <c r="F413" s="41"/>
      <c r="G413" s="41"/>
      <c r="H413" s="29"/>
      <c r="I413" s="29"/>
      <c r="J413" s="29"/>
      <c r="K413" s="29"/>
      <c r="M413" s="39"/>
      <c r="N413" s="47"/>
      <c r="O413" s="3"/>
      <c r="P413" s="24"/>
    </row>
    <row r="414" spans="1:21" s="36" customFormat="1" ht="45.75" customHeight="1" thickTop="1" thickBot="1">
      <c r="A414" s="4350"/>
      <c r="B414" s="4351"/>
      <c r="C414" s="4351"/>
      <c r="D414" s="4351"/>
      <c r="E414" s="4351"/>
      <c r="F414" s="4351"/>
      <c r="G414" s="4351"/>
      <c r="H414" s="4351"/>
      <c r="I414" s="4351"/>
      <c r="J414" s="4351"/>
      <c r="K414" s="4351"/>
      <c r="L414" s="4351"/>
      <c r="M414" s="4351"/>
      <c r="N414" s="4351"/>
      <c r="O414" s="4351"/>
      <c r="P414" s="4352"/>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50"/>
      <c r="B416" s="4151"/>
      <c r="C416" s="4151"/>
      <c r="D416" s="4151"/>
      <c r="E416" s="4151"/>
      <c r="F416" s="4151"/>
      <c r="G416" s="4151"/>
      <c r="H416" s="4151"/>
      <c r="I416" s="4151"/>
      <c r="J416" s="4151"/>
      <c r="K416" s="4151"/>
      <c r="L416" s="4151"/>
      <c r="M416" s="4151"/>
      <c r="N416" s="4151"/>
      <c r="O416" s="4151"/>
      <c r="P416" s="4152"/>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3294</v>
      </c>
      <c r="B418" s="83" t="s">
        <v>4141</v>
      </c>
      <c r="D418" s="38"/>
      <c r="E418" s="38"/>
      <c r="F418" s="32"/>
      <c r="L418" s="785"/>
      <c r="M418" s="119">
        <v>6</v>
      </c>
      <c r="N418" s="5"/>
      <c r="O418" s="886"/>
      <c r="P418" s="870"/>
      <c r="Q418" s="86" t="s">
        <v>415</v>
      </c>
      <c r="R418" s="782" t="s">
        <v>2453</v>
      </c>
    </row>
    <row r="419" spans="1:18" s="36" customFormat="1" ht="10.5" customHeight="1" thickBot="1">
      <c r="A419" s="35"/>
      <c r="B419" s="924" t="s">
        <v>3159</v>
      </c>
      <c r="C419" s="35"/>
      <c r="D419" s="41"/>
      <c r="E419" s="41"/>
      <c r="F419" s="41"/>
      <c r="G419" s="41"/>
      <c r="H419" s="29"/>
      <c r="I419" s="29"/>
      <c r="J419" s="29"/>
      <c r="K419" s="29"/>
      <c r="M419" s="39"/>
      <c r="N419" s="47"/>
      <c r="O419" s="3"/>
      <c r="P419" s="24"/>
    </row>
    <row r="420" spans="1:18" s="36" customFormat="1" ht="45.75" customHeight="1" thickTop="1" thickBot="1">
      <c r="A420" s="4350"/>
      <c r="B420" s="4351"/>
      <c r="C420" s="4351"/>
      <c r="D420" s="4351"/>
      <c r="E420" s="4351"/>
      <c r="F420" s="4351"/>
      <c r="G420" s="4351"/>
      <c r="H420" s="4351"/>
      <c r="I420" s="4351"/>
      <c r="J420" s="4351"/>
      <c r="K420" s="4351"/>
      <c r="L420" s="4351"/>
      <c r="M420" s="4351"/>
      <c r="N420" s="4351"/>
      <c r="O420" s="4351"/>
      <c r="P420" s="4352"/>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50"/>
      <c r="B422" s="4151"/>
      <c r="C422" s="4151"/>
      <c r="D422" s="4151"/>
      <c r="E422" s="4151"/>
      <c r="F422" s="4151"/>
      <c r="G422" s="4151"/>
      <c r="H422" s="4151"/>
      <c r="I422" s="4151"/>
      <c r="J422" s="4151"/>
      <c r="K422" s="4151"/>
      <c r="L422" s="4151"/>
      <c r="M422" s="4151"/>
      <c r="N422" s="4151"/>
      <c r="O422" s="4151"/>
      <c r="P422" s="4152"/>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3295</v>
      </c>
      <c r="B424" s="83" t="s">
        <v>4509</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50"/>
      <c r="B426" s="4151"/>
      <c r="C426" s="4151"/>
      <c r="D426" s="4151"/>
      <c r="E426" s="4151"/>
      <c r="F426" s="4151"/>
      <c r="G426" s="4151"/>
      <c r="H426" s="4151"/>
      <c r="I426" s="4151"/>
      <c r="J426" s="4151"/>
      <c r="K426" s="4151"/>
      <c r="L426" s="4151"/>
      <c r="M426" s="4151"/>
      <c r="N426" s="4151"/>
      <c r="O426" s="4151"/>
      <c r="P426" s="4152"/>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3682</v>
      </c>
      <c r="B428" s="83" t="s">
        <v>4510</v>
      </c>
      <c r="D428" s="38"/>
      <c r="L428" s="785"/>
      <c r="M428" s="119">
        <v>4</v>
      </c>
      <c r="N428" s="5"/>
      <c r="O428" s="886"/>
      <c r="P428" s="870"/>
      <c r="Q428" s="86" t="s">
        <v>415</v>
      </c>
      <c r="R428" s="782" t="s">
        <v>2453</v>
      </c>
    </row>
    <row r="429" spans="1:18" s="36" customFormat="1" ht="10.5" customHeight="1" thickBot="1">
      <c r="A429" s="35"/>
      <c r="B429" s="924" t="s">
        <v>3159</v>
      </c>
      <c r="C429" s="35"/>
      <c r="D429" s="41"/>
      <c r="E429" s="41"/>
      <c r="F429" s="41"/>
      <c r="G429" s="41"/>
      <c r="H429" s="29"/>
      <c r="I429" s="29"/>
      <c r="J429" s="29"/>
      <c r="K429" s="29"/>
      <c r="M429" s="39"/>
      <c r="N429" s="47"/>
      <c r="O429" s="3"/>
      <c r="P429" s="24"/>
    </row>
    <row r="430" spans="1:18" s="36" customFormat="1" ht="45.75" customHeight="1" thickTop="1" thickBot="1">
      <c r="A430" s="4350"/>
      <c r="B430" s="4351"/>
      <c r="C430" s="4351"/>
      <c r="D430" s="4351"/>
      <c r="E430" s="4351"/>
      <c r="F430" s="4351"/>
      <c r="G430" s="4351"/>
      <c r="H430" s="4351"/>
      <c r="I430" s="4351"/>
      <c r="J430" s="4351"/>
      <c r="K430" s="4351"/>
      <c r="L430" s="4351"/>
      <c r="M430" s="4351"/>
      <c r="N430" s="4351"/>
      <c r="O430" s="4351"/>
      <c r="P430" s="4352"/>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50"/>
      <c r="B432" s="4151"/>
      <c r="C432" s="4151"/>
      <c r="D432" s="4151"/>
      <c r="E432" s="4151"/>
      <c r="F432" s="4151"/>
      <c r="G432" s="4151"/>
      <c r="H432" s="4151"/>
      <c r="I432" s="4151"/>
      <c r="J432" s="4151"/>
      <c r="K432" s="4151"/>
      <c r="L432" s="4151"/>
      <c r="M432" s="4151"/>
      <c r="N432" s="4151"/>
      <c r="O432" s="4151"/>
      <c r="P432" s="4152"/>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4455</v>
      </c>
      <c r="B434" s="83" t="s">
        <v>4511</v>
      </c>
      <c r="D434" s="38"/>
      <c r="G434" s="46" t="s">
        <v>3990</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4038</v>
      </c>
      <c r="C435"/>
      <c r="E435" s="67"/>
      <c r="F435" s="29"/>
      <c r="G435" s="29"/>
      <c r="H435" s="29"/>
      <c r="K435" s="31"/>
      <c r="L435" s="45"/>
      <c r="M435" s="457">
        <v>6</v>
      </c>
      <c r="N435" s="1573" t="s">
        <v>1836</v>
      </c>
      <c r="O435" s="1759"/>
      <c r="P435" s="1760"/>
      <c r="Q435" s="785" t="str">
        <f>IF(OR($O435&lt;=$M435,$O435=0,$O435=""),"","*CHECK!*")</f>
        <v/>
      </c>
      <c r="R435" s="782" t="s">
        <v>2453</v>
      </c>
    </row>
    <row r="436" spans="1:27" s="108" customFormat="1" ht="12" customHeight="1">
      <c r="A436" s="1757" t="s">
        <v>1838</v>
      </c>
      <c r="B436" s="884" t="s">
        <v>4039</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3159</v>
      </c>
      <c r="C437" s="35"/>
      <c r="D437" s="41"/>
      <c r="E437" s="41"/>
      <c r="F437" s="41"/>
      <c r="G437" s="41"/>
      <c r="H437" s="29"/>
      <c r="I437" s="29"/>
      <c r="J437" s="29"/>
      <c r="K437" s="29"/>
      <c r="M437" s="39"/>
      <c r="N437" s="47"/>
      <c r="O437" s="3"/>
      <c r="P437" s="24"/>
    </row>
    <row r="438" spans="1:27" s="36" customFormat="1" ht="45.75" customHeight="1" thickTop="1" thickBot="1">
      <c r="A438" s="4350"/>
      <c r="B438" s="4351"/>
      <c r="C438" s="4351"/>
      <c r="D438" s="4351"/>
      <c r="E438" s="4351"/>
      <c r="F438" s="4351"/>
      <c r="G438" s="4351"/>
      <c r="H438" s="4351"/>
      <c r="I438" s="4351"/>
      <c r="J438" s="4351"/>
      <c r="K438" s="4351"/>
      <c r="L438" s="4351"/>
      <c r="M438" s="4351"/>
      <c r="N438" s="4351"/>
      <c r="O438" s="4351"/>
      <c r="P438" s="4352"/>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50"/>
      <c r="B440" s="4151"/>
      <c r="C440" s="4151"/>
      <c r="D440" s="4151"/>
      <c r="E440" s="4151"/>
      <c r="F440" s="4151"/>
      <c r="G440" s="4151"/>
      <c r="H440" s="4151"/>
      <c r="I440" s="4151"/>
      <c r="J440" s="4151"/>
      <c r="K440" s="4151"/>
      <c r="L440" s="4151"/>
      <c r="M440" s="4151"/>
      <c r="N440" s="4151"/>
      <c r="O440" s="4151"/>
      <c r="P440" s="4152"/>
      <c r="Q440" s="354"/>
      <c r="R440" s="354"/>
    </row>
    <row r="441" spans="1:27" ht="13.5" customHeight="1" thickBot="1">
      <c r="Q441" s="4634" t="s">
        <v>4642</v>
      </c>
      <c r="R441" s="4634"/>
      <c r="S441" s="4634"/>
      <c r="T441" s="4634"/>
      <c r="U441" s="4634"/>
      <c r="V441" s="4634"/>
      <c r="W441" s="4634"/>
      <c r="X441" s="4634"/>
      <c r="Y441" s="4634"/>
      <c r="Z441" s="4634"/>
      <c r="AA441" s="4634"/>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34"/>
      <c r="R442" s="4634"/>
      <c r="S442" s="4634"/>
      <c r="T442" s="4634"/>
      <c r="U442" s="4634"/>
      <c r="V442" s="4634"/>
      <c r="W442" s="4634"/>
      <c r="X442" s="4634"/>
      <c r="Y442" s="4634"/>
      <c r="Z442" s="4634"/>
      <c r="AA442" s="4634"/>
    </row>
    <row r="443" spans="1:27" s="36" customFormat="1" ht="15" thickTop="1">
      <c r="A443" s="35"/>
      <c r="C443" s="874"/>
      <c r="D443" s="874"/>
      <c r="E443" s="874"/>
      <c r="F443" s="874"/>
      <c r="G443" s="874"/>
      <c r="H443" s="874"/>
      <c r="I443" s="874"/>
      <c r="J443" s="874"/>
      <c r="K443" s="874"/>
      <c r="L443" s="874"/>
      <c r="M443" s="874"/>
      <c r="N443" s="874"/>
      <c r="O443" s="874"/>
      <c r="P443" s="874"/>
      <c r="Q443" s="4634"/>
      <c r="R443" s="4634"/>
      <c r="S443" s="4634"/>
      <c r="T443" s="4634"/>
      <c r="U443" s="4634"/>
      <c r="V443" s="4634"/>
      <c r="W443" s="4634"/>
      <c r="X443" s="4634"/>
      <c r="Y443" s="4634"/>
      <c r="Z443" s="4634"/>
      <c r="AA443" s="4634"/>
    </row>
    <row r="444" spans="1:27" s="115" customFormat="1" ht="6.75" customHeight="1">
      <c r="A444" s="36"/>
      <c r="B444" s="50"/>
      <c r="C444" s="36"/>
      <c r="F444" s="33"/>
      <c r="G444" s="33"/>
      <c r="H444" s="51"/>
      <c r="I444" s="51"/>
      <c r="L444" s="36"/>
      <c r="N444" s="119"/>
      <c r="O444" s="119"/>
      <c r="P444" s="3"/>
      <c r="Q444" s="4634"/>
      <c r="R444" s="4634"/>
      <c r="S444" s="4634"/>
      <c r="T444" s="4634"/>
      <c r="U444" s="4634"/>
      <c r="V444" s="4634"/>
      <c r="W444" s="4634"/>
      <c r="X444" s="4634"/>
      <c r="Y444" s="4634"/>
      <c r="Z444" s="4634"/>
      <c r="AA444" s="4634"/>
    </row>
    <row r="445" spans="1:27" s="36" customFormat="1" ht="22.5" customHeight="1">
      <c r="A445" s="4439" t="s">
        <v>4597</v>
      </c>
      <c r="B445" s="4439"/>
      <c r="C445" s="4439"/>
      <c r="D445" s="4439"/>
      <c r="E445" s="4439"/>
      <c r="F445" s="4439"/>
      <c r="G445" s="4439"/>
      <c r="H445" s="4439"/>
      <c r="I445" s="4439"/>
      <c r="J445" s="4439"/>
      <c r="K445" s="4439"/>
      <c r="L445" s="4439"/>
      <c r="M445" s="4439"/>
      <c r="N445" s="4439"/>
      <c r="O445" s="4439"/>
      <c r="P445" s="4439"/>
      <c r="Q445" s="4634"/>
      <c r="R445" s="4634"/>
      <c r="S445" s="4634"/>
      <c r="T445" s="4634"/>
      <c r="U445" s="4634"/>
      <c r="V445" s="4634"/>
      <c r="W445" s="4634"/>
      <c r="X445" s="4634"/>
      <c r="Y445" s="4634"/>
      <c r="Z445" s="4634"/>
      <c r="AA445" s="4634"/>
    </row>
    <row r="446" spans="1:27" s="36" customFormat="1" ht="409.15" customHeight="1">
      <c r="A446" s="4125"/>
      <c r="B446" s="4126"/>
      <c r="C446" s="4126"/>
      <c r="D446" s="4126"/>
      <c r="E446" s="4126"/>
      <c r="F446" s="4126"/>
      <c r="G446" s="4126"/>
      <c r="H446" s="4126"/>
      <c r="I446" s="4126"/>
      <c r="J446" s="4126"/>
      <c r="K446" s="4126"/>
      <c r="L446" s="4126"/>
      <c r="M446" s="4126"/>
      <c r="N446" s="4126"/>
      <c r="O446" s="4126"/>
      <c r="P446" s="4127"/>
      <c r="Q446" s="1875"/>
      <c r="R446" s="1875"/>
      <c r="S446" s="1875"/>
      <c r="T446" s="1875"/>
      <c r="U446" s="1875"/>
      <c r="V446" s="1875"/>
      <c r="W446" s="1875"/>
      <c r="X446" s="1875"/>
      <c r="Y446" s="1875"/>
    </row>
    <row r="447" spans="1:27" s="115" customFormat="1" ht="12.5">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ht="12.5">
      <c r="C448" s="68" t="s">
        <v>1935</v>
      </c>
      <c r="D448" s="68"/>
      <c r="E448" s="68"/>
      <c r="F448" s="68"/>
      <c r="G448" s="68"/>
      <c r="H448" s="68"/>
      <c r="I448" s="68"/>
      <c r="J448" s="379" t="s">
        <v>1536</v>
      </c>
      <c r="K448" s="68"/>
      <c r="L448" s="68"/>
      <c r="M448" s="68"/>
      <c r="N448" s="869"/>
      <c r="O448" s="2038"/>
      <c r="P448" s="2038"/>
      <c r="Q448" s="68"/>
    </row>
    <row r="449" spans="3:17" s="115" customFormat="1" ht="12.5">
      <c r="C449" s="68" t="s">
        <v>1936</v>
      </c>
      <c r="D449" s="68"/>
      <c r="E449" s="68"/>
      <c r="F449" s="68"/>
      <c r="G449" s="68"/>
      <c r="H449" s="68"/>
      <c r="I449" s="68"/>
      <c r="J449" s="379" t="s">
        <v>2300</v>
      </c>
      <c r="K449" s="68"/>
      <c r="L449" s="68"/>
      <c r="M449" s="68"/>
      <c r="N449" s="869"/>
      <c r="O449" s="2038"/>
      <c r="P449" s="2038"/>
      <c r="Q449" s="68"/>
    </row>
    <row r="450" spans="3:17" s="115" customFormat="1" ht="12.5">
      <c r="C450" s="68" t="s">
        <v>1937</v>
      </c>
      <c r="D450" s="68"/>
      <c r="E450" s="68"/>
      <c r="F450" s="68"/>
      <c r="G450" s="68"/>
      <c r="H450" s="68"/>
      <c r="I450" s="68"/>
      <c r="J450" s="379" t="s">
        <v>1537</v>
      </c>
      <c r="K450" s="68"/>
      <c r="L450" s="68"/>
      <c r="M450" s="68"/>
      <c r="N450" s="869"/>
      <c r="O450" s="2038"/>
      <c r="P450" s="2038"/>
      <c r="Q450" s="68"/>
    </row>
    <row r="451" spans="3:17" s="115" customFormat="1" ht="12.5">
      <c r="C451" s="68"/>
      <c r="D451" s="68"/>
      <c r="E451" s="68"/>
      <c r="F451" s="68"/>
      <c r="G451" s="68"/>
      <c r="H451" s="68"/>
      <c r="I451" s="68"/>
      <c r="J451" s="379" t="s">
        <v>1538</v>
      </c>
      <c r="K451" s="68"/>
      <c r="L451" s="68"/>
      <c r="M451" s="68"/>
      <c r="N451" s="869"/>
      <c r="O451" s="2038"/>
      <c r="P451" s="2038"/>
      <c r="Q451" s="68"/>
    </row>
    <row r="452" spans="3:17" s="115" customFormat="1" ht="12.5">
      <c r="C452" s="68" t="s">
        <v>1641</v>
      </c>
      <c r="D452" s="68"/>
      <c r="E452" s="68"/>
      <c r="F452" s="68"/>
      <c r="G452" s="68"/>
      <c r="H452" s="68"/>
      <c r="I452" s="68"/>
      <c r="J452" s="379" t="s">
        <v>1539</v>
      </c>
      <c r="K452" s="68"/>
      <c r="L452" s="68"/>
      <c r="M452" s="68"/>
      <c r="N452" s="869"/>
      <c r="O452" s="2038"/>
      <c r="P452" s="2038"/>
      <c r="Q452" s="68"/>
    </row>
    <row r="453" spans="3:17" s="115" customFormat="1" ht="12.5">
      <c r="C453" s="1342" t="s">
        <v>1310</v>
      </c>
      <c r="D453" s="68"/>
      <c r="E453" s="68"/>
      <c r="F453" s="68"/>
      <c r="G453" s="68"/>
      <c r="H453" s="68"/>
      <c r="I453" s="68"/>
      <c r="J453" s="379" t="s">
        <v>1540</v>
      </c>
      <c r="K453" s="68"/>
      <c r="L453" s="68"/>
      <c r="M453" s="68"/>
      <c r="N453" s="869"/>
      <c r="O453" s="2038"/>
      <c r="P453" s="2038"/>
      <c r="Q453" s="68"/>
    </row>
    <row r="454" spans="3:17" s="115" customFormat="1" ht="12.5">
      <c r="C454" s="1342" t="s">
        <v>1311</v>
      </c>
      <c r="D454" s="68"/>
      <c r="E454" s="68"/>
      <c r="F454" s="68"/>
      <c r="G454" s="68"/>
      <c r="H454" s="68"/>
      <c r="I454" s="68"/>
      <c r="J454" s="379" t="s">
        <v>1541</v>
      </c>
      <c r="K454" s="68"/>
      <c r="L454" s="68"/>
      <c r="M454" s="68"/>
      <c r="N454" s="869"/>
      <c r="O454" s="2038"/>
      <c r="P454" s="2038"/>
      <c r="Q454" s="68"/>
    </row>
    <row r="455" spans="3:17" s="115" customFormat="1" ht="12.5">
      <c r="C455" s="1342" t="s">
        <v>1975</v>
      </c>
      <c r="D455" s="68"/>
      <c r="E455" s="68"/>
      <c r="F455" s="68"/>
      <c r="G455" s="68"/>
      <c r="H455" s="68"/>
      <c r="I455" s="68"/>
      <c r="J455" s="379" t="s">
        <v>1542</v>
      </c>
      <c r="K455" s="68"/>
      <c r="L455" s="68"/>
      <c r="M455" s="68"/>
      <c r="N455" s="869"/>
      <c r="O455" s="2038"/>
      <c r="P455" s="2038"/>
      <c r="Q455" s="68"/>
    </row>
    <row r="456" spans="3:17" s="115" customFormat="1" ht="12.5">
      <c r="C456" s="1342" t="s">
        <v>1307</v>
      </c>
      <c r="D456" s="68"/>
      <c r="E456" s="68"/>
      <c r="F456" s="68"/>
      <c r="G456" s="68"/>
      <c r="H456" s="68"/>
      <c r="I456" s="68"/>
      <c r="J456" s="379" t="s">
        <v>548</v>
      </c>
      <c r="K456" s="68"/>
      <c r="L456" s="68"/>
      <c r="M456" s="68"/>
      <c r="N456" s="869"/>
      <c r="O456" s="2038"/>
      <c r="P456" s="2038"/>
      <c r="Q456" s="68"/>
    </row>
    <row r="457" spans="3:17" s="115" customFormat="1" ht="12.5">
      <c r="C457" s="1342" t="s">
        <v>1308</v>
      </c>
      <c r="D457" s="68"/>
      <c r="E457" s="68"/>
      <c r="F457" s="68"/>
      <c r="G457" s="68"/>
      <c r="H457" s="68"/>
      <c r="I457" s="68"/>
      <c r="J457" s="379" t="s">
        <v>1543</v>
      </c>
      <c r="K457" s="68"/>
      <c r="L457" s="68"/>
      <c r="M457" s="68"/>
      <c r="N457" s="869"/>
      <c r="O457" s="2038"/>
      <c r="P457" s="2038"/>
      <c r="Q457" s="68"/>
    </row>
    <row r="458" spans="3:17" s="115" customFormat="1" ht="12.5">
      <c r="C458" s="1342" t="s">
        <v>1970</v>
      </c>
      <c r="D458" s="68"/>
      <c r="E458" s="68"/>
      <c r="F458" s="68"/>
      <c r="G458" s="68"/>
      <c r="H458" s="68"/>
      <c r="I458" s="68"/>
      <c r="J458" s="379" t="s">
        <v>1544</v>
      </c>
      <c r="K458" s="68"/>
      <c r="L458" s="68"/>
      <c r="M458" s="68"/>
      <c r="N458" s="869"/>
      <c r="O458" s="2038"/>
      <c r="P458" s="2038"/>
      <c r="Q458" s="68"/>
    </row>
    <row r="459" spans="3:17" s="115" customFormat="1" ht="12.5">
      <c r="C459" s="1342" t="s">
        <v>1971</v>
      </c>
      <c r="D459" s="68"/>
      <c r="E459" s="68"/>
      <c r="F459" s="68"/>
      <c r="G459" s="68"/>
      <c r="H459" s="68"/>
      <c r="I459" s="68"/>
      <c r="J459" s="379" t="s">
        <v>1545</v>
      </c>
      <c r="K459" s="68"/>
      <c r="L459" s="68"/>
      <c r="M459" s="68"/>
      <c r="N459" s="869"/>
      <c r="O459" s="2038"/>
      <c r="P459" s="2038"/>
      <c r="Q459" s="68"/>
    </row>
    <row r="460" spans="3:17" s="115" customFormat="1" ht="12.5">
      <c r="C460" s="1342" t="s">
        <v>1972</v>
      </c>
      <c r="D460" s="68"/>
      <c r="E460" s="68"/>
      <c r="F460" s="68"/>
      <c r="G460" s="68"/>
      <c r="H460" s="68"/>
      <c r="I460" s="68"/>
      <c r="J460" s="379" t="s">
        <v>32</v>
      </c>
      <c r="K460" s="68"/>
      <c r="L460" s="68"/>
      <c r="M460" s="68"/>
      <c r="N460" s="869"/>
      <c r="O460" s="2038"/>
      <c r="P460" s="2038"/>
      <c r="Q460" s="68"/>
    </row>
    <row r="461" spans="3:17" s="115" customFormat="1" ht="12.5">
      <c r="C461" s="1342" t="s">
        <v>1973</v>
      </c>
      <c r="D461" s="68"/>
      <c r="E461" s="68"/>
      <c r="F461" s="68"/>
      <c r="G461" s="68"/>
      <c r="H461" s="68"/>
      <c r="I461" s="68"/>
      <c r="J461" s="68"/>
      <c r="K461" s="68"/>
      <c r="L461" s="68"/>
      <c r="M461" s="68"/>
      <c r="N461" s="869"/>
      <c r="O461" s="2038"/>
      <c r="P461" s="2038"/>
      <c r="Q461" s="68"/>
    </row>
    <row r="462" spans="3:17" s="115" customFormat="1" ht="12.5">
      <c r="C462" s="1342" t="s">
        <v>1974</v>
      </c>
      <c r="D462" s="68"/>
      <c r="E462" s="68"/>
      <c r="F462" s="68"/>
      <c r="G462" s="68"/>
      <c r="H462" s="68"/>
      <c r="I462" s="68"/>
      <c r="J462" s="2039" t="s">
        <v>2955</v>
      </c>
      <c r="K462" s="68"/>
      <c r="L462" s="68"/>
      <c r="M462" s="68"/>
      <c r="N462" s="869"/>
      <c r="O462" s="2039" t="s">
        <v>3170</v>
      </c>
      <c r="P462" s="2038"/>
      <c r="Q462" s="68"/>
    </row>
    <row r="463" spans="3:17" s="115" customFormat="1" ht="12.5">
      <c r="C463" s="1342" t="s">
        <v>1309</v>
      </c>
      <c r="D463" s="68"/>
      <c r="E463" s="68"/>
      <c r="F463" s="68"/>
      <c r="G463" s="68"/>
      <c r="H463" s="68"/>
      <c r="I463" s="68"/>
      <c r="J463" s="379" t="s">
        <v>2956</v>
      </c>
      <c r="K463" s="68"/>
      <c r="L463" s="68"/>
      <c r="M463" s="68"/>
      <c r="N463" s="869"/>
      <c r="O463" s="2038"/>
      <c r="P463" s="2038"/>
      <c r="Q463" s="68"/>
    </row>
    <row r="464" spans="3:17" s="115" customFormat="1" ht="12.5">
      <c r="C464" s="1342" t="s">
        <v>2103</v>
      </c>
      <c r="D464" s="68"/>
      <c r="E464" s="68"/>
      <c r="F464" s="68"/>
      <c r="G464" s="68"/>
      <c r="H464" s="68"/>
      <c r="I464" s="68"/>
      <c r="J464" s="68" t="s">
        <v>2940</v>
      </c>
      <c r="K464" s="68"/>
      <c r="L464" s="68"/>
      <c r="M464" s="68"/>
      <c r="N464" s="869"/>
      <c r="O464" s="2038">
        <v>2</v>
      </c>
      <c r="P464" s="2038"/>
      <c r="Q464" s="68"/>
    </row>
    <row r="465" spans="1:17" s="115" customFormat="1" ht="12.5">
      <c r="C465" s="68"/>
      <c r="D465" s="68"/>
      <c r="E465" s="68"/>
      <c r="F465" s="68"/>
      <c r="G465" s="68"/>
      <c r="H465" s="68"/>
      <c r="I465" s="68"/>
      <c r="J465" s="68" t="s">
        <v>2941</v>
      </c>
      <c r="K465" s="68"/>
      <c r="L465" s="68"/>
      <c r="M465" s="68"/>
      <c r="N465" s="869"/>
      <c r="O465" s="2038">
        <v>2</v>
      </c>
      <c r="P465" s="2038"/>
      <c r="Q465" s="68"/>
    </row>
    <row r="466" spans="1:17" s="115" customFormat="1" ht="12.5">
      <c r="C466" s="68"/>
      <c r="D466" s="68"/>
      <c r="E466" s="68"/>
      <c r="F466" s="68"/>
      <c r="G466" s="4436" t="s">
        <v>1405</v>
      </c>
      <c r="H466" s="4436"/>
      <c r="I466" s="4436"/>
      <c r="J466" s="68" t="s">
        <v>2942</v>
      </c>
      <c r="K466" s="68"/>
      <c r="L466" s="68"/>
      <c r="M466" s="68"/>
      <c r="N466" s="869"/>
      <c r="O466" s="2038">
        <v>2</v>
      </c>
      <c r="P466" s="2038"/>
      <c r="Q466" s="68"/>
    </row>
    <row r="467" spans="1:17" s="115" customFormat="1" ht="12.5">
      <c r="C467" s="68"/>
      <c r="D467" s="68"/>
      <c r="E467" s="68"/>
      <c r="F467" s="68"/>
      <c r="G467" s="1758" t="s">
        <v>3937</v>
      </c>
      <c r="H467" s="68" t="s">
        <v>3938</v>
      </c>
      <c r="I467" s="1758" t="s">
        <v>3936</v>
      </c>
      <c r="J467" s="68" t="s">
        <v>2943</v>
      </c>
      <c r="K467" s="68"/>
      <c r="L467" s="1758"/>
      <c r="M467" s="68"/>
      <c r="N467" s="869"/>
      <c r="O467" s="2038">
        <v>2</v>
      </c>
      <c r="P467" s="2038"/>
      <c r="Q467" s="68"/>
    </row>
    <row r="468" spans="1:17" s="115" customFormat="1" ht="12.5">
      <c r="C468" s="502"/>
      <c r="D468" s="68"/>
      <c r="E468" s="68"/>
      <c r="F468" s="68"/>
      <c r="G468" s="1423" t="s">
        <v>2314</v>
      </c>
      <c r="H468" s="68"/>
      <c r="I468" s="1423"/>
      <c r="J468" s="68" t="s">
        <v>3168</v>
      </c>
      <c r="K468" s="68"/>
      <c r="L468" s="1423"/>
      <c r="M468" s="68"/>
      <c r="N468" s="869"/>
      <c r="O468" s="2038">
        <v>2</v>
      </c>
      <c r="P468" s="2038"/>
      <c r="Q468" s="68"/>
    </row>
    <row r="469" spans="1:17" s="115" customFormat="1" ht="12.5">
      <c r="C469" s="502"/>
      <c r="D469" s="68"/>
      <c r="E469" s="68"/>
      <c r="F469" s="68"/>
      <c r="G469" s="1423" t="s">
        <v>435</v>
      </c>
      <c r="H469" s="869" t="s">
        <v>3940</v>
      </c>
      <c r="I469" s="1758" t="s">
        <v>2447</v>
      </c>
      <c r="J469" s="68" t="s">
        <v>2944</v>
      </c>
      <c r="K469" s="68"/>
      <c r="L469" s="502"/>
      <c r="M469" s="68"/>
      <c r="N469" s="869"/>
      <c r="O469" s="2038">
        <v>1</v>
      </c>
      <c r="P469" s="2038"/>
      <c r="Q469" s="68"/>
    </row>
    <row r="470" spans="1:17" s="115" customFormat="1" ht="12.5">
      <c r="C470" s="502"/>
      <c r="D470" s="68"/>
      <c r="E470" s="68"/>
      <c r="F470" s="68"/>
      <c r="G470" s="1423" t="s">
        <v>1652</v>
      </c>
      <c r="H470" s="869">
        <v>2020</v>
      </c>
      <c r="I470" s="869" t="s">
        <v>3939</v>
      </c>
      <c r="J470" s="68" t="s">
        <v>2945</v>
      </c>
      <c r="K470" s="68"/>
      <c r="L470" s="502"/>
      <c r="M470" s="68"/>
      <c r="N470" s="869"/>
      <c r="O470" s="2038">
        <v>1</v>
      </c>
      <c r="P470" s="2038"/>
      <c r="Q470" s="68"/>
    </row>
    <row r="471" spans="1:17" s="115" customFormat="1" ht="12.5">
      <c r="C471" s="502"/>
      <c r="D471" s="68"/>
      <c r="E471" s="68"/>
      <c r="F471" s="68"/>
      <c r="G471" s="1423" t="s">
        <v>2345</v>
      </c>
      <c r="H471" s="869" t="s">
        <v>1607</v>
      </c>
      <c r="I471" s="1758" t="s">
        <v>2447</v>
      </c>
      <c r="J471" s="68" t="s">
        <v>2946</v>
      </c>
      <c r="K471" s="68"/>
      <c r="L471" s="502"/>
      <c r="M471" s="68"/>
      <c r="N471" s="869"/>
      <c r="O471" s="2038">
        <v>1</v>
      </c>
      <c r="P471" s="2038"/>
      <c r="Q471" s="68"/>
    </row>
    <row r="472" spans="1:17" s="115" customFormat="1" ht="12.5">
      <c r="C472" s="502"/>
      <c r="D472" s="68"/>
      <c r="E472" s="68"/>
      <c r="F472" s="68"/>
      <c r="G472" s="1423" t="s">
        <v>970</v>
      </c>
      <c r="H472" s="869">
        <v>2020</v>
      </c>
      <c r="I472" s="869" t="s">
        <v>3939</v>
      </c>
      <c r="J472" s="68" t="s">
        <v>3169</v>
      </c>
      <c r="K472" s="68"/>
      <c r="L472" s="502"/>
      <c r="M472" s="68"/>
      <c r="N472" s="869"/>
      <c r="O472" s="2038">
        <v>1</v>
      </c>
      <c r="P472" s="2038"/>
      <c r="Q472" s="68"/>
    </row>
    <row r="473" spans="1:17" s="115" customFormat="1" ht="12.5">
      <c r="C473" s="502"/>
      <c r="D473" s="68"/>
      <c r="E473" s="68"/>
      <c r="F473" s="68"/>
      <c r="G473" s="1423" t="s">
        <v>3191</v>
      </c>
      <c r="H473" s="869">
        <v>2019</v>
      </c>
      <c r="I473" s="869" t="s">
        <v>3939</v>
      </c>
      <c r="J473" s="68" t="s">
        <v>2954</v>
      </c>
      <c r="K473" s="68"/>
      <c r="L473" s="502"/>
      <c r="M473" s="68"/>
      <c r="N473" s="869"/>
      <c r="O473" s="2038">
        <v>1</v>
      </c>
      <c r="P473" s="2038"/>
      <c r="Q473" s="68"/>
    </row>
    <row r="474" spans="1:17" s="115" customFormat="1" ht="12.5">
      <c r="C474" s="502"/>
      <c r="D474" s="68"/>
      <c r="E474" s="68"/>
      <c r="F474" s="68"/>
      <c r="G474" s="1423" t="s">
        <v>340</v>
      </c>
      <c r="H474" s="869" t="s">
        <v>1607</v>
      </c>
      <c r="I474" s="1758" t="s">
        <v>2447</v>
      </c>
      <c r="J474" s="68" t="s">
        <v>2947</v>
      </c>
      <c r="K474" s="68"/>
      <c r="L474" s="502"/>
      <c r="M474" s="68"/>
      <c r="N474" s="869"/>
      <c r="O474" s="2038">
        <v>1</v>
      </c>
      <c r="P474" s="2038"/>
      <c r="Q474" s="68"/>
    </row>
    <row r="475" spans="1:17" s="115" customFormat="1" ht="12.5">
      <c r="C475" s="502"/>
      <c r="D475" s="68"/>
      <c r="E475" s="68"/>
      <c r="F475" s="68"/>
      <c r="G475" s="1423" t="s">
        <v>1630</v>
      </c>
      <c r="H475" s="869">
        <v>2020</v>
      </c>
      <c r="I475" s="869" t="s">
        <v>3939</v>
      </c>
      <c r="J475" s="68" t="s">
        <v>2948</v>
      </c>
      <c r="K475" s="68"/>
      <c r="L475" s="502"/>
      <c r="M475" s="68"/>
      <c r="N475" s="869"/>
      <c r="O475" s="2038">
        <v>1</v>
      </c>
      <c r="P475" s="2038"/>
      <c r="Q475" s="68"/>
    </row>
    <row r="476" spans="1:17" s="115" customFormat="1" ht="12.5">
      <c r="C476" s="502"/>
      <c r="D476" s="68"/>
      <c r="E476" s="68"/>
      <c r="F476" s="68"/>
      <c r="G476" s="1423" t="s">
        <v>1904</v>
      </c>
      <c r="H476" s="869" t="s">
        <v>3940</v>
      </c>
      <c r="I476" s="1758" t="s">
        <v>2447</v>
      </c>
      <c r="J476" s="68" t="s">
        <v>2949</v>
      </c>
      <c r="K476" s="68"/>
      <c r="L476" s="502"/>
      <c r="M476" s="68"/>
      <c r="N476" s="869"/>
      <c r="O476" s="2038">
        <v>1</v>
      </c>
      <c r="P476" s="2038"/>
      <c r="Q476" s="68"/>
    </row>
    <row r="477" spans="1:17" s="115" customFormat="1" ht="12.5">
      <c r="C477" s="68"/>
      <c r="D477" s="68"/>
      <c r="E477" s="68"/>
      <c r="F477" s="68"/>
      <c r="G477" s="1423" t="s">
        <v>82</v>
      </c>
      <c r="H477" s="869" t="s">
        <v>3940</v>
      </c>
      <c r="I477" s="1758" t="s">
        <v>2447</v>
      </c>
      <c r="J477" s="68" t="s">
        <v>2950</v>
      </c>
      <c r="K477" s="68"/>
      <c r="L477" s="502"/>
      <c r="M477" s="68"/>
      <c r="N477" s="869"/>
      <c r="O477" s="2038">
        <v>1</v>
      </c>
      <c r="P477" s="2038"/>
      <c r="Q477" s="68"/>
    </row>
    <row r="478" spans="1:17" s="115" customFormat="1" ht="12.5">
      <c r="C478" s="68"/>
      <c r="D478" s="68"/>
      <c r="E478" s="68"/>
      <c r="F478" s="68"/>
      <c r="G478" s="1423" t="s">
        <v>836</v>
      </c>
      <c r="H478" s="869">
        <v>2019</v>
      </c>
      <c r="I478" s="869" t="s">
        <v>3939</v>
      </c>
      <c r="J478" s="68" t="s">
        <v>2953</v>
      </c>
      <c r="K478" s="68"/>
      <c r="L478" s="502"/>
      <c r="M478" s="68"/>
      <c r="N478" s="869"/>
      <c r="O478" s="2038">
        <v>1</v>
      </c>
      <c r="P478" s="2038"/>
      <c r="Q478" s="68"/>
    </row>
    <row r="479" spans="1:17" s="115" customFormat="1" ht="12.5">
      <c r="A479" s="44" t="s">
        <v>2492</v>
      </c>
      <c r="C479" s="68"/>
      <c r="D479" s="68"/>
      <c r="E479" s="68"/>
      <c r="F479" s="68"/>
      <c r="G479" s="1423" t="s">
        <v>1981</v>
      </c>
      <c r="H479" s="869" t="s">
        <v>3940</v>
      </c>
      <c r="I479" s="1758" t="s">
        <v>2447</v>
      </c>
      <c r="J479" s="68" t="s">
        <v>2951</v>
      </c>
      <c r="K479" s="68"/>
      <c r="L479" s="502"/>
      <c r="M479" s="68"/>
      <c r="N479" s="869"/>
      <c r="O479" s="2038">
        <v>1</v>
      </c>
      <c r="P479" s="2038"/>
      <c r="Q479" s="68"/>
    </row>
    <row r="480" spans="1:17" s="115" customFormat="1" ht="12.5">
      <c r="A480" s="44" t="s">
        <v>2507</v>
      </c>
      <c r="C480" s="68"/>
      <c r="D480" s="68"/>
      <c r="E480" s="68"/>
      <c r="F480" s="68"/>
      <c r="G480" s="1423" t="s">
        <v>1902</v>
      </c>
      <c r="H480" s="869">
        <v>2019</v>
      </c>
      <c r="I480" s="869" t="s">
        <v>3939</v>
      </c>
      <c r="J480" s="68" t="s">
        <v>2952</v>
      </c>
      <c r="K480" s="68"/>
      <c r="L480" s="502"/>
      <c r="M480" s="68"/>
      <c r="N480" s="869"/>
      <c r="O480" s="2038">
        <v>1</v>
      </c>
      <c r="P480" s="2038"/>
      <c r="Q480" s="68"/>
    </row>
    <row r="481" spans="1:17" s="115" customFormat="1" ht="12.5">
      <c r="A481" s="108" t="s">
        <v>2934</v>
      </c>
      <c r="C481" s="68"/>
      <c r="D481" s="502"/>
      <c r="E481" s="502">
        <v>3</v>
      </c>
      <c r="F481" s="68"/>
      <c r="G481" s="1423" t="s">
        <v>322</v>
      </c>
      <c r="H481" s="869">
        <v>2019</v>
      </c>
      <c r="I481" s="869" t="s">
        <v>3939</v>
      </c>
      <c r="J481" s="68"/>
      <c r="K481" s="68"/>
      <c r="L481" s="502"/>
      <c r="M481" s="68"/>
      <c r="N481" s="869"/>
      <c r="O481" s="2038"/>
      <c r="P481" s="2038"/>
      <c r="Q481" s="68"/>
    </row>
    <row r="482" spans="1:17" s="115" customFormat="1" ht="12.5">
      <c r="A482" s="108" t="s">
        <v>2935</v>
      </c>
      <c r="C482" s="68"/>
      <c r="D482" s="502"/>
      <c r="E482" s="502">
        <v>2</v>
      </c>
      <c r="F482" s="68"/>
      <c r="G482" s="1423" t="s">
        <v>814</v>
      </c>
      <c r="H482" s="869">
        <v>2019</v>
      </c>
      <c r="I482" s="869" t="s">
        <v>3939</v>
      </c>
      <c r="J482" s="68"/>
      <c r="K482" s="68"/>
      <c r="L482" s="502"/>
      <c r="M482" s="68"/>
      <c r="N482" s="869"/>
      <c r="O482" s="2038"/>
      <c r="P482" s="2038"/>
      <c r="Q482" s="68"/>
    </row>
    <row r="483" spans="1:17" s="115" customFormat="1" ht="12.5">
      <c r="A483" s="108" t="s">
        <v>2936</v>
      </c>
      <c r="C483" s="68"/>
      <c r="D483" s="502"/>
      <c r="E483" s="502">
        <v>10</v>
      </c>
      <c r="F483" s="68"/>
      <c r="G483" s="1423" t="s">
        <v>1784</v>
      </c>
      <c r="H483" s="869">
        <v>2019</v>
      </c>
      <c r="I483" s="869" t="s">
        <v>3939</v>
      </c>
      <c r="J483" s="399" t="s">
        <v>3179</v>
      </c>
      <c r="K483" s="68"/>
      <c r="L483" s="502"/>
      <c r="M483" s="68"/>
      <c r="N483" s="869"/>
      <c r="O483" s="2038"/>
      <c r="P483" s="2038"/>
      <c r="Q483" s="68"/>
    </row>
    <row r="484" spans="1:17" s="115" customFormat="1" ht="12.5">
      <c r="A484" s="108" t="s">
        <v>2508</v>
      </c>
      <c r="C484" s="68"/>
      <c r="D484" s="502"/>
      <c r="E484" s="502"/>
      <c r="F484" s="68"/>
      <c r="G484" s="1423" t="s">
        <v>394</v>
      </c>
      <c r="H484" s="869">
        <v>2019</v>
      </c>
      <c r="I484" s="869" t="s">
        <v>3939</v>
      </c>
      <c r="J484" s="68" t="s">
        <v>3251</v>
      </c>
      <c r="K484" s="68"/>
      <c r="L484" s="502"/>
      <c r="M484" s="68"/>
      <c r="N484" s="869"/>
      <c r="O484" s="2038"/>
      <c r="P484" s="2038"/>
      <c r="Q484" s="68"/>
    </row>
    <row r="485" spans="1:17" s="115" customFormat="1" ht="12.5">
      <c r="C485" s="502"/>
      <c r="D485" s="68"/>
      <c r="E485" s="68"/>
      <c r="F485" s="68"/>
      <c r="G485" s="1423" t="s">
        <v>920</v>
      </c>
      <c r="H485" s="869">
        <v>2020</v>
      </c>
      <c r="I485" s="869" t="s">
        <v>3939</v>
      </c>
      <c r="J485" s="68" t="s">
        <v>3246</v>
      </c>
      <c r="K485" s="68"/>
      <c r="L485" s="502"/>
      <c r="M485" s="68"/>
      <c r="N485" s="869"/>
      <c r="O485" s="2038"/>
      <c r="P485" s="2038"/>
      <c r="Q485" s="68"/>
    </row>
    <row r="486" spans="1:17" s="115" customFormat="1" ht="12.5">
      <c r="C486" s="502"/>
      <c r="D486" s="68"/>
      <c r="E486" s="68"/>
      <c r="F486" s="68"/>
      <c r="G486" s="1423" t="s">
        <v>531</v>
      </c>
      <c r="H486" s="869">
        <v>2020</v>
      </c>
      <c r="I486" s="869" t="s">
        <v>3939</v>
      </c>
      <c r="J486" s="68" t="s">
        <v>3172</v>
      </c>
      <c r="K486" s="68"/>
      <c r="L486" s="502"/>
      <c r="M486" s="68"/>
      <c r="N486" s="869"/>
      <c r="O486" s="2038"/>
      <c r="P486" s="2038"/>
      <c r="Q486" s="68"/>
    </row>
    <row r="487" spans="1:17" s="115" customFormat="1" ht="12.5">
      <c r="C487" s="502"/>
      <c r="D487" s="68"/>
      <c r="E487" s="68"/>
      <c r="F487" s="68"/>
      <c r="G487" s="1423" t="s">
        <v>808</v>
      </c>
      <c r="H487" s="869" t="s">
        <v>3940</v>
      </c>
      <c r="I487" s="1758" t="s">
        <v>2447</v>
      </c>
      <c r="J487" s="68" t="s">
        <v>3242</v>
      </c>
      <c r="K487" s="68"/>
      <c r="L487" s="502"/>
      <c r="M487" s="68"/>
      <c r="N487" s="869"/>
      <c r="O487" s="2038"/>
      <c r="P487" s="2038"/>
      <c r="Q487" s="68"/>
    </row>
    <row r="488" spans="1:17" s="115" customFormat="1" ht="12.5">
      <c r="C488" s="502"/>
      <c r="D488" s="68"/>
      <c r="E488" s="68"/>
      <c r="F488" s="68"/>
      <c r="G488" s="1423" t="s">
        <v>2937</v>
      </c>
      <c r="H488" s="869">
        <v>2019</v>
      </c>
      <c r="I488" s="869" t="s">
        <v>3939</v>
      </c>
      <c r="J488" s="68" t="s">
        <v>3173</v>
      </c>
      <c r="K488" s="68"/>
      <c r="L488" s="502"/>
      <c r="M488" s="68"/>
      <c r="N488" s="869"/>
      <c r="O488" s="2038"/>
      <c r="P488" s="2038"/>
      <c r="Q488" s="68"/>
    </row>
    <row r="489" spans="1:17" s="115" customFormat="1" ht="12.5">
      <c r="C489" s="68"/>
      <c r="D489" s="68"/>
      <c r="E489" s="68"/>
      <c r="F489" s="68"/>
      <c r="G489" s="1423" t="s">
        <v>763</v>
      </c>
      <c r="H489" s="869">
        <v>2019</v>
      </c>
      <c r="I489" s="869" t="s">
        <v>3939</v>
      </c>
      <c r="J489" s="68" t="s">
        <v>3243</v>
      </c>
      <c r="K489" s="68"/>
      <c r="L489" s="502"/>
      <c r="M489" s="68"/>
      <c r="N489" s="869"/>
      <c r="O489" s="2038"/>
      <c r="P489" s="2038"/>
      <c r="Q489" s="68"/>
    </row>
    <row r="490" spans="1:17" s="115" customFormat="1" ht="12.5">
      <c r="C490" s="68"/>
      <c r="D490" s="68"/>
      <c r="E490" s="68"/>
      <c r="F490" s="68"/>
      <c r="G490" s="1423" t="s">
        <v>172</v>
      </c>
      <c r="H490" s="869">
        <v>2019</v>
      </c>
      <c r="I490" s="869" t="s">
        <v>3939</v>
      </c>
      <c r="J490" s="68" t="s">
        <v>3174</v>
      </c>
      <c r="K490" s="68"/>
      <c r="L490" s="68"/>
      <c r="M490" s="68"/>
      <c r="N490" s="869"/>
      <c r="O490" s="2038"/>
      <c r="P490" s="2038"/>
      <c r="Q490" s="68"/>
    </row>
    <row r="491" spans="1:17" s="115" customFormat="1" ht="12.5">
      <c r="C491" s="68"/>
      <c r="D491" s="68"/>
      <c r="E491" s="68"/>
      <c r="F491" s="68"/>
      <c r="G491" s="1423" t="s">
        <v>3260</v>
      </c>
      <c r="H491" s="869" t="s">
        <v>3940</v>
      </c>
      <c r="I491" s="1758" t="s">
        <v>2447</v>
      </c>
      <c r="J491" s="68" t="s">
        <v>3244</v>
      </c>
      <c r="K491" s="68"/>
      <c r="L491" s="502"/>
      <c r="M491" s="68"/>
      <c r="N491" s="869"/>
      <c r="O491" s="2038"/>
      <c r="P491" s="2038"/>
      <c r="Q491" s="68"/>
    </row>
    <row r="492" spans="1:17" s="115" customFormat="1" ht="12.5">
      <c r="C492" s="68"/>
      <c r="D492" s="68"/>
      <c r="E492" s="68"/>
      <c r="F492" s="68"/>
      <c r="G492" s="1423" t="s">
        <v>506</v>
      </c>
      <c r="H492" s="869">
        <v>2020</v>
      </c>
      <c r="I492" s="869" t="s">
        <v>3939</v>
      </c>
      <c r="J492" s="68" t="s">
        <v>3247</v>
      </c>
      <c r="K492" s="68"/>
      <c r="L492" s="502"/>
      <c r="M492" s="68"/>
      <c r="N492" s="869"/>
      <c r="O492" s="2038"/>
      <c r="P492" s="2038"/>
      <c r="Q492" s="68"/>
    </row>
    <row r="493" spans="1:17" s="115" customFormat="1" ht="12.5">
      <c r="C493" s="68"/>
      <c r="D493" s="68"/>
      <c r="E493" s="68"/>
      <c r="F493" s="68"/>
      <c r="G493" s="1423" t="s">
        <v>375</v>
      </c>
      <c r="H493" s="869">
        <v>2020</v>
      </c>
      <c r="I493" s="869" t="s">
        <v>3939</v>
      </c>
      <c r="J493" s="68" t="s">
        <v>3250</v>
      </c>
      <c r="K493" s="68"/>
      <c r="L493" s="68"/>
      <c r="M493" s="68"/>
      <c r="N493" s="869"/>
      <c r="O493" s="2038"/>
      <c r="P493" s="2038"/>
      <c r="Q493" s="68"/>
    </row>
    <row r="494" spans="1:17" s="115" customFormat="1" ht="12.5">
      <c r="C494" s="68"/>
      <c r="D494" s="685"/>
      <c r="E494" s="68"/>
      <c r="F494" s="68"/>
      <c r="G494" s="1423" t="s">
        <v>1347</v>
      </c>
      <c r="H494" s="869" t="s">
        <v>3940</v>
      </c>
      <c r="I494" s="1758" t="s">
        <v>2447</v>
      </c>
      <c r="J494" s="68" t="s">
        <v>3175</v>
      </c>
      <c r="K494" s="68"/>
      <c r="L494" s="502"/>
      <c r="M494" s="68"/>
      <c r="N494" s="869"/>
      <c r="O494" s="2038"/>
      <c r="P494" s="2038"/>
      <c r="Q494" s="68"/>
    </row>
    <row r="495" spans="1:17" s="115" customFormat="1" ht="12.5">
      <c r="C495" s="68"/>
      <c r="D495" s="685"/>
      <c r="E495" s="68"/>
      <c r="F495" s="68"/>
      <c r="G495" s="1423" t="s">
        <v>1702</v>
      </c>
      <c r="H495" s="869" t="s">
        <v>3940</v>
      </c>
      <c r="I495" s="1758" t="s">
        <v>2447</v>
      </c>
      <c r="J495" s="68" t="s">
        <v>3176</v>
      </c>
      <c r="K495" s="68"/>
      <c r="L495" s="502"/>
      <c r="M495" s="68"/>
      <c r="N495" s="869"/>
      <c r="O495" s="2038"/>
      <c r="P495" s="2038"/>
      <c r="Q495" s="68"/>
    </row>
    <row r="496" spans="1:17" s="115" customFormat="1" ht="12.5">
      <c r="C496" s="68"/>
      <c r="D496" s="68"/>
      <c r="E496" s="68"/>
      <c r="F496" s="68"/>
      <c r="G496" s="1423" t="s">
        <v>1964</v>
      </c>
      <c r="H496" s="869">
        <v>2020</v>
      </c>
      <c r="I496" s="869" t="s">
        <v>3939</v>
      </c>
      <c r="J496" s="68" t="s">
        <v>3245</v>
      </c>
      <c r="K496" s="68"/>
      <c r="L496" s="502"/>
      <c r="M496" s="68"/>
      <c r="N496" s="869"/>
      <c r="O496" s="2038"/>
      <c r="P496" s="2038"/>
      <c r="Q496" s="68"/>
    </row>
    <row r="497" spans="3:17" s="115" customFormat="1" ht="12.5">
      <c r="C497" s="68"/>
      <c r="D497" s="68"/>
      <c r="E497" s="68"/>
      <c r="F497" s="68"/>
      <c r="G497" s="1423" t="s">
        <v>1350</v>
      </c>
      <c r="H497" s="869">
        <v>2019</v>
      </c>
      <c r="I497" s="869" t="s">
        <v>3939</v>
      </c>
      <c r="J497" s="68" t="s">
        <v>3248</v>
      </c>
      <c r="K497" s="68"/>
      <c r="L497" s="68"/>
      <c r="M497" s="68"/>
      <c r="N497" s="869"/>
      <c r="O497" s="2038"/>
      <c r="P497" s="2038"/>
      <c r="Q497" s="68"/>
    </row>
    <row r="498" spans="3:17" s="115" customFormat="1" ht="12.5">
      <c r="C498" s="68"/>
      <c r="D498" s="68"/>
      <c r="E498" s="68"/>
      <c r="F498" s="68"/>
      <c r="G498" s="1423" t="s">
        <v>235</v>
      </c>
      <c r="H498" s="869">
        <v>2019</v>
      </c>
      <c r="I498" s="869" t="s">
        <v>3939</v>
      </c>
      <c r="J498" s="68" t="s">
        <v>3249</v>
      </c>
      <c r="K498" s="68"/>
      <c r="L498" s="502"/>
      <c r="M498" s="68"/>
      <c r="N498" s="869"/>
      <c r="O498" s="2038"/>
      <c r="P498" s="2038"/>
      <c r="Q498" s="68"/>
    </row>
    <row r="499" spans="3:17" s="115" customFormat="1" ht="12.5">
      <c r="C499" s="68"/>
      <c r="D499" s="68"/>
      <c r="E499" s="68"/>
      <c r="F499" s="68"/>
      <c r="G499" s="1423" t="s">
        <v>977</v>
      </c>
      <c r="H499" s="869">
        <v>2020</v>
      </c>
      <c r="I499" s="869" t="s">
        <v>3939</v>
      </c>
      <c r="J499" s="68" t="s">
        <v>3177</v>
      </c>
      <c r="K499" s="68"/>
      <c r="L499" s="502"/>
      <c r="M499" s="68"/>
      <c r="N499" s="869"/>
      <c r="O499" s="2038"/>
      <c r="P499" s="2038"/>
      <c r="Q499" s="68"/>
    </row>
    <row r="500" spans="3:17" s="115" customFormat="1" ht="12.5">
      <c r="C500" s="685"/>
      <c r="D500" s="68"/>
      <c r="E500" s="68"/>
      <c r="F500" s="68"/>
      <c r="G500" s="1423" t="s">
        <v>2091</v>
      </c>
      <c r="H500" s="869">
        <v>2020</v>
      </c>
      <c r="I500" s="869" t="s">
        <v>3939</v>
      </c>
      <c r="J500" s="68" t="s">
        <v>3178</v>
      </c>
      <c r="K500" s="68"/>
      <c r="L500" s="502"/>
      <c r="M500" s="68"/>
      <c r="N500" s="869"/>
      <c r="O500" s="2038"/>
      <c r="P500" s="2038"/>
      <c r="Q500" s="68"/>
    </row>
    <row r="501" spans="3:17" s="115" customFormat="1" ht="12.5">
      <c r="C501" s="685"/>
      <c r="D501" s="68"/>
      <c r="E501" s="68"/>
      <c r="F501" s="68"/>
      <c r="G501" s="1423" t="s">
        <v>3934</v>
      </c>
      <c r="H501" s="869" t="s">
        <v>3940</v>
      </c>
      <c r="I501" s="1758" t="s">
        <v>2447</v>
      </c>
      <c r="J501" s="68"/>
      <c r="K501" s="68"/>
      <c r="L501" s="502"/>
      <c r="M501" s="68"/>
      <c r="N501" s="869"/>
      <c r="O501" s="2038"/>
      <c r="P501" s="2038"/>
      <c r="Q501" s="68"/>
    </row>
    <row r="502" spans="3:17" s="115" customFormat="1" ht="12.5">
      <c r="C502" s="685"/>
      <c r="D502" s="68"/>
      <c r="E502" s="68"/>
      <c r="F502" s="68"/>
      <c r="G502" s="1423" t="s">
        <v>1744</v>
      </c>
      <c r="H502" s="869" t="s">
        <v>3940</v>
      </c>
      <c r="I502" s="1758" t="s">
        <v>2447</v>
      </c>
      <c r="J502" s="68"/>
      <c r="K502" s="68"/>
      <c r="L502" s="502"/>
      <c r="M502" s="68"/>
      <c r="N502" s="869"/>
      <c r="O502" s="2038"/>
      <c r="P502" s="2038"/>
      <c r="Q502" s="68"/>
    </row>
    <row r="503" spans="3:17" s="115" customFormat="1" ht="12.5">
      <c r="C503" s="685"/>
      <c r="D503" s="68"/>
      <c r="E503" s="68"/>
      <c r="F503" s="68"/>
      <c r="G503" s="1423" t="s">
        <v>471</v>
      </c>
      <c r="H503" s="869" t="s">
        <v>3940</v>
      </c>
      <c r="I503" s="1758" t="s">
        <v>2447</v>
      </c>
      <c r="J503" s="68"/>
      <c r="K503" s="68"/>
      <c r="L503" s="502"/>
      <c r="M503" s="68"/>
      <c r="N503" s="869"/>
      <c r="O503" s="2038"/>
      <c r="P503" s="2038"/>
      <c r="Q503" s="68"/>
    </row>
    <row r="504" spans="3:17" s="115" customFormat="1" ht="12.5">
      <c r="C504" s="685"/>
      <c r="D504" s="68"/>
      <c r="E504" s="68"/>
      <c r="F504" s="68"/>
      <c r="G504" s="1423" t="s">
        <v>1946</v>
      </c>
      <c r="H504" s="869" t="s">
        <v>3940</v>
      </c>
      <c r="I504" s="1758" t="s">
        <v>2447</v>
      </c>
      <c r="J504" s="68"/>
      <c r="K504" s="68"/>
      <c r="L504" s="502"/>
      <c r="M504" s="68"/>
      <c r="N504" s="869"/>
      <c r="O504" s="2038"/>
      <c r="P504" s="2038"/>
      <c r="Q504" s="68"/>
    </row>
    <row r="505" spans="3:17" s="115" customFormat="1" ht="12.5">
      <c r="C505" s="685"/>
      <c r="D505" s="68"/>
      <c r="E505" s="68"/>
      <c r="F505" s="68"/>
      <c r="G505" s="1423" t="s">
        <v>2083</v>
      </c>
      <c r="H505" s="869">
        <v>2020</v>
      </c>
      <c r="I505" s="869" t="s">
        <v>3939</v>
      </c>
      <c r="J505" s="68"/>
      <c r="K505" s="68"/>
      <c r="L505" s="502"/>
      <c r="M505" s="68"/>
      <c r="N505" s="869"/>
      <c r="O505" s="2038"/>
      <c r="P505" s="2038"/>
      <c r="Q505" s="68"/>
    </row>
    <row r="506" spans="3:17" s="115" customFormat="1" ht="12.5">
      <c r="C506" s="685"/>
      <c r="D506" s="68"/>
      <c r="E506" s="68"/>
      <c r="F506" s="68"/>
      <c r="G506" s="1423" t="s">
        <v>1969</v>
      </c>
      <c r="H506" s="869">
        <v>2020</v>
      </c>
      <c r="I506" s="869" t="s">
        <v>3939</v>
      </c>
      <c r="J506" s="68"/>
      <c r="K506" s="68"/>
      <c r="L506" s="68"/>
      <c r="M506" s="68"/>
      <c r="N506" s="869"/>
      <c r="O506" s="2038"/>
      <c r="P506" s="2038"/>
      <c r="Q506" s="68"/>
    </row>
    <row r="507" spans="3:17" s="115" customFormat="1" ht="12.5">
      <c r="C507" s="68"/>
      <c r="D507" s="68"/>
      <c r="E507" s="68"/>
      <c r="F507" s="68"/>
      <c r="G507" s="1423" t="s">
        <v>2148</v>
      </c>
      <c r="H507" s="869">
        <v>2019</v>
      </c>
      <c r="I507" s="869" t="s">
        <v>3939</v>
      </c>
      <c r="J507" s="68"/>
      <c r="K507" s="68"/>
      <c r="L507" s="68"/>
      <c r="M507" s="68"/>
      <c r="N507" s="869"/>
      <c r="O507" s="2038"/>
      <c r="P507" s="2038"/>
      <c r="Q507" s="68"/>
    </row>
    <row r="508" spans="3:17" s="115" customFormat="1" ht="12.5">
      <c r="C508" s="68"/>
      <c r="D508" s="68"/>
      <c r="E508" s="68"/>
      <c r="F508" s="68"/>
      <c r="G508" s="1423" t="s">
        <v>3935</v>
      </c>
      <c r="H508" s="68"/>
      <c r="I508" s="68"/>
      <c r="J508" s="68"/>
      <c r="K508" s="68"/>
      <c r="L508" s="68"/>
      <c r="M508" s="68"/>
      <c r="N508" s="869"/>
      <c r="O508" s="2038"/>
      <c r="P508" s="2038"/>
      <c r="Q508" s="68"/>
    </row>
    <row r="509" spans="3:17" s="115" customFormat="1" ht="12.5">
      <c r="C509" s="68"/>
      <c r="D509" s="68"/>
      <c r="E509" s="68"/>
      <c r="F509" s="68"/>
      <c r="G509" s="1423" t="s">
        <v>1572</v>
      </c>
      <c r="H509" s="869">
        <v>2019</v>
      </c>
      <c r="I509" s="869" t="s">
        <v>3939</v>
      </c>
      <c r="J509" s="68"/>
      <c r="K509" s="68"/>
      <c r="L509" s="68"/>
      <c r="M509" s="68"/>
      <c r="N509" s="869"/>
      <c r="O509" s="2038"/>
      <c r="P509" s="2038"/>
      <c r="Q509" s="68"/>
    </row>
    <row r="510" spans="3:17" s="115" customFormat="1" ht="12.5">
      <c r="C510" s="68"/>
      <c r="D510" s="68"/>
      <c r="E510" s="68"/>
      <c r="F510" s="68"/>
      <c r="G510" s="1423" t="s">
        <v>1575</v>
      </c>
      <c r="H510" s="869">
        <v>2020</v>
      </c>
      <c r="I510" s="869" t="s">
        <v>3939</v>
      </c>
      <c r="J510" s="68"/>
      <c r="K510" s="68"/>
      <c r="L510" s="68"/>
      <c r="M510" s="68"/>
      <c r="N510" s="869"/>
      <c r="O510" s="2038"/>
      <c r="P510" s="2038"/>
      <c r="Q510" s="68"/>
    </row>
    <row r="511" spans="3:17" s="115" customFormat="1" ht="12.5">
      <c r="C511" s="68"/>
      <c r="D511" s="68"/>
      <c r="E511" s="68"/>
      <c r="F511" s="68"/>
      <c r="G511" s="1423" t="s">
        <v>1580</v>
      </c>
      <c r="H511" s="869">
        <v>2020</v>
      </c>
      <c r="I511" s="869" t="s">
        <v>3939</v>
      </c>
      <c r="J511" s="68"/>
      <c r="K511" s="68"/>
      <c r="L511" s="68"/>
      <c r="M511" s="68"/>
      <c r="N511" s="869"/>
      <c r="O511" s="2038"/>
      <c r="P511" s="2038"/>
      <c r="Q511" s="68"/>
    </row>
    <row r="512" spans="3:17" s="115" customFormat="1" ht="12.5">
      <c r="C512" s="68"/>
      <c r="D512" s="68"/>
      <c r="E512" s="68"/>
      <c r="F512" s="68"/>
      <c r="G512" s="1423" t="s">
        <v>1588</v>
      </c>
      <c r="H512" s="869">
        <v>2020</v>
      </c>
      <c r="I512" s="869" t="s">
        <v>3939</v>
      </c>
      <c r="J512" s="68"/>
      <c r="K512" s="68"/>
      <c r="L512" s="68"/>
      <c r="M512" s="68"/>
      <c r="N512" s="869"/>
      <c r="O512" s="2038"/>
      <c r="P512" s="2038"/>
      <c r="Q512" s="68"/>
    </row>
    <row r="513" spans="3:17" s="115" customFormat="1" ht="12.5">
      <c r="C513" s="68"/>
      <c r="D513" s="68"/>
      <c r="E513" s="68"/>
      <c r="F513" s="68"/>
      <c r="G513" s="1423" t="s">
        <v>1589</v>
      </c>
      <c r="H513" s="869">
        <v>2019</v>
      </c>
      <c r="I513" s="869" t="s">
        <v>3939</v>
      </c>
      <c r="J513" s="68"/>
      <c r="K513" s="68"/>
      <c r="L513" s="68"/>
      <c r="M513" s="68"/>
      <c r="N513" s="869"/>
      <c r="O513" s="2038"/>
      <c r="P513" s="2038"/>
      <c r="Q513" s="68"/>
    </row>
    <row r="514" spans="3:17" s="115" customFormat="1" ht="12.5">
      <c r="C514" s="68"/>
      <c r="D514" s="68"/>
      <c r="E514" s="68"/>
      <c r="F514" s="68"/>
      <c r="G514" s="1423" t="s">
        <v>100</v>
      </c>
      <c r="H514" s="869">
        <v>2020</v>
      </c>
      <c r="I514" s="869" t="s">
        <v>3939</v>
      </c>
      <c r="J514" s="68"/>
      <c r="K514" s="68"/>
      <c r="L514" s="68"/>
      <c r="M514" s="68"/>
      <c r="N514" s="869"/>
      <c r="O514" s="2038"/>
      <c r="P514" s="2038"/>
      <c r="Q514" s="68"/>
    </row>
    <row r="515" spans="3:17" s="115" customFormat="1" ht="12.5">
      <c r="C515" s="68"/>
      <c r="D515" s="68"/>
      <c r="E515" s="68"/>
      <c r="F515" s="68"/>
      <c r="G515" s="1423" t="s">
        <v>285</v>
      </c>
      <c r="H515" s="869">
        <v>2020</v>
      </c>
      <c r="I515" s="869" t="s">
        <v>3939</v>
      </c>
      <c r="J515" s="68"/>
      <c r="K515" s="68"/>
      <c r="L515" s="68"/>
      <c r="M515" s="68"/>
      <c r="N515" s="869"/>
      <c r="O515" s="2038"/>
      <c r="P515" s="2038"/>
      <c r="Q515" s="68"/>
    </row>
    <row r="516" spans="3:17" s="115" customFormat="1" ht="12.5">
      <c r="C516" s="68"/>
      <c r="D516" s="68"/>
      <c r="E516" s="68"/>
      <c r="F516" s="68"/>
      <c r="G516" s="1423" t="s">
        <v>1440</v>
      </c>
      <c r="H516" s="869" t="s">
        <v>3940</v>
      </c>
      <c r="I516" s="1758" t="s">
        <v>2447</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504" customWidth="1"/>
    <col min="4" max="4" width="15.453125" style="504" customWidth="1"/>
    <col min="5" max="5" width="4.7265625" style="504" customWidth="1"/>
    <col min="6" max="9" width="12.7265625" style="504" customWidth="1"/>
    <col min="10" max="10" width="5.26953125" style="504" customWidth="1"/>
    <col min="11" max="16384" width="9.26953125" style="504"/>
  </cols>
  <sheetData>
    <row r="1" spans="1:16">
      <c r="A1" s="4644" t="s">
        <v>2575</v>
      </c>
      <c r="B1" s="4644"/>
      <c r="C1" s="4644"/>
      <c r="D1" s="4644"/>
      <c r="E1" s="4644"/>
      <c r="F1" s="4644"/>
      <c r="G1" s="4644"/>
      <c r="H1" s="4644"/>
      <c r="I1" s="4644"/>
      <c r="J1" s="4644"/>
    </row>
    <row r="2" spans="1:16">
      <c r="A2" s="4644">
        <f>'Sensitivity Analysis'!C8</f>
        <v>0</v>
      </c>
      <c r="B2" s="4644"/>
      <c r="C2" s="4644"/>
      <c r="D2" s="4644"/>
      <c r="E2" s="4644"/>
      <c r="F2" s="4644"/>
      <c r="G2" s="4644"/>
      <c r="H2" s="4644"/>
      <c r="I2" s="4644"/>
      <c r="J2" s="4644"/>
    </row>
    <row r="3" spans="1:16">
      <c r="A3" s="4644" t="str">
        <f>'Subsidy Layering Memo'!F14</f>
        <v>&lt;&lt; Select from list &gt;&gt;, Select City first</v>
      </c>
      <c r="B3" s="4644"/>
      <c r="C3" s="4644"/>
      <c r="D3" s="4644"/>
      <c r="E3" s="4644"/>
      <c r="F3" s="4644"/>
      <c r="G3" s="4644"/>
      <c r="H3" s="4644"/>
      <c r="I3" s="4644"/>
      <c r="J3" s="4644"/>
    </row>
    <row r="4" spans="1:16">
      <c r="A4" s="4645" t="s">
        <v>2576</v>
      </c>
      <c r="B4" s="4644"/>
      <c r="C4" s="4644"/>
      <c r="D4" s="4644"/>
      <c r="E4" s="4644"/>
      <c r="F4" s="4644"/>
      <c r="G4" s="4644"/>
      <c r="H4" s="4644"/>
      <c r="I4" s="4644"/>
      <c r="J4" s="4644"/>
    </row>
    <row r="5" spans="1:16" ht="5.25" customHeight="1"/>
    <row r="6" spans="1:16" ht="5.25" customHeight="1"/>
    <row r="7" spans="1:16">
      <c r="A7" s="4646" t="s">
        <v>2577</v>
      </c>
      <c r="B7" s="4646"/>
      <c r="C7" s="4647"/>
      <c r="M7" s="4648"/>
      <c r="N7" s="4648"/>
      <c r="O7" s="4648"/>
      <c r="P7" s="4648"/>
    </row>
    <row r="8" spans="1:16" ht="57" customHeight="1">
      <c r="A8" s="4649" t="s">
        <v>4056</v>
      </c>
      <c r="B8" s="4649"/>
      <c r="C8" s="4649"/>
      <c r="D8" s="4649"/>
      <c r="E8" s="4649"/>
      <c r="F8" s="4649"/>
      <c r="G8" s="4649"/>
      <c r="H8" s="4649"/>
      <c r="I8" s="4649"/>
      <c r="J8" s="4649"/>
      <c r="K8" s="505"/>
    </row>
    <row r="9" spans="1:16" ht="45.75" customHeight="1">
      <c r="A9" s="464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649"/>
      <c r="C9" s="4649"/>
      <c r="D9" s="4649"/>
      <c r="E9" s="4649"/>
      <c r="F9" s="4649"/>
      <c r="G9" s="4649"/>
      <c r="H9" s="4649"/>
      <c r="I9" s="4649"/>
      <c r="J9" s="4649"/>
      <c r="K9" s="505"/>
    </row>
    <row r="10" spans="1:16">
      <c r="A10" s="506" t="s">
        <v>2578</v>
      </c>
    </row>
    <row r="11" spans="1:16" ht="16.5" customHeight="1">
      <c r="A11" s="4649" t="str">
        <f>'Subsidy Layering Memo'!A50</f>
        <v xml:space="preserve">Ownership entity:  (NAME) LP, a Georgia Limited Partnership, will be the ownership entity for the proposed project. </v>
      </c>
      <c r="B11" s="4651"/>
      <c r="C11" s="4651"/>
      <c r="D11" s="4651"/>
      <c r="E11" s="4651"/>
      <c r="F11" s="4651"/>
      <c r="G11" s="4651"/>
      <c r="H11" s="4651"/>
      <c r="I11" s="4651"/>
      <c r="J11" s="4649"/>
    </row>
    <row r="12" spans="1:16" ht="63.75" customHeight="1">
      <c r="A12" s="464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9"/>
      <c r="C12" s="4649"/>
      <c r="D12" s="4649"/>
      <c r="E12" s="4649"/>
      <c r="F12" s="4649"/>
      <c r="G12" s="4649"/>
      <c r="H12" s="4649"/>
      <c r="I12" s="4649"/>
      <c r="J12" s="4649"/>
    </row>
    <row r="13" spans="1:16" ht="48.75" customHeight="1">
      <c r="A13" s="464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9"/>
      <c r="C13" s="4649"/>
      <c r="D13" s="4649"/>
      <c r="E13" s="4649"/>
      <c r="F13" s="4649"/>
      <c r="G13" s="4649"/>
      <c r="H13" s="4649"/>
      <c r="I13" s="4649"/>
      <c r="J13" s="4649"/>
    </row>
    <row r="14" spans="1:16">
      <c r="A14" s="506" t="s">
        <v>2579</v>
      </c>
      <c r="B14" s="507"/>
    </row>
    <row r="15" spans="1:16">
      <c r="A15" s="504" t="s">
        <v>2580</v>
      </c>
      <c r="D15" s="1002" t="s">
        <v>2581</v>
      </c>
    </row>
    <row r="16" spans="1:16">
      <c r="A16" s="504" t="s">
        <v>2582</v>
      </c>
      <c r="D16" s="1195">
        <f>'Sensitivity Analysis'!C25</f>
        <v>0</v>
      </c>
    </row>
    <row r="17" spans="1:11">
      <c r="A17" s="508" t="s">
        <v>2583</v>
      </c>
      <c r="D17" s="1196">
        <f>'Sensitivity Analysis'!C13</f>
        <v>0</v>
      </c>
    </row>
    <row r="18" spans="1:11" ht="14.25" customHeight="1"/>
    <row r="19" spans="1:11">
      <c r="A19" s="506" t="s">
        <v>2584</v>
      </c>
      <c r="B19" s="507"/>
      <c r="C19" s="507"/>
    </row>
    <row r="20" spans="1:11" ht="48.75" customHeight="1">
      <c r="A20" s="465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52"/>
      <c r="C20" s="4652"/>
      <c r="D20" s="4652"/>
      <c r="E20" s="4652"/>
      <c r="F20" s="4652"/>
      <c r="G20" s="4652"/>
      <c r="H20" s="4652"/>
      <c r="I20" s="4652"/>
      <c r="J20" s="4652"/>
    </row>
    <row r="21" spans="1:11" ht="72.75" customHeight="1">
      <c r="A21" s="4649" t="str">
        <f>'Subsidy Layering Memo'!A67</f>
        <v xml:space="preserve"> will make a capital contribution totaling 0 via the syndication of the 2024 Federal LIHTC allocation of 0 per annum. will make a capital contribution totaling 0 via the syndication of the 2024 State LIHTC allocation of 0 per annum.</v>
      </c>
      <c r="B21" s="4649"/>
      <c r="C21" s="4649"/>
      <c r="D21" s="4649"/>
      <c r="E21" s="4649"/>
      <c r="F21" s="4649"/>
      <c r="G21" s="4649"/>
      <c r="H21" s="4649"/>
      <c r="I21" s="4649"/>
      <c r="J21" s="4649"/>
    </row>
    <row r="22" spans="1:11" ht="43.5" customHeight="1">
      <c r="A22" s="4653" t="str">
        <f>'Subsidy Layering Memo'!A68</f>
        <v xml:space="preserve">The total equity price per credit will be 0 (0 Federal tax credit and 0 State tax credit) for a (X%) ownership interest of the Federal Credits and a (X%) ownership interest of the State Credits. </v>
      </c>
      <c r="B22" s="4653"/>
      <c r="C22" s="4653"/>
      <c r="D22" s="4653"/>
      <c r="E22" s="4653"/>
      <c r="F22" s="4653"/>
      <c r="G22" s="4653"/>
      <c r="H22" s="4653"/>
      <c r="I22" s="4653"/>
      <c r="J22" s="4653"/>
    </row>
    <row r="23" spans="1:11">
      <c r="A23" s="506" t="s">
        <v>4057</v>
      </c>
      <c r="B23" s="507"/>
      <c r="C23" s="507"/>
      <c r="D23" s="507"/>
      <c r="E23" s="507"/>
      <c r="F23" s="507"/>
    </row>
    <row r="24" spans="1:11" ht="102.75" customHeight="1">
      <c r="A24" s="46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9"/>
      <c r="C24" s="4649"/>
      <c r="D24" s="4649"/>
      <c r="E24" s="4649"/>
      <c r="F24" s="4649"/>
      <c r="G24" s="4649"/>
      <c r="H24" s="4649"/>
      <c r="I24" s="4649"/>
      <c r="J24" s="4649"/>
    </row>
    <row r="25" spans="1:11" ht="15" customHeight="1">
      <c r="A25" s="4650"/>
      <c r="B25" s="4650"/>
      <c r="C25" s="4650"/>
      <c r="D25" s="4650"/>
      <c r="E25" s="4650"/>
      <c r="F25" s="4650"/>
      <c r="G25" s="4650"/>
      <c r="H25" s="4650"/>
      <c r="I25" s="4650"/>
      <c r="J25" s="4650"/>
      <c r="K25" s="504" t="s">
        <v>233</v>
      </c>
    </row>
    <row r="26" spans="1:11" ht="15" customHeight="1">
      <c r="B26" s="1001"/>
      <c r="C26" s="1001"/>
      <c r="D26" s="1001"/>
      <c r="E26" s="1001"/>
      <c r="F26" s="1001"/>
      <c r="G26" s="1001"/>
      <c r="H26" s="1001"/>
      <c r="I26" s="1001" t="s">
        <v>233</v>
      </c>
      <c r="J26" s="1001"/>
    </row>
    <row r="27" spans="1:11">
      <c r="A27" s="507" t="s">
        <v>2585</v>
      </c>
    </row>
    <row r="29" spans="1:11" ht="16"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513"/>
    <col min="2" max="2" width="7.7265625" style="513" customWidth="1"/>
    <col min="3" max="3" width="14.7265625" style="513" customWidth="1"/>
    <col min="4" max="4" width="20.26953125" style="513" customWidth="1"/>
    <col min="5" max="5" width="8" style="513" customWidth="1"/>
    <col min="6" max="6" width="5.26953125" style="513" customWidth="1"/>
    <col min="7" max="7" width="5.453125" style="513" customWidth="1"/>
    <col min="8" max="8" width="8.54296875" style="513" customWidth="1"/>
    <col min="9" max="9" width="28.54296875" style="513" customWidth="1"/>
    <col min="10" max="10" width="4.26953125" style="513" hidden="1" customWidth="1"/>
    <col min="11" max="11" width="9.26953125" style="513"/>
    <col min="12" max="12" width="16.26953125" style="513" customWidth="1"/>
    <col min="13" max="13" width="11.26953125" style="513" customWidth="1"/>
    <col min="14" max="14" width="10.7265625" style="513" bestFit="1" customWidth="1"/>
    <col min="15" max="15" width="28.54296875" style="513" customWidth="1"/>
    <col min="16" max="16384" width="9.26953125" style="513"/>
  </cols>
  <sheetData>
    <row r="2" spans="1:10">
      <c r="A2" s="510" t="s">
        <v>2588</v>
      </c>
      <c r="B2" s="511"/>
      <c r="C2" s="511"/>
      <c r="D2" s="511"/>
      <c r="E2" s="512"/>
      <c r="F2" s="511"/>
      <c r="G2" s="511"/>
      <c r="H2" s="511"/>
      <c r="I2" s="511"/>
      <c r="J2" s="511"/>
    </row>
    <row r="3" spans="1:10">
      <c r="A3" s="514"/>
    </row>
    <row r="4" spans="1:10">
      <c r="A4" s="514" t="s">
        <v>2589</v>
      </c>
      <c r="D4" s="513" t="s">
        <v>2590</v>
      </c>
    </row>
    <row r="5" spans="1:10">
      <c r="A5" s="514"/>
    </row>
    <row r="6" spans="1:10">
      <c r="A6" s="514" t="s">
        <v>2591</v>
      </c>
      <c r="D6" s="513" t="s">
        <v>2592</v>
      </c>
    </row>
    <row r="7" spans="1:10">
      <c r="A7" s="514"/>
    </row>
    <row r="8" spans="1:10">
      <c r="A8" s="514" t="s">
        <v>2593</v>
      </c>
      <c r="D8" s="515" t="s">
        <v>2594</v>
      </c>
    </row>
    <row r="9" spans="1:10">
      <c r="A9" s="514"/>
    </row>
    <row r="10" spans="1:10">
      <c r="A10" s="514" t="s">
        <v>2595</v>
      </c>
      <c r="D10" s="515" t="s">
        <v>2596</v>
      </c>
    </row>
    <row r="11" spans="1:10">
      <c r="A11" s="514"/>
      <c r="D11" s="1003"/>
    </row>
    <row r="12" spans="1:10">
      <c r="A12" s="514" t="s">
        <v>2597</v>
      </c>
      <c r="D12" s="513" t="s">
        <v>573</v>
      </c>
      <c r="F12" s="1003">
        <f>'Sensitivity Analysis'!$C$8</f>
        <v>0</v>
      </c>
    </row>
    <row r="13" spans="1:10">
      <c r="A13" s="514"/>
      <c r="D13" s="513" t="s">
        <v>2598</v>
      </c>
      <c r="F13" s="1003" t="str">
        <f>'Sensitivity Analysis'!E8</f>
        <v>2024-5</v>
      </c>
    </row>
    <row r="14" spans="1:10">
      <c r="A14" s="514"/>
      <c r="D14" s="513" t="s">
        <v>2599</v>
      </c>
      <c r="F14" s="1003" t="str">
        <f>'Sensitivity Analysis'!H8</f>
        <v>&lt;&lt; Select from list &gt;&gt;, Select City first</v>
      </c>
    </row>
    <row r="15" spans="1:10">
      <c r="A15" s="514"/>
      <c r="D15" s="513" t="s">
        <v>2882</v>
      </c>
      <c r="F15" s="4663">
        <f>'Sensitivity Analysis'!$C$25</f>
        <v>0</v>
      </c>
      <c r="G15" s="4663"/>
      <c r="H15" s="4663"/>
    </row>
    <row r="16" spans="1:10">
      <c r="D16" s="516" t="s">
        <v>4951</v>
      </c>
      <c r="F16" s="2389">
        <f>'Sensitivity Analysis'!C13</f>
        <v>0</v>
      </c>
      <c r="G16" s="2387">
        <f>'Sensitivity Analysis'!E13</f>
        <v>0</v>
      </c>
      <c r="H16" s="2388">
        <f>ProrationMethodCostAllocatnDCA!$D$64</f>
        <v>0</v>
      </c>
    </row>
    <row r="17" spans="1:18">
      <c r="A17" s="516"/>
      <c r="D17" s="516" t="s">
        <v>2569</v>
      </c>
      <c r="F17" s="517" t="str">
        <f>'Sensitivity Analysis'!C14</f>
        <v>&lt;&lt; Select PROPOSED Tenancy &gt;&gt;</v>
      </c>
    </row>
    <row r="18" spans="1:18">
      <c r="A18" s="514"/>
      <c r="D18" s="516" t="s">
        <v>2886</v>
      </c>
      <c r="F18" s="1003" t="str">
        <f>'Sensitivity Analysis'!H15</f>
        <v>Urban</v>
      </c>
    </row>
    <row r="19" spans="1:18">
      <c r="A19" s="514"/>
      <c r="D19" s="516" t="s">
        <v>2883</v>
      </c>
      <c r="F19" s="1003">
        <f>'Sensitivity Analysis'!E16</f>
        <v>0</v>
      </c>
    </row>
    <row r="20" spans="1:18">
      <c r="A20" s="514"/>
      <c r="D20" s="516"/>
    </row>
    <row r="21" spans="1:18">
      <c r="A21" s="519" t="s">
        <v>4059</v>
      </c>
    </row>
    <row r="22" spans="1:18" ht="111.75" customHeight="1">
      <c r="A22" s="4655" t="s">
        <v>3015</v>
      </c>
      <c r="B22" s="4655"/>
      <c r="C22" s="4655"/>
      <c r="D22" s="4655"/>
      <c r="E22" s="4655"/>
      <c r="F22" s="4655"/>
      <c r="G22" s="4655"/>
      <c r="H22" s="4655"/>
      <c r="I22" s="4655"/>
      <c r="J22" s="4655"/>
      <c r="K22" s="4654" t="s">
        <v>3778</v>
      </c>
      <c r="L22" s="4654"/>
      <c r="M22" s="4654"/>
      <c r="N22" s="4654"/>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6"/>
      <c r="B24" s="4656"/>
      <c r="C24" s="4656"/>
      <c r="D24" s="4656"/>
      <c r="E24" s="4656"/>
      <c r="F24" s="4656"/>
      <c r="G24" s="4656"/>
      <c r="H24" s="4656"/>
      <c r="I24" s="4656"/>
      <c r="J24" s="4656"/>
    </row>
    <row r="25" spans="1:18" ht="10.5" hidden="1" customHeight="1">
      <c r="A25" s="4653"/>
      <c r="B25" s="4653"/>
      <c r="C25" s="4653"/>
      <c r="D25" s="4653"/>
      <c r="E25" s="4653"/>
      <c r="F25" s="4653"/>
      <c r="G25" s="4653"/>
      <c r="H25" s="4653"/>
      <c r="I25" s="4653"/>
      <c r="J25" s="4653"/>
    </row>
    <row r="26" spans="1:18">
      <c r="A26" s="519" t="s">
        <v>4058</v>
      </c>
    </row>
    <row r="27" spans="1:18" ht="14.25" customHeight="1">
      <c r="A27" s="4657" t="s">
        <v>4060</v>
      </c>
      <c r="B27" s="4657"/>
      <c r="C27" s="4657"/>
      <c r="D27" s="4657"/>
      <c r="E27" s="4657"/>
      <c r="F27" s="4657"/>
      <c r="G27" s="4657"/>
      <c r="H27" s="4657"/>
      <c r="I27" s="4657"/>
      <c r="J27" s="4657"/>
    </row>
    <row r="28" spans="1:18" ht="14.25" customHeight="1">
      <c r="A28" s="4657"/>
      <c r="B28" s="4657"/>
      <c r="C28" s="4657"/>
      <c r="D28" s="4657"/>
      <c r="E28" s="4657"/>
      <c r="F28" s="4657"/>
      <c r="G28" s="4657"/>
      <c r="H28" s="4657"/>
      <c r="I28" s="4657"/>
      <c r="J28" s="4657"/>
    </row>
    <row r="29" spans="1:18" ht="6.75" customHeight="1">
      <c r="A29" s="4657"/>
      <c r="B29" s="4657"/>
      <c r="C29" s="4657"/>
      <c r="D29" s="4657"/>
      <c r="E29" s="4657"/>
      <c r="F29" s="4657"/>
      <c r="G29" s="4657"/>
      <c r="H29" s="4657"/>
      <c r="I29" s="4657"/>
      <c r="J29" s="4657"/>
    </row>
    <row r="30" spans="1:18" ht="21.75" customHeight="1">
      <c r="A30" s="4657"/>
      <c r="B30" s="4657"/>
      <c r="C30" s="4657"/>
      <c r="D30" s="4657"/>
      <c r="E30" s="4657"/>
      <c r="F30" s="4657"/>
      <c r="G30" s="4657"/>
      <c r="H30" s="4657"/>
      <c r="I30" s="4657"/>
      <c r="J30" s="4657"/>
    </row>
    <row r="31" spans="1:18" ht="20.25" customHeight="1">
      <c r="A31" s="4657"/>
      <c r="B31" s="4657"/>
      <c r="C31" s="4657"/>
      <c r="D31" s="4657"/>
      <c r="E31" s="4657"/>
      <c r="F31" s="4657"/>
      <c r="G31" s="4657"/>
      <c r="H31" s="4657"/>
      <c r="I31" s="4657"/>
      <c r="J31" s="4657"/>
    </row>
    <row r="32" spans="1:18" ht="54.75" customHeight="1">
      <c r="A32" s="4657"/>
      <c r="B32" s="4657"/>
      <c r="C32" s="4657"/>
      <c r="D32" s="4657"/>
      <c r="E32" s="4657"/>
      <c r="F32" s="4657"/>
      <c r="G32" s="4657"/>
      <c r="H32" s="4657"/>
      <c r="I32" s="4657"/>
      <c r="J32" s="4657"/>
    </row>
    <row r="33" spans="1:10" ht="0.75" hidden="1" customHeight="1">
      <c r="A33" s="4657"/>
      <c r="B33" s="4657"/>
      <c r="C33" s="4657"/>
      <c r="D33" s="4657"/>
      <c r="E33" s="4657"/>
      <c r="F33" s="4657"/>
      <c r="G33" s="4657"/>
      <c r="H33" s="4657"/>
      <c r="I33" s="4657"/>
      <c r="J33" s="4657"/>
    </row>
    <row r="34" spans="1:10" ht="3.75" hidden="1" customHeight="1">
      <c r="A34" s="4657"/>
      <c r="B34" s="4657"/>
      <c r="C34" s="4657"/>
      <c r="D34" s="4657"/>
      <c r="E34" s="4657"/>
      <c r="F34" s="4657"/>
      <c r="G34" s="4657"/>
      <c r="H34" s="4657"/>
      <c r="I34" s="4657"/>
      <c r="J34" s="4657"/>
    </row>
    <row r="35" spans="1:10" ht="5.25" customHeight="1">
      <c r="A35" s="1192"/>
      <c r="B35" s="1192"/>
      <c r="C35" s="1192"/>
      <c r="D35" s="1192"/>
      <c r="E35" s="1192"/>
      <c r="F35" s="1192"/>
      <c r="G35" s="1192"/>
      <c r="H35" s="1192"/>
      <c r="I35" s="1192"/>
      <c r="J35" s="1192"/>
    </row>
    <row r="36" spans="1:10" ht="19.5" customHeight="1">
      <c r="A36" s="4656" t="s">
        <v>4061</v>
      </c>
      <c r="B36" s="4656"/>
      <c r="C36" s="4656"/>
      <c r="D36" s="1190"/>
      <c r="E36" s="1190"/>
      <c r="F36" s="1190"/>
      <c r="G36" s="1190"/>
      <c r="H36" s="1190"/>
      <c r="I36" s="1190"/>
      <c r="J36" s="1190"/>
    </row>
    <row r="37" spans="1:10" ht="22.5" customHeight="1">
      <c r="A37" s="4653" t="s">
        <v>1611</v>
      </c>
      <c r="B37" s="4653"/>
      <c r="C37" s="4653"/>
      <c r="D37" s="4653"/>
      <c r="E37" s="4653"/>
      <c r="F37" s="4653"/>
      <c r="G37" s="4653"/>
      <c r="H37" s="4653"/>
      <c r="I37" s="4653"/>
      <c r="J37" s="4653"/>
    </row>
    <row r="38" spans="1:10" ht="22.5" customHeight="1">
      <c r="A38" s="4653" t="s">
        <v>1612</v>
      </c>
      <c r="B38" s="4653"/>
      <c r="C38" s="4653"/>
      <c r="D38" s="4653"/>
      <c r="E38" s="4653"/>
      <c r="F38" s="4653"/>
      <c r="G38" s="4653"/>
      <c r="H38" s="4653"/>
      <c r="I38" s="4653"/>
      <c r="J38" s="4653"/>
    </row>
    <row r="39" spans="1:10" ht="22.5" customHeight="1">
      <c r="A39" s="4653" t="s">
        <v>1613</v>
      </c>
      <c r="B39" s="4653"/>
      <c r="C39" s="4653"/>
      <c r="D39" s="4653"/>
      <c r="E39" s="4653"/>
      <c r="F39" s="4653"/>
      <c r="G39" s="4653"/>
      <c r="H39" s="4653"/>
      <c r="I39" s="4653"/>
      <c r="J39" s="4653"/>
    </row>
    <row r="40" spans="1:10" ht="22.5" customHeight="1">
      <c r="A40" s="4653" t="s">
        <v>2176</v>
      </c>
      <c r="B40" s="4653"/>
      <c r="C40" s="4653"/>
      <c r="D40" s="4653"/>
      <c r="E40" s="4653"/>
      <c r="F40" s="4653"/>
      <c r="G40" s="4653"/>
      <c r="H40" s="4653"/>
      <c r="I40" s="4653"/>
      <c r="J40" s="4653"/>
    </row>
    <row r="41" spans="1:10" ht="22.5" customHeight="1">
      <c r="A41" s="4653" t="s">
        <v>1446</v>
      </c>
      <c r="B41" s="4653"/>
      <c r="C41" s="4653"/>
      <c r="D41" s="4653"/>
      <c r="E41" s="4653"/>
      <c r="F41" s="4653"/>
      <c r="G41" s="4653"/>
      <c r="H41" s="4653"/>
      <c r="I41" s="4653"/>
      <c r="J41" s="4653"/>
    </row>
    <row r="42" spans="1:10" ht="22.5" customHeight="1">
      <c r="A42" s="4653" t="s">
        <v>1447</v>
      </c>
      <c r="B42" s="4653"/>
      <c r="C42" s="4653"/>
      <c r="D42" s="4653"/>
      <c r="E42" s="4653"/>
      <c r="F42" s="4653"/>
      <c r="G42" s="4653"/>
      <c r="H42" s="4653"/>
      <c r="I42" s="4653"/>
      <c r="J42" s="4653"/>
    </row>
    <row r="43" spans="1:10" ht="22.5" customHeight="1">
      <c r="A43" s="4653" t="s">
        <v>93</v>
      </c>
      <c r="B43" s="4653"/>
      <c r="C43" s="4653"/>
      <c r="D43" s="4653"/>
      <c r="E43" s="4653"/>
      <c r="F43" s="4653"/>
      <c r="G43" s="4653"/>
      <c r="H43" s="4653"/>
      <c r="I43" s="4653"/>
      <c r="J43" s="4653"/>
    </row>
    <row r="44" spans="1:10" ht="22.5" customHeight="1">
      <c r="A44" s="4653" t="s">
        <v>480</v>
      </c>
      <c r="B44" s="4653"/>
      <c r="C44" s="4653"/>
      <c r="D44" s="4653"/>
      <c r="E44" s="4653"/>
      <c r="F44" s="4653"/>
      <c r="G44" s="4653"/>
      <c r="H44" s="4653"/>
      <c r="I44" s="4653"/>
      <c r="J44" s="4653"/>
    </row>
    <row r="45" spans="1:10" ht="2.25" customHeight="1">
      <c r="A45" s="1190"/>
      <c r="B45" s="1190"/>
      <c r="C45" s="1190"/>
      <c r="D45" s="1190"/>
      <c r="E45" s="1190"/>
      <c r="F45" s="1190"/>
      <c r="G45" s="1190"/>
      <c r="H45" s="1190"/>
      <c r="I45" s="1190"/>
      <c r="J45" s="1190"/>
    </row>
    <row r="46" spans="1:10">
      <c r="A46" s="519" t="s">
        <v>2600</v>
      </c>
    </row>
    <row r="47" spans="1:10" ht="135" customHeight="1">
      <c r="A47" s="4653" t="s">
        <v>4952</v>
      </c>
      <c r="B47" s="4653"/>
      <c r="C47" s="4653"/>
      <c r="D47" s="4653"/>
      <c r="E47" s="4653"/>
      <c r="F47" s="4653"/>
      <c r="G47" s="4653"/>
      <c r="H47" s="4653"/>
      <c r="I47" s="4653"/>
      <c r="J47" s="4653"/>
    </row>
    <row r="48" spans="1:10" ht="6" customHeight="1">
      <c r="A48" s="1191"/>
      <c r="B48" s="1191"/>
      <c r="C48" s="1191"/>
      <c r="D48" s="1191"/>
      <c r="E48" s="1191"/>
      <c r="F48" s="1191"/>
      <c r="G48" s="1191"/>
      <c r="H48" s="1191"/>
      <c r="I48" s="1191"/>
      <c r="J48" s="1191"/>
    </row>
    <row r="49" spans="1:12">
      <c r="A49" s="519" t="s">
        <v>2601</v>
      </c>
    </row>
    <row r="50" spans="1:12" ht="33" customHeight="1">
      <c r="A50" s="4649" t="s">
        <v>3366</v>
      </c>
      <c r="B50" s="4651"/>
      <c r="C50" s="4651"/>
      <c r="D50" s="4651"/>
      <c r="E50" s="4651"/>
      <c r="F50" s="4651"/>
      <c r="G50" s="4651"/>
      <c r="H50" s="4651"/>
      <c r="I50" s="4651"/>
      <c r="J50" s="4649"/>
    </row>
    <row r="51" spans="1:12" ht="3" customHeight="1"/>
    <row r="52" spans="1:12" ht="72.75" customHeight="1">
      <c r="A52" s="4649" t="s">
        <v>3367</v>
      </c>
      <c r="B52" s="4649"/>
      <c r="C52" s="4649"/>
      <c r="D52" s="4649"/>
      <c r="E52" s="4649"/>
      <c r="F52" s="4649"/>
      <c r="G52" s="4649"/>
      <c r="H52" s="4649"/>
      <c r="I52" s="4649"/>
      <c r="J52" s="4649"/>
    </row>
    <row r="53" spans="1:12" ht="3" customHeight="1">
      <c r="A53" s="1190"/>
      <c r="B53" s="1190"/>
      <c r="C53" s="1190"/>
      <c r="D53" s="1190"/>
      <c r="E53" s="1190"/>
      <c r="F53" s="1190"/>
      <c r="G53" s="1190"/>
      <c r="H53" s="1190"/>
      <c r="I53" s="1190"/>
      <c r="J53" s="1190"/>
    </row>
    <row r="54" spans="1:12" ht="56.25" customHeight="1">
      <c r="A54" s="4649" t="s">
        <v>3368</v>
      </c>
      <c r="B54" s="4649"/>
      <c r="C54" s="4649"/>
      <c r="D54" s="4649"/>
      <c r="E54" s="4649"/>
      <c r="F54" s="4649"/>
      <c r="G54" s="4649"/>
      <c r="H54" s="4649"/>
      <c r="I54" s="4649"/>
      <c r="J54" s="4649"/>
    </row>
    <row r="55" spans="1:12" ht="3" customHeight="1">
      <c r="A55" s="1190"/>
      <c r="B55" s="1190"/>
      <c r="C55" s="1190"/>
      <c r="D55" s="1190"/>
      <c r="E55" s="1190"/>
      <c r="F55" s="1190"/>
      <c r="G55" s="1190"/>
      <c r="H55" s="1190"/>
      <c r="I55" s="1190"/>
      <c r="J55" s="1190"/>
    </row>
    <row r="56" spans="1:12" ht="49.5" customHeight="1">
      <c r="A56" s="4649" t="s">
        <v>3369</v>
      </c>
      <c r="B56" s="4649"/>
      <c r="C56" s="4649"/>
      <c r="D56" s="4649"/>
      <c r="E56" s="4649"/>
      <c r="F56" s="4649"/>
      <c r="G56" s="4649"/>
      <c r="H56" s="4649"/>
      <c r="I56" s="4649"/>
      <c r="J56" s="1190"/>
    </row>
    <row r="57" spans="1:12" ht="3" customHeight="1">
      <c r="A57" s="1190"/>
      <c r="B57" s="1190"/>
      <c r="C57" s="1190"/>
      <c r="D57" s="1190"/>
      <c r="E57" s="1190"/>
      <c r="F57" s="1190"/>
      <c r="G57" s="1190"/>
      <c r="H57" s="1190"/>
      <c r="I57" s="1190"/>
      <c r="J57" s="1190"/>
    </row>
    <row r="58" spans="1:12" ht="54.75" customHeight="1">
      <c r="A58" s="4668" t="s">
        <v>2890</v>
      </c>
      <c r="B58" s="4649"/>
      <c r="C58" s="4649"/>
      <c r="D58" s="4649"/>
      <c r="E58" s="4649"/>
      <c r="F58" s="4649"/>
      <c r="G58" s="4649"/>
      <c r="H58" s="4649"/>
      <c r="I58" s="4649"/>
      <c r="J58" s="1190"/>
    </row>
    <row r="59" spans="1:12" ht="3" customHeight="1">
      <c r="A59" s="1190"/>
      <c r="B59" s="1190"/>
      <c r="C59" s="1190"/>
      <c r="D59" s="1190"/>
      <c r="E59" s="1190"/>
      <c r="F59" s="1190"/>
      <c r="G59" s="1190"/>
      <c r="H59" s="1190"/>
      <c r="I59" s="1190"/>
      <c r="J59" s="1190"/>
    </row>
    <row r="60" spans="1:12" ht="62.25" customHeight="1">
      <c r="A60" s="4649" t="s">
        <v>3370</v>
      </c>
      <c r="B60" s="4649"/>
      <c r="C60" s="4649"/>
      <c r="D60" s="4649"/>
      <c r="E60" s="4649"/>
      <c r="F60" s="4649"/>
      <c r="G60" s="4649"/>
      <c r="H60" s="4649"/>
      <c r="I60" s="4649"/>
      <c r="J60" s="4649"/>
    </row>
    <row r="61" spans="1:12" ht="3" customHeight="1"/>
    <row r="62" spans="1:12" ht="73.5" customHeight="1">
      <c r="A62" s="4649" t="s">
        <v>3371</v>
      </c>
      <c r="B62" s="4649"/>
      <c r="C62" s="4649"/>
      <c r="D62" s="4649"/>
      <c r="E62" s="4649"/>
      <c r="F62" s="4649"/>
      <c r="G62" s="4649"/>
      <c r="H62" s="4649"/>
      <c r="I62" s="4649"/>
      <c r="J62" s="4649"/>
    </row>
    <row r="63" spans="1:12" ht="6" customHeight="1">
      <c r="A63" s="1190" t="s">
        <v>233</v>
      </c>
      <c r="B63" s="1190"/>
      <c r="C63" s="1190"/>
      <c r="D63" s="1190"/>
      <c r="E63" s="1190"/>
      <c r="F63" s="1190"/>
      <c r="G63" s="1190"/>
      <c r="H63" s="1190"/>
      <c r="I63" s="1190"/>
      <c r="J63" s="1190"/>
    </row>
    <row r="64" spans="1:12">
      <c r="A64" s="519" t="s">
        <v>2602</v>
      </c>
      <c r="L64" s="520" t="s">
        <v>3007</v>
      </c>
    </row>
    <row r="65" spans="1:17" ht="46.5" customHeight="1">
      <c r="A65" s="4655" t="s">
        <v>2603</v>
      </c>
      <c r="B65" s="4655"/>
      <c r="C65" s="4655"/>
      <c r="D65" s="4655"/>
      <c r="E65" s="4655"/>
      <c r="F65" s="4655"/>
      <c r="G65" s="4655"/>
      <c r="H65" s="4655"/>
      <c r="I65" s="4655"/>
      <c r="J65" s="4655"/>
      <c r="L65" s="521">
        <f>'Closing term sheet'!C135</f>
        <v>0</v>
      </c>
      <c r="M65" s="522"/>
      <c r="N65" s="522"/>
      <c r="O65" s="522"/>
    </row>
    <row r="66" spans="1:17" ht="7.5" customHeight="1">
      <c r="A66" s="1190"/>
      <c r="B66" s="1190"/>
      <c r="C66" s="1190"/>
      <c r="D66" s="1190"/>
      <c r="E66" s="1190"/>
      <c r="F66" s="1190"/>
      <c r="G66" s="1190"/>
      <c r="H66" s="1190"/>
      <c r="I66" s="1190"/>
      <c r="J66" s="1190"/>
      <c r="L66" s="523" t="s">
        <v>3008</v>
      </c>
      <c r="M66" s="524" t="s">
        <v>3013</v>
      </c>
      <c r="N66" s="525" t="s">
        <v>3010</v>
      </c>
      <c r="O66" s="523" t="s">
        <v>3009</v>
      </c>
      <c r="P66" s="524" t="s">
        <v>3012</v>
      </c>
      <c r="Q66" s="525" t="s">
        <v>3011</v>
      </c>
    </row>
    <row r="67" spans="1:17" ht="78.75" customHeight="1">
      <c r="A67" s="4649"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0 via the syndication of the 2024 Federal LIHTC allocation of 0 per annum. will make a capital contribution totaling 0 via the syndication of the 2024 State LIHTC allocation of 0 per annum.</v>
      </c>
      <c r="B67" s="4649"/>
      <c r="C67" s="4649"/>
      <c r="D67" s="4649"/>
      <c r="E67" s="4649"/>
      <c r="F67" s="4649"/>
      <c r="G67" s="4649"/>
      <c r="H67" s="4649"/>
      <c r="I67" s="4649"/>
      <c r="J67" s="526"/>
      <c r="L67" s="2390">
        <f>'Part II-Sources of Funds'!I51</f>
        <v>0</v>
      </c>
      <c r="M67" s="2391">
        <f>'Part III-A-Uses of Funds'!$J$191</f>
        <v>0</v>
      </c>
      <c r="N67" s="2392">
        <f>'Part III-A-Uses of Funds'!N182</f>
        <v>0</v>
      </c>
      <c r="O67" s="2390">
        <f>'Part II-Sources of Funds'!I52</f>
        <v>0</v>
      </c>
      <c r="P67" s="2391">
        <f>M67</f>
        <v>0</v>
      </c>
      <c r="Q67" s="2392">
        <f>'Part III-A-Uses of Funds'!Q182</f>
        <v>0</v>
      </c>
    </row>
    <row r="68" spans="1:17" ht="39.75" customHeight="1">
      <c r="A68" s="4653"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653"/>
      <c r="C68" s="4653"/>
      <c r="D68" s="4653"/>
      <c r="E68" s="4653"/>
      <c r="F68" s="4653"/>
      <c r="G68" s="4653"/>
      <c r="H68" s="4653"/>
      <c r="I68" s="4653"/>
      <c r="J68" s="526"/>
      <c r="L68" s="1467"/>
      <c r="M68" s="1467"/>
      <c r="N68" s="623"/>
      <c r="O68" s="1467"/>
      <c r="P68" s="1467"/>
      <c r="Q68" s="623"/>
    </row>
    <row r="69" spans="1:17" ht="18.75" customHeight="1">
      <c r="A69" s="527" t="s">
        <v>2604</v>
      </c>
    </row>
    <row r="70" spans="1:17" ht="177" customHeight="1">
      <c r="A70" s="4649" t="s">
        <v>4953</v>
      </c>
      <c r="B70" s="4649"/>
      <c r="C70" s="4649"/>
      <c r="D70" s="4649"/>
      <c r="E70" s="4649"/>
      <c r="F70" s="4649"/>
      <c r="G70" s="4649"/>
      <c r="H70" s="4649"/>
      <c r="I70" s="4649"/>
      <c r="J70" s="4649"/>
      <c r="L70" s="528" t="str">
        <f>'Part VI-Pro Forma'!K72</f>
        <v/>
      </c>
      <c r="M70" s="4662" t="s">
        <v>3014</v>
      </c>
      <c r="N70" s="4654"/>
    </row>
    <row r="71" spans="1:17" ht="6" customHeight="1">
      <c r="A71" s="519"/>
    </row>
    <row r="72" spans="1:17">
      <c r="A72" s="519" t="s">
        <v>2605</v>
      </c>
    </row>
    <row r="73" spans="1:17" ht="72.650000000000006" customHeight="1">
      <c r="A73" s="4649" t="s">
        <v>2606</v>
      </c>
      <c r="B73" s="4649"/>
      <c r="C73" s="4649"/>
      <c r="D73" s="4649"/>
      <c r="E73" s="4649"/>
      <c r="F73" s="4649"/>
      <c r="G73" s="4649"/>
      <c r="H73" s="4649"/>
      <c r="I73" s="4649"/>
      <c r="J73" s="4649"/>
    </row>
    <row r="74" spans="1:17" ht="36" customHeight="1">
      <c r="A74" s="4649" t="s">
        <v>2607</v>
      </c>
      <c r="B74" s="4649"/>
      <c r="C74" s="4649"/>
      <c r="D74" s="4649"/>
      <c r="E74" s="4649"/>
      <c r="F74" s="4649"/>
      <c r="G74" s="4649"/>
      <c r="H74" s="4649"/>
      <c r="I74" s="4649"/>
      <c r="J74" s="4649"/>
    </row>
    <row r="75" spans="1:17" ht="6" customHeight="1">
      <c r="A75" s="519"/>
    </row>
    <row r="76" spans="1:17">
      <c r="A76" s="519" t="s">
        <v>2608</v>
      </c>
    </row>
    <row r="77" spans="1:17" ht="105.75" customHeight="1">
      <c r="A77" s="4649" t="s">
        <v>2609</v>
      </c>
      <c r="B77" s="4649"/>
      <c r="C77" s="4649"/>
      <c r="D77" s="4649"/>
      <c r="E77" s="4649"/>
      <c r="F77" s="4649"/>
      <c r="G77" s="4649"/>
      <c r="H77" s="4649"/>
      <c r="I77" s="4649"/>
      <c r="J77" s="4649"/>
    </row>
    <row r="78" spans="1:17" ht="6" customHeight="1">
      <c r="A78" s="519"/>
    </row>
    <row r="79" spans="1:17">
      <c r="A79" s="519" t="s">
        <v>2610</v>
      </c>
    </row>
    <row r="80" spans="1:17" ht="66" customHeight="1">
      <c r="A80" s="4649" t="s">
        <v>2611</v>
      </c>
      <c r="B80" s="4649"/>
      <c r="C80" s="4649"/>
      <c r="D80" s="4649"/>
      <c r="E80" s="4649"/>
      <c r="F80" s="4649"/>
      <c r="G80" s="4649"/>
      <c r="H80" s="4649"/>
      <c r="I80" s="4649"/>
      <c r="J80" s="4649"/>
    </row>
    <row r="81" spans="1:15" s="1192" customFormat="1" ht="6" customHeight="1">
      <c r="A81" s="4649"/>
      <c r="B81" s="4649"/>
      <c r="C81" s="4649"/>
      <c r="D81" s="4649"/>
      <c r="E81" s="4649"/>
      <c r="F81" s="4649"/>
      <c r="G81" s="4649"/>
      <c r="H81" s="4649"/>
      <c r="I81" s="4649"/>
      <c r="J81" s="4649"/>
    </row>
    <row r="82" spans="1:15" ht="16.5" customHeight="1">
      <c r="A82" s="1193" t="s">
        <v>2612</v>
      </c>
      <c r="B82" s="518"/>
      <c r="C82" s="518"/>
      <c r="D82" s="1003"/>
      <c r="E82" s="518"/>
      <c r="F82" s="518"/>
      <c r="G82" s="518"/>
      <c r="H82" s="518"/>
      <c r="I82" s="518"/>
      <c r="J82" s="529"/>
    </row>
    <row r="83" spans="1:15" s="1192" customFormat="1" ht="63" customHeight="1">
      <c r="A83" s="4649" t="s">
        <v>3542</v>
      </c>
      <c r="B83" s="4649"/>
      <c r="C83" s="4649"/>
      <c r="D83" s="4649"/>
      <c r="E83" s="4649"/>
      <c r="F83" s="4649"/>
      <c r="G83" s="4649"/>
      <c r="H83" s="4649"/>
      <c r="I83" s="4649"/>
      <c r="J83" s="4649"/>
    </row>
    <row r="84" spans="1:15" s="1192" customFormat="1" ht="6" customHeight="1">
      <c r="A84" s="1190"/>
      <c r="B84" s="1190"/>
      <c r="C84" s="1190"/>
      <c r="D84" s="1190"/>
      <c r="E84" s="1190"/>
      <c r="F84" s="1190"/>
      <c r="G84" s="1190"/>
      <c r="H84" s="1190"/>
      <c r="I84" s="1190"/>
      <c r="J84" s="1190"/>
    </row>
    <row r="85" spans="1:15" ht="16.5" customHeight="1">
      <c r="A85" s="4659" t="s">
        <v>2613</v>
      </c>
      <c r="B85" s="4660"/>
      <c r="C85" s="4660"/>
      <c r="D85" s="518"/>
      <c r="E85" s="518"/>
      <c r="F85" s="518"/>
      <c r="G85" s="518"/>
      <c r="H85" s="518"/>
      <c r="I85" s="518"/>
      <c r="J85" s="529"/>
    </row>
    <row r="86" spans="1:15" ht="41.25" customHeight="1">
      <c r="A86" s="4649" t="s">
        <v>4954</v>
      </c>
      <c r="B86" s="4661"/>
      <c r="C86" s="4661"/>
      <c r="D86" s="4661"/>
      <c r="E86" s="4661"/>
      <c r="F86" s="4661"/>
      <c r="G86" s="4661"/>
      <c r="H86" s="4661"/>
      <c r="I86" s="4661"/>
      <c r="J86" s="4661"/>
    </row>
    <row r="87" spans="1:15" ht="6" customHeight="1">
      <c r="A87" s="530"/>
      <c r="B87" s="518"/>
      <c r="C87" s="518"/>
      <c r="D87" s="518"/>
      <c r="E87" s="518"/>
      <c r="F87" s="518"/>
      <c r="G87" s="518"/>
      <c r="H87" s="518"/>
      <c r="I87" s="518"/>
      <c r="J87" s="529"/>
    </row>
    <row r="88" spans="1:15">
      <c r="A88" s="519" t="s">
        <v>2614</v>
      </c>
    </row>
    <row r="89" spans="1:15" ht="124.15" customHeight="1">
      <c r="A89" s="4649" t="s">
        <v>2615</v>
      </c>
      <c r="B89" s="4649"/>
      <c r="C89" s="4649"/>
      <c r="D89" s="4649"/>
      <c r="E89" s="4649"/>
      <c r="F89" s="4649"/>
      <c r="G89" s="4649"/>
      <c r="H89" s="4649"/>
      <c r="I89" s="4649"/>
      <c r="J89" s="4649"/>
      <c r="L89" s="4654" t="s">
        <v>2616</v>
      </c>
      <c r="M89" s="4654"/>
      <c r="N89" s="4654"/>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49" t="s">
        <v>2618</v>
      </c>
      <c r="B92" s="4649"/>
      <c r="C92" s="4649"/>
      <c r="D92" s="4649"/>
      <c r="E92" s="4649"/>
      <c r="F92" s="4649"/>
      <c r="G92" s="4649"/>
      <c r="H92" s="4649"/>
      <c r="I92" s="4649"/>
      <c r="J92" s="4649"/>
      <c r="L92" s="4654" t="s">
        <v>2619</v>
      </c>
      <c r="M92" s="4654"/>
      <c r="N92" s="531" t="e">
        <f>'After-Tax Analysis'!G66</f>
        <v>#VALUE!</v>
      </c>
      <c r="O92" s="532" t="s">
        <v>2620</v>
      </c>
    </row>
    <row r="93" spans="1:15" ht="6" customHeight="1">
      <c r="A93" s="519"/>
    </row>
    <row r="94" spans="1:15">
      <c r="A94" s="519" t="s">
        <v>2621</v>
      </c>
    </row>
    <row r="95" spans="1:15" ht="118.5" customHeight="1">
      <c r="A95" s="4649" t="s">
        <v>2622</v>
      </c>
      <c r="B95" s="4649"/>
      <c r="C95" s="4649"/>
      <c r="D95" s="4649"/>
      <c r="E95" s="4649"/>
      <c r="F95" s="4649"/>
      <c r="G95" s="4649"/>
      <c r="H95" s="4649"/>
      <c r="I95" s="4649"/>
      <c r="J95" s="4649"/>
    </row>
    <row r="96" spans="1:15" ht="20.25" customHeight="1">
      <c r="A96" s="4651" t="s">
        <v>2623</v>
      </c>
      <c r="B96" s="4651"/>
      <c r="C96" s="4651"/>
      <c r="D96" s="4649"/>
      <c r="E96" s="1190"/>
      <c r="F96" s="1190"/>
      <c r="G96" s="1190"/>
      <c r="H96" s="1190"/>
      <c r="I96" s="1190"/>
      <c r="J96" s="1190"/>
    </row>
    <row r="97" spans="1:14" ht="109.5" customHeight="1">
      <c r="A97" s="4666" t="s">
        <v>2624</v>
      </c>
      <c r="B97" s="4667"/>
      <c r="C97" s="4667"/>
      <c r="D97" s="4667"/>
      <c r="E97" s="4667"/>
      <c r="F97" s="4667"/>
      <c r="G97" s="4667"/>
      <c r="H97" s="4667"/>
      <c r="I97" s="4667"/>
      <c r="J97" s="4667"/>
    </row>
    <row r="98" spans="1:14" ht="11.25" customHeight="1">
      <c r="A98" s="519"/>
    </row>
    <row r="99" spans="1:14">
      <c r="A99" s="519" t="s">
        <v>2625</v>
      </c>
    </row>
    <row r="100" spans="1:14" ht="110.65" customHeight="1">
      <c r="A100" s="4655" t="s">
        <v>2626</v>
      </c>
      <c r="B100" s="4655"/>
      <c r="C100" s="4655"/>
      <c r="D100" s="4655"/>
      <c r="E100" s="4655"/>
      <c r="F100" s="4655"/>
      <c r="G100" s="4655"/>
      <c r="H100" s="4655"/>
      <c r="I100" s="4655"/>
      <c r="J100" s="4655"/>
      <c r="L100" s="959" t="str">
        <f>'Part VI-Pro Forma'!K72</f>
        <v/>
      </c>
      <c r="M100" s="4658" t="s">
        <v>2627</v>
      </c>
      <c r="N100" s="4658"/>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51" t="s">
        <v>2628</v>
      </c>
      <c r="B104" s="4651"/>
      <c r="C104" s="4651"/>
      <c r="D104" s="1190"/>
      <c r="E104" s="1190"/>
      <c r="F104" s="1190"/>
      <c r="G104" s="1190"/>
      <c r="H104" s="1190"/>
      <c r="I104" s="1190"/>
      <c r="J104" s="529"/>
    </row>
    <row r="105" spans="1:14" ht="37.5" customHeight="1">
      <c r="A105" s="4649" t="s">
        <v>2629</v>
      </c>
      <c r="B105" s="4649"/>
      <c r="C105" s="4649"/>
      <c r="D105" s="4649"/>
      <c r="E105" s="4649"/>
      <c r="F105" s="4649"/>
      <c r="G105" s="4649"/>
      <c r="H105" s="4649"/>
      <c r="I105" s="4649"/>
      <c r="J105" s="4649"/>
    </row>
    <row r="106" spans="1:14" ht="6" customHeight="1">
      <c r="A106" s="519"/>
    </row>
    <row r="107" spans="1:14">
      <c r="A107" s="519" t="s">
        <v>2630</v>
      </c>
    </row>
    <row r="108" spans="1:14" ht="43.5" customHeight="1">
      <c r="A108" s="4649" t="s">
        <v>2631</v>
      </c>
      <c r="B108" s="4649"/>
      <c r="C108" s="4649"/>
      <c r="D108" s="4649"/>
      <c r="E108" s="4649"/>
      <c r="F108" s="4649"/>
      <c r="G108" s="4649"/>
      <c r="H108" s="4649"/>
      <c r="I108" s="4649"/>
      <c r="J108" s="4649"/>
    </row>
    <row r="109" spans="1:14" ht="6" customHeight="1">
      <c r="A109" s="1190"/>
      <c r="B109" s="1190"/>
      <c r="C109" s="1190"/>
      <c r="D109" s="1190"/>
      <c r="E109" s="1190"/>
      <c r="F109" s="1190"/>
      <c r="G109" s="1190"/>
      <c r="H109" s="1190"/>
      <c r="I109" s="1190"/>
      <c r="J109" s="1190"/>
    </row>
    <row r="110" spans="1:14">
      <c r="A110" s="519" t="s">
        <v>2632</v>
      </c>
    </row>
    <row r="112" spans="1:14" ht="18.5" thickBot="1">
      <c r="A112" s="513" t="s">
        <v>2633</v>
      </c>
      <c r="G112" s="1405"/>
      <c r="H112" s="513" t="s">
        <v>2634</v>
      </c>
    </row>
    <row r="115" spans="1:10" ht="13.9" customHeight="1" thickBot="1">
      <c r="G115" s="1405"/>
      <c r="H115" s="513" t="s">
        <v>2635</v>
      </c>
    </row>
    <row r="116" spans="1:10">
      <c r="A116" s="513" t="s">
        <v>2636</v>
      </c>
    </row>
    <row r="119" spans="1:10" ht="14.5" thickBot="1">
      <c r="A119" s="533"/>
      <c r="B119" s="533"/>
      <c r="C119" s="533"/>
      <c r="D119" s="533"/>
      <c r="F119" s="533"/>
      <c r="G119" s="533"/>
      <c r="H119" s="533"/>
      <c r="I119" s="533"/>
      <c r="J119" s="533"/>
    </row>
    <row r="120" spans="1:10">
      <c r="A120" s="4664" t="s">
        <v>3970</v>
      </c>
      <c r="B120" s="4664"/>
      <c r="C120" s="4664"/>
      <c r="D120" s="4664"/>
      <c r="E120" s="4665"/>
      <c r="F120" s="1403" t="s">
        <v>3971</v>
      </c>
      <c r="G120" s="1403"/>
      <c r="H120" s="1403"/>
      <c r="I120" s="1403"/>
      <c r="J120" s="1403"/>
    </row>
    <row r="122" spans="1:10" ht="14.5"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53" t="s">
        <v>2638</v>
      </c>
      <c r="B1" s="540"/>
      <c r="C1" s="540"/>
      <c r="D1" s="540"/>
      <c r="E1" s="540"/>
      <c r="F1" s="540"/>
      <c r="G1" s="540"/>
      <c r="H1" s="540"/>
      <c r="I1" s="540"/>
      <c r="J1" s="540"/>
      <c r="K1" s="540"/>
      <c r="L1" s="507"/>
      <c r="M1" s="507"/>
    </row>
    <row r="2" spans="1:14" s="10" customFormat="1" ht="18">
      <c r="A2" s="953" t="str">
        <f>+"Financial Analysis for:  "&amp;E8&amp;"  "&amp;C8</f>
        <v>Financial Analysis for:  2024-5  0</v>
      </c>
      <c r="B2" s="540"/>
      <c r="C2" s="540"/>
      <c r="D2" s="540"/>
      <c r="E2" s="540"/>
      <c r="F2" s="540"/>
      <c r="G2" s="540"/>
      <c r="H2" s="540"/>
      <c r="I2" s="540"/>
      <c r="J2" s="540"/>
      <c r="K2" s="540"/>
      <c r="L2" s="507"/>
      <c r="M2" s="507"/>
    </row>
    <row r="5" spans="1:14" ht="15.5">
      <c r="A5" s="535"/>
      <c r="B5" s="536"/>
      <c r="C5" s="537"/>
      <c r="D5" s="536"/>
      <c r="E5" s="536"/>
      <c r="F5" s="535"/>
      <c r="G5" s="536"/>
      <c r="H5" s="537"/>
      <c r="I5" s="536"/>
      <c r="J5" s="536"/>
      <c r="K5" s="536"/>
      <c r="L5" s="536"/>
      <c r="M5" s="504"/>
    </row>
    <row r="7" spans="1:14" ht="15.5">
      <c r="A7" s="565" t="s">
        <v>2639</v>
      </c>
      <c r="B7" s="556"/>
      <c r="C7" s="1886"/>
      <c r="D7" s="556"/>
      <c r="E7" s="556"/>
      <c r="F7" s="565" t="s">
        <v>2892</v>
      </c>
      <c r="G7" s="556"/>
      <c r="H7" s="467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
      </c>
      <c r="I7" s="4670"/>
      <c r="J7" s="4670"/>
      <c r="K7" s="4670"/>
      <c r="L7" s="556"/>
      <c r="M7" s="504"/>
    </row>
    <row r="8" spans="1:14" ht="15.5">
      <c r="A8" s="565" t="s">
        <v>2640</v>
      </c>
      <c r="B8" s="565"/>
      <c r="C8" s="4670">
        <f>'Part I-Project Identification'!$F$26</f>
        <v>0</v>
      </c>
      <c r="D8" s="4670"/>
      <c r="E8" s="1887" t="str">
        <f>'Part I-Project Identification'!$O$7</f>
        <v>2024-5</v>
      </c>
      <c r="F8" s="565" t="s">
        <v>2641</v>
      </c>
      <c r="G8" s="556"/>
      <c r="H8" s="4670" t="str">
        <f>CONCATENATE('Part I-Project Identification'!$F$27,", ",'Part I-Project Identification'!$J$27)</f>
        <v>&lt;&lt; Select from list &gt;&gt;, Select City first</v>
      </c>
      <c r="I8" s="4670"/>
      <c r="J8" s="4670"/>
      <c r="K8" s="4670"/>
      <c r="L8" s="556"/>
      <c r="M8" s="538"/>
    </row>
    <row r="9" spans="1:14" ht="15.5">
      <c r="A9" s="565" t="s">
        <v>2643</v>
      </c>
      <c r="B9" s="565"/>
      <c r="C9" s="4670" t="s">
        <v>1641</v>
      </c>
      <c r="D9" s="4670"/>
      <c r="E9" s="556"/>
      <c r="F9" s="565" t="s">
        <v>2644</v>
      </c>
      <c r="G9" s="556"/>
      <c r="H9" s="4671"/>
      <c r="I9" s="4671"/>
      <c r="J9" s="4671"/>
      <c r="K9" s="4671"/>
      <c r="L9" s="4671"/>
      <c r="M9" s="538"/>
    </row>
    <row r="10" spans="1:14" ht="15.5">
      <c r="A10" s="565" t="s">
        <v>2646</v>
      </c>
      <c r="B10" s="556"/>
      <c r="C10" s="4672"/>
      <c r="D10" s="4672"/>
      <c r="E10" s="556"/>
      <c r="F10" s="565" t="s">
        <v>3048</v>
      </c>
      <c r="G10" s="556"/>
      <c r="H10" s="4669"/>
      <c r="I10" s="4669"/>
      <c r="J10" s="4669"/>
      <c r="K10" s="4669"/>
      <c r="L10" s="4669"/>
    </row>
    <row r="11" spans="1:14" ht="15.5">
      <c r="A11" s="565" t="s">
        <v>2647</v>
      </c>
      <c r="B11" s="556"/>
      <c r="C11" s="4673"/>
      <c r="D11" s="4673"/>
      <c r="E11" s="1901"/>
      <c r="F11" s="565" t="s">
        <v>605</v>
      </c>
      <c r="G11" s="556"/>
      <c r="H11" s="4669"/>
      <c r="I11" s="4669"/>
      <c r="J11" s="4669"/>
      <c r="K11" s="4669"/>
      <c r="L11" s="4669"/>
      <c r="M11" s="4674"/>
      <c r="N11" s="4675"/>
    </row>
    <row r="12" spans="1:14" ht="15.5">
      <c r="A12" s="565" t="s">
        <v>2648</v>
      </c>
      <c r="B12" s="556"/>
      <c r="C12" s="4673"/>
      <c r="D12" s="4673"/>
      <c r="E12" s="556"/>
      <c r="F12" s="565" t="s">
        <v>2649</v>
      </c>
      <c r="G12" s="556"/>
      <c r="H12" s="4673"/>
      <c r="I12" s="4673"/>
      <c r="J12" s="4673"/>
      <c r="K12" s="4673"/>
      <c r="L12" s="4673"/>
      <c r="M12" s="504"/>
    </row>
    <row r="13" spans="1:14" ht="15.5">
      <c r="A13" s="565" t="s">
        <v>2650</v>
      </c>
      <c r="B13" s="565"/>
      <c r="C13" s="1888">
        <f>'Part V-Revenues &amp; Expenses'!$P$67</f>
        <v>0</v>
      </c>
      <c r="D13" s="26"/>
      <c r="E13" s="1889">
        <f>'Part V-Revenues &amp; Expenses'!$P$63</f>
        <v>0</v>
      </c>
      <c r="F13" s="565" t="s">
        <v>3365</v>
      </c>
      <c r="G13" s="556"/>
      <c r="H13" s="1899"/>
      <c r="I13" s="1891"/>
      <c r="J13" s="1891"/>
      <c r="K13" s="1890">
        <f>'Part V-Revenues &amp; Expenses'!$K$179</f>
        <v>0</v>
      </c>
      <c r="L13" s="556"/>
      <c r="M13" s="504"/>
    </row>
    <row r="14" spans="1:14" ht="15.5">
      <c r="A14" s="565" t="s">
        <v>2884</v>
      </c>
      <c r="B14" s="556"/>
      <c r="C14" s="1890" t="str">
        <f>'Part VII-Threshold Criteria OLD'!J35</f>
        <v>&lt;&lt; Select PROPOSED Tenancy &gt;&gt;</v>
      </c>
      <c r="D14" s="4670" t="str">
        <f>IF('Part VII-Threshold Criteria OLD'!$N$35=0,"",'Part VII-Threshold Criteria OLD'!$N$35)</f>
        <v/>
      </c>
      <c r="E14" s="4670"/>
      <c r="F14" s="565" t="s">
        <v>2651</v>
      </c>
      <c r="G14" s="556"/>
      <c r="H14" s="4676" t="s">
        <v>3016</v>
      </c>
      <c r="I14" s="4676"/>
      <c r="J14" s="4676"/>
      <c r="K14" s="4676" t="s">
        <v>3016</v>
      </c>
      <c r="L14" s="4676"/>
      <c r="M14" s="504"/>
    </row>
    <row r="15" spans="1:14" ht="15.5">
      <c r="A15" s="565" t="s">
        <v>2652</v>
      </c>
      <c r="B15" s="556"/>
      <c r="C15" s="1892" t="s">
        <v>1641</v>
      </c>
      <c r="D15" s="556"/>
      <c r="E15" s="556"/>
      <c r="F15" s="565" t="s">
        <v>2885</v>
      </c>
      <c r="G15" s="556"/>
      <c r="H15" s="1887" t="str">
        <f>'Part I-Project Identification'!K29</f>
        <v>Urban</v>
      </c>
      <c r="I15" s="556"/>
      <c r="J15" s="556"/>
      <c r="K15" s="556"/>
      <c r="L15" s="556"/>
      <c r="M15" s="504"/>
    </row>
    <row r="16" spans="1:14" ht="15.5">
      <c r="A16" s="565" t="s">
        <v>3043</v>
      </c>
      <c r="B16" s="556"/>
      <c r="C16" s="1887">
        <f>'Part VIII Scoring Criteria OLD'!$P$42</f>
        <v>0</v>
      </c>
      <c r="D16" s="1893" t="s">
        <v>2437</v>
      </c>
      <c r="E16" s="1887">
        <f>'Part VIII Scoring Criteria OLD'!$P$48</f>
        <v>0</v>
      </c>
      <c r="F16" s="565"/>
      <c r="G16" s="556"/>
      <c r="H16" s="556"/>
      <c r="I16" s="556"/>
      <c r="J16" s="556"/>
      <c r="K16" s="556"/>
      <c r="L16" s="556"/>
      <c r="M16" s="504"/>
    </row>
    <row r="17" spans="1:13" ht="15.5">
      <c r="A17" s="556"/>
      <c r="B17" s="556"/>
      <c r="C17" s="556"/>
      <c r="D17" s="556"/>
      <c r="E17" s="556"/>
      <c r="F17" s="556"/>
      <c r="G17" s="556"/>
      <c r="H17" s="556"/>
      <c r="I17" s="556"/>
      <c r="J17" s="556"/>
      <c r="K17" s="556"/>
      <c r="L17" s="556"/>
      <c r="M17" s="504"/>
    </row>
    <row r="18" spans="1:13" ht="15.5">
      <c r="A18" s="565" t="s">
        <v>2887</v>
      </c>
      <c r="B18" s="556"/>
      <c r="C18" s="1894">
        <f>'Part III-A-Uses of Funds'!$G$146</f>
        <v>0</v>
      </c>
      <c r="D18" s="1895" t="str">
        <f>IF(C18=0,"",$C$29/C18)</f>
        <v/>
      </c>
      <c r="E18" s="556" t="s">
        <v>2888</v>
      </c>
      <c r="F18" s="565" t="s">
        <v>4644</v>
      </c>
      <c r="G18" s="556"/>
      <c r="H18" s="4677">
        <f>'Part III-A-Uses of Funds'!$C$49</f>
        <v>0</v>
      </c>
      <c r="I18" s="4677"/>
      <c r="J18" s="1896" t="str">
        <f>IF(H18=0,"",$C$29/H18)</f>
        <v/>
      </c>
      <c r="K18" s="4670" t="s">
        <v>2889</v>
      </c>
      <c r="L18" s="4670"/>
      <c r="M18" s="504"/>
    </row>
    <row r="19" spans="1:13" ht="15.5">
      <c r="A19" s="565" t="s">
        <v>2653</v>
      </c>
      <c r="B19" s="556"/>
      <c r="C19" s="1897" t="e">
        <f>C18/C13</f>
        <v>#DIV/0!</v>
      </c>
      <c r="D19" s="556"/>
      <c r="E19" s="556"/>
      <c r="F19" s="565" t="s">
        <v>2653</v>
      </c>
      <c r="G19" s="556"/>
      <c r="H19" s="4678" t="e">
        <f>H18/C13</f>
        <v>#DIV/0!</v>
      </c>
      <c r="I19" s="4678"/>
      <c r="J19" s="556"/>
      <c r="K19" s="556"/>
      <c r="L19" s="556"/>
      <c r="M19" s="504"/>
    </row>
    <row r="20" spans="1:13" ht="15.5">
      <c r="A20" s="565" t="s">
        <v>2654</v>
      </c>
      <c r="B20" s="556"/>
      <c r="C20" s="1887" t="e">
        <f>C18/K13</f>
        <v>#DIV/0!</v>
      </c>
      <c r="D20" s="1898"/>
      <c r="E20" s="1898"/>
      <c r="F20" s="565" t="s">
        <v>2654</v>
      </c>
      <c r="G20" s="556"/>
      <c r="H20" s="4670" t="e">
        <f>H18/K13</f>
        <v>#DIV/0!</v>
      </c>
      <c r="I20" s="4678"/>
      <c r="J20" s="556"/>
      <c r="K20" s="556"/>
      <c r="L20" s="556"/>
      <c r="M20" s="504"/>
    </row>
    <row r="21" spans="1:13" ht="15.5">
      <c r="A21" s="507"/>
      <c r="B21" s="504"/>
      <c r="C21" s="539"/>
      <c r="D21" s="504"/>
      <c r="E21" s="504"/>
      <c r="F21" s="507"/>
      <c r="G21" s="504"/>
      <c r="H21" s="539"/>
      <c r="I21" s="504"/>
      <c r="J21" s="504"/>
      <c r="K21" s="504"/>
      <c r="L21" s="504"/>
      <c r="M21" s="504"/>
    </row>
    <row r="22" spans="1:13" ht="15.5">
      <c r="A22" s="536"/>
      <c r="B22" s="536"/>
      <c r="C22" s="536"/>
      <c r="D22" s="536"/>
      <c r="E22" s="536"/>
      <c r="F22" s="536"/>
      <c r="G22" s="536"/>
      <c r="H22" s="536"/>
      <c r="I22" s="536"/>
      <c r="J22" s="536"/>
      <c r="K22" s="536"/>
      <c r="L22" s="536"/>
      <c r="M22" s="538"/>
    </row>
    <row r="23" spans="1:13" ht="15.5">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5">
      <c r="A25" s="507" t="s">
        <v>2657</v>
      </c>
      <c r="B25" s="542">
        <f>'Part II-Sources of Funds'!E40</f>
        <v>0</v>
      </c>
      <c r="C25" s="543">
        <f>'Part II-Sources of Funds'!I40</f>
        <v>0</v>
      </c>
      <c r="D25" s="544" t="s">
        <v>2658</v>
      </c>
      <c r="E25" s="504"/>
      <c r="F25" s="504"/>
      <c r="G25" s="504" t="s">
        <v>2659</v>
      </c>
      <c r="H25" s="504"/>
      <c r="I25" s="504"/>
      <c r="K25" s="543"/>
      <c r="L25" s="504"/>
      <c r="M25" s="538"/>
    </row>
    <row r="26" spans="1:13" ht="15.5">
      <c r="A26" s="504"/>
      <c r="B26" s="542"/>
      <c r="C26" s="543"/>
      <c r="D26" s="544"/>
      <c r="E26" s="504"/>
      <c r="F26" s="504"/>
      <c r="G26" s="504" t="s">
        <v>2660</v>
      </c>
      <c r="H26" s="504"/>
      <c r="I26" s="504"/>
      <c r="K26" s="545" t="e">
        <f>C29/K25</f>
        <v>#DIV/0!</v>
      </c>
      <c r="L26" s="504"/>
      <c r="M26" s="504"/>
    </row>
    <row r="27" spans="1:13" ht="15.5">
      <c r="A27" s="504"/>
      <c r="B27" s="542"/>
      <c r="C27" s="543"/>
      <c r="D27" s="544"/>
      <c r="E27" s="504"/>
      <c r="F27" s="504"/>
      <c r="G27" s="504"/>
      <c r="H27" s="504"/>
      <c r="I27" s="504"/>
      <c r="K27" s="504"/>
      <c r="L27" s="504"/>
      <c r="M27" s="504"/>
    </row>
    <row r="28" spans="1:13" ht="15.5">
      <c r="A28" s="504"/>
      <c r="B28" s="504"/>
      <c r="C28" s="504"/>
      <c r="D28" s="504"/>
      <c r="E28" s="504"/>
      <c r="F28" s="504"/>
      <c r="G28" s="504" t="s">
        <v>2661</v>
      </c>
      <c r="H28" s="504"/>
      <c r="I28" s="504"/>
      <c r="K28" s="543"/>
      <c r="L28" s="504"/>
      <c r="M28" s="504"/>
    </row>
    <row r="29" spans="1:13" ht="16" thickBot="1">
      <c r="A29" s="504"/>
      <c r="B29" s="546" t="s">
        <v>2662</v>
      </c>
      <c r="C29" s="1885">
        <f>SUM(C25:C27)</f>
        <v>0</v>
      </c>
      <c r="D29" s="504"/>
      <c r="E29" s="504"/>
      <c r="F29" s="504"/>
      <c r="G29" s="504" t="s">
        <v>2663</v>
      </c>
      <c r="H29" s="504"/>
      <c r="I29" s="504"/>
      <c r="K29" s="545" t="e">
        <f>C29/K28</f>
        <v>#DIV/0!</v>
      </c>
      <c r="L29" s="504"/>
      <c r="M29" s="504"/>
    </row>
    <row r="30" spans="1:13" ht="16" thickTop="1">
      <c r="A30" s="507" t="s">
        <v>2664</v>
      </c>
      <c r="B30" s="546"/>
      <c r="C30" s="547">
        <f>'Part II-Sources of Funds'!$I$51+'Part II-Sources of Funds'!$I$52</f>
        <v>0</v>
      </c>
      <c r="D30" s="504"/>
      <c r="E30" s="504"/>
      <c r="F30" s="504"/>
      <c r="G30" s="504"/>
      <c r="H30" s="504"/>
      <c r="I30" s="504"/>
      <c r="K30" s="548"/>
      <c r="L30" s="504"/>
      <c r="M30" s="504"/>
    </row>
    <row r="31" spans="1:13" ht="15.5">
      <c r="A31" s="549" t="s">
        <v>2665</v>
      </c>
      <c r="B31" s="542">
        <f>'Part II-Sources of Funds'!E41</f>
        <v>0</v>
      </c>
      <c r="C31" s="543">
        <f>'Part II-Sources of Funds'!I41</f>
        <v>0</v>
      </c>
      <c r="D31" s="544"/>
      <c r="E31" s="504"/>
      <c r="F31" s="504"/>
      <c r="G31" s="504"/>
      <c r="H31" s="504"/>
      <c r="I31" s="504"/>
      <c r="K31" s="504"/>
      <c r="L31" s="504"/>
      <c r="M31" s="504"/>
    </row>
    <row r="32" spans="1:13" ht="15.5">
      <c r="A32" s="549" t="s">
        <v>2665</v>
      </c>
      <c r="B32" s="542">
        <f>'Part II-Sources of Funds'!E42</f>
        <v>0</v>
      </c>
      <c r="C32" s="543">
        <f>'Part II-Sources of Funds'!I42</f>
        <v>0</v>
      </c>
      <c r="D32" s="544"/>
      <c r="E32" s="504" t="s">
        <v>233</v>
      </c>
      <c r="F32" s="504"/>
      <c r="G32" s="504" t="s">
        <v>2666</v>
      </c>
      <c r="H32" s="504"/>
      <c r="I32" s="504"/>
      <c r="K32" s="543"/>
      <c r="L32" s="504"/>
      <c r="M32" s="504"/>
    </row>
    <row r="33" spans="1:13" ht="15.5">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5">
      <c r="A34" s="504"/>
      <c r="B34" s="546" t="s">
        <v>2668</v>
      </c>
      <c r="C34" s="547">
        <f>SUM(C31:C33)</f>
        <v>0</v>
      </c>
      <c r="D34" s="504"/>
      <c r="E34" s="504"/>
      <c r="F34" s="504"/>
      <c r="G34" s="504"/>
      <c r="H34" s="504"/>
      <c r="I34" s="504"/>
      <c r="K34" s="504"/>
      <c r="L34" s="504"/>
      <c r="M34" s="550"/>
    </row>
    <row r="35" spans="1:13" ht="15.5">
      <c r="A35" s="504"/>
      <c r="B35" s="546"/>
      <c r="C35" s="504"/>
      <c r="D35" s="504"/>
      <c r="E35" s="504"/>
      <c r="F35" s="504"/>
      <c r="G35" s="957" t="s">
        <v>2669</v>
      </c>
      <c r="H35" s="957"/>
      <c r="I35" s="957"/>
      <c r="K35" s="551" t="e">
        <f>(C36)/K25</f>
        <v>#DIV/0!</v>
      </c>
      <c r="L35" s="504"/>
      <c r="M35" s="504"/>
    </row>
    <row r="36" spans="1:13" ht="15.5">
      <c r="A36" s="504"/>
      <c r="B36" s="546" t="s">
        <v>2670</v>
      </c>
      <c r="C36" s="547">
        <f>C29+C34</f>
        <v>0</v>
      </c>
      <c r="D36" s="504"/>
      <c r="E36" s="504"/>
      <c r="F36" s="504"/>
      <c r="G36" s="504"/>
      <c r="H36" s="504"/>
      <c r="I36" s="504"/>
      <c r="K36" s="504"/>
      <c r="L36" s="504"/>
      <c r="M36" s="504"/>
    </row>
    <row r="37" spans="1:13" ht="15.5">
      <c r="A37" s="504"/>
      <c r="B37" s="546"/>
      <c r="C37" s="548"/>
      <c r="D37" s="504"/>
      <c r="E37" s="504"/>
      <c r="F37" s="504"/>
      <c r="G37" s="957" t="s">
        <v>2671</v>
      </c>
      <c r="H37" s="957"/>
      <c r="I37" s="957"/>
      <c r="K37" s="958" t="e">
        <f>+(C36)/K32</f>
        <v>#DIV/0!</v>
      </c>
      <c r="L37" s="504"/>
      <c r="M37" s="550"/>
    </row>
    <row r="38" spans="1:13" ht="15.5">
      <c r="A38" s="504"/>
      <c r="B38" s="546" t="s">
        <v>2672</v>
      </c>
      <c r="C38" s="552" t="e">
        <f>C36/C18</f>
        <v>#DIV/0!</v>
      </c>
      <c r="D38" s="504"/>
      <c r="E38" s="504"/>
      <c r="F38" s="504"/>
      <c r="G38" s="504"/>
      <c r="H38" s="504"/>
      <c r="I38" s="504"/>
      <c r="K38" s="504"/>
      <c r="L38" s="504"/>
      <c r="M38" s="550"/>
    </row>
    <row r="39" spans="1:13" ht="15.5">
      <c r="A39" s="504"/>
      <c r="B39" s="546"/>
      <c r="C39" s="548"/>
      <c r="D39" s="504"/>
      <c r="E39" s="504"/>
      <c r="F39" s="504"/>
      <c r="G39" s="504"/>
      <c r="H39" s="504"/>
      <c r="I39" s="504"/>
      <c r="K39" s="504"/>
      <c r="L39" s="504"/>
      <c r="M39" s="504"/>
    </row>
    <row r="40" spans="1:13" ht="15.5">
      <c r="A40" s="504"/>
      <c r="B40" s="546" t="s">
        <v>2673</v>
      </c>
      <c r="C40" s="552" t="e">
        <f>C36/H18</f>
        <v>#DIV/0!</v>
      </c>
      <c r="D40" s="504"/>
      <c r="E40" s="504"/>
      <c r="F40" s="507"/>
      <c r="G40" s="507" t="s">
        <v>2674</v>
      </c>
      <c r="H40" s="504"/>
      <c r="I40" s="504"/>
      <c r="K40" s="545" t="e">
        <f>C30/C18</f>
        <v>#DIV/0!</v>
      </c>
      <c r="L40" s="504"/>
      <c r="M40" s="504"/>
    </row>
    <row r="46" spans="1:13" ht="15.5">
      <c r="A46" s="540" t="s">
        <v>2675</v>
      </c>
      <c r="B46" s="534"/>
      <c r="C46" s="534"/>
      <c r="D46" s="534"/>
      <c r="E46" s="534"/>
      <c r="F46" s="534"/>
      <c r="G46" s="534"/>
      <c r="H46" s="534"/>
      <c r="I46" s="534"/>
      <c r="J46" s="534"/>
      <c r="K46" s="534"/>
      <c r="L46" s="534"/>
      <c r="M46" s="504"/>
    </row>
    <row r="47" spans="1:13" ht="15.5">
      <c r="A47" s="540">
        <f>C8</f>
        <v>0</v>
      </c>
      <c r="B47" s="534"/>
      <c r="C47" s="534"/>
      <c r="D47" s="534"/>
      <c r="E47" s="534"/>
      <c r="F47" s="534"/>
      <c r="G47" s="534"/>
      <c r="H47" s="534"/>
      <c r="I47" s="534"/>
      <c r="J47" s="534"/>
      <c r="K47" s="534"/>
      <c r="L47" s="534"/>
      <c r="M47" s="504"/>
    </row>
    <row r="50" spans="1:14" s="504" customFormat="1" ht="15.5">
      <c r="A50" s="507" t="s">
        <v>2676</v>
      </c>
      <c r="C50" s="550" t="s">
        <v>2677</v>
      </c>
      <c r="E50" s="553" t="s">
        <v>3017</v>
      </c>
      <c r="F50" s="554">
        <v>0.1</v>
      </c>
      <c r="G50" s="553" t="s">
        <v>3018</v>
      </c>
      <c r="H50" s="554">
        <v>0.05</v>
      </c>
      <c r="I50" s="553" t="s">
        <v>3019</v>
      </c>
      <c r="J50" s="554">
        <v>0.03</v>
      </c>
      <c r="K50" s="4679" t="s">
        <v>2678</v>
      </c>
      <c r="L50" s="4680"/>
      <c r="M50"/>
      <c r="N50"/>
    </row>
    <row r="51" spans="1:14" s="504" customFormat="1" ht="15.5">
      <c r="A51" s="507"/>
      <c r="C51" s="550"/>
      <c r="E51" s="550"/>
      <c r="F51" s="555"/>
      <c r="G51" s="550"/>
      <c r="H51" s="555"/>
      <c r="I51" s="550"/>
      <c r="J51" s="555"/>
      <c r="K51" s="550"/>
      <c r="M51"/>
      <c r="N51"/>
    </row>
    <row r="52" spans="1:14" s="504" customFormat="1" ht="18.75" customHeight="1">
      <c r="B52" s="556" t="s">
        <v>2679</v>
      </c>
      <c r="C52" s="557">
        <f>'Part VI-Pro Forma'!B15</f>
        <v>0</v>
      </c>
      <c r="D52" s="557"/>
      <c r="E52" s="557">
        <f>$C$52</f>
        <v>0</v>
      </c>
      <c r="F52" s="557"/>
      <c r="G52" s="557">
        <f>$C$52</f>
        <v>0</v>
      </c>
      <c r="H52" s="557"/>
      <c r="I52" s="557">
        <f>$C$52</f>
        <v>0</v>
      </c>
      <c r="J52" s="557"/>
      <c r="K52" s="557">
        <f>$C$52</f>
        <v>0</v>
      </c>
      <c r="L52" s="558"/>
      <c r="M52"/>
      <c r="N52"/>
    </row>
    <row r="53" spans="1:14" s="504" customFormat="1" ht="18.75" customHeight="1">
      <c r="B53" s="556" t="s">
        <v>2682</v>
      </c>
      <c r="C53" s="557">
        <f>'Part VI-Pro Forma'!B16</f>
        <v>0</v>
      </c>
      <c r="D53" s="557"/>
      <c r="E53" s="557">
        <f>$C$53</f>
        <v>0</v>
      </c>
      <c r="F53" s="557"/>
      <c r="G53" s="557">
        <f>$C$53</f>
        <v>0</v>
      </c>
      <c r="H53" s="557"/>
      <c r="I53" s="557">
        <f>$C$53</f>
        <v>0</v>
      </c>
      <c r="J53" s="557"/>
      <c r="K53" s="557">
        <f>$C$53</f>
        <v>0</v>
      </c>
      <c r="L53" s="558"/>
      <c r="M53"/>
      <c r="N53"/>
    </row>
    <row r="54" spans="1:14" s="504" customFormat="1" ht="18.75" customHeight="1">
      <c r="B54" s="556" t="s">
        <v>2680</v>
      </c>
      <c r="C54" s="557">
        <f>'Part VI-Pro Forma'!B17</f>
        <v>0</v>
      </c>
      <c r="D54" s="557"/>
      <c r="E54" s="557">
        <f>-($C$52+E53)*F50</f>
        <v>0</v>
      </c>
      <c r="F54" s="559"/>
      <c r="G54" s="557">
        <f>-($C$52+G53)*0.07</f>
        <v>0</v>
      </c>
      <c r="H54" s="557"/>
      <c r="I54" s="557">
        <f>-($C$52+I53)*0.07</f>
        <v>0</v>
      </c>
      <c r="J54" s="557"/>
      <c r="K54" s="557">
        <f>-($C$52+K53)*L54</f>
        <v>0</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0</v>
      </c>
      <c r="D56" s="557"/>
      <c r="E56" s="563">
        <f>SUM(E52:E55)</f>
        <v>0</v>
      </c>
      <c r="F56" s="557"/>
      <c r="G56" s="563">
        <f>SUM(G52:G55)</f>
        <v>0</v>
      </c>
      <c r="H56" s="557"/>
      <c r="I56" s="563">
        <f>SUM(I52:I55)</f>
        <v>0</v>
      </c>
      <c r="J56" s="557"/>
      <c r="K56" s="563">
        <f>SUM(K52:K55)</f>
        <v>0</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0</v>
      </c>
      <c r="D58" s="557"/>
      <c r="E58" s="557">
        <f>$C$58</f>
        <v>0</v>
      </c>
      <c r="F58" s="557"/>
      <c r="G58" s="557">
        <f>$C$58</f>
        <v>0</v>
      </c>
      <c r="H58" s="557"/>
      <c r="I58" s="557">
        <f>$C$58</f>
        <v>0</v>
      </c>
      <c r="J58" s="557"/>
      <c r="K58" s="557">
        <f>$C$58</f>
        <v>0</v>
      </c>
      <c r="L58" s="558"/>
      <c r="M58"/>
      <c r="N58"/>
    </row>
    <row r="59" spans="1:14" s="504" customFormat="1" ht="18.75" customHeight="1">
      <c r="B59" s="556" t="s">
        <v>2685</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0</v>
      </c>
      <c r="D60" s="557"/>
      <c r="E60" s="557">
        <f>$C$60</f>
        <v>0</v>
      </c>
      <c r="F60" s="557"/>
      <c r="G60" s="557">
        <f>$C$60</f>
        <v>0</v>
      </c>
      <c r="H60" s="557"/>
      <c r="I60" s="557">
        <f>$C$60*(1+$J$50)</f>
        <v>0</v>
      </c>
      <c r="J60" s="559"/>
      <c r="K60" s="557">
        <f>$C$60*(1+$J$50)</f>
        <v>0</v>
      </c>
      <c r="L60" s="560">
        <v>0.03</v>
      </c>
      <c r="M60"/>
      <c r="N60"/>
    </row>
    <row r="61" spans="1:14" s="504" customFormat="1" ht="18.75" customHeight="1">
      <c r="B61" s="556" t="s">
        <v>1296</v>
      </c>
      <c r="C61" s="557">
        <f>+'Part V-Revenues &amp; Expenses'!L248</f>
        <v>0</v>
      </c>
      <c r="D61" s="557"/>
      <c r="E61" s="557">
        <f>$C$61</f>
        <v>0</v>
      </c>
      <c r="F61" s="557"/>
      <c r="G61" s="557">
        <f>$C$61*(1+H50)</f>
        <v>0</v>
      </c>
      <c r="H61" s="559"/>
      <c r="I61" s="557">
        <f>$C$61</f>
        <v>0</v>
      </c>
      <c r="J61" s="557"/>
      <c r="K61" s="557">
        <f>$C$61*(1+$L$61)</f>
        <v>0</v>
      </c>
      <c r="L61" s="560">
        <v>0.05</v>
      </c>
      <c r="M61"/>
      <c r="N61"/>
    </row>
    <row r="62" spans="1:14" s="504" customFormat="1" ht="18.75" customHeight="1">
      <c r="B62" s="562" t="s">
        <v>2686</v>
      </c>
      <c r="C62" s="563">
        <f>SUM(C58:C61)</f>
        <v>0</v>
      </c>
      <c r="D62" s="557"/>
      <c r="E62" s="563">
        <f>SUM(E58:E61)</f>
        <v>0</v>
      </c>
      <c r="F62" s="557"/>
      <c r="G62" s="563">
        <f>SUM(G58:G61)</f>
        <v>0</v>
      </c>
      <c r="H62" s="557"/>
      <c r="I62" s="563">
        <f>SUM(I58:I61)</f>
        <v>0</v>
      </c>
      <c r="J62" s="557"/>
      <c r="K62" s="563">
        <f>SUM(K58:K61)</f>
        <v>0</v>
      </c>
      <c r="L62" s="556"/>
      <c r="M62"/>
      <c r="N62"/>
    </row>
    <row r="63" spans="1:14" s="504" customFormat="1" ht="24" customHeight="1">
      <c r="B63" s="556"/>
      <c r="C63" s="557"/>
      <c r="D63" s="557"/>
      <c r="E63" s="557"/>
      <c r="F63" s="557"/>
      <c r="G63" s="557"/>
      <c r="H63" s="557"/>
      <c r="I63" s="557"/>
      <c r="J63" s="557"/>
      <c r="K63" s="557"/>
      <c r="L63" s="556"/>
      <c r="M63"/>
      <c r="N63"/>
    </row>
    <row r="64" spans="1:14" s="504" customFormat="1" ht="15.5">
      <c r="A64"/>
      <c r="B64" s="565" t="s">
        <v>2687</v>
      </c>
      <c r="C64" s="566">
        <f>C56-C62</f>
        <v>0</v>
      </c>
      <c r="D64" s="566"/>
      <c r="E64" s="566">
        <f>E56-E62</f>
        <v>0</v>
      </c>
      <c r="F64" s="566"/>
      <c r="G64" s="566">
        <f>G56-G62</f>
        <v>0</v>
      </c>
      <c r="H64" s="566"/>
      <c r="I64" s="566">
        <f>I56-I62</f>
        <v>0</v>
      </c>
      <c r="J64" s="566"/>
      <c r="K64" s="566">
        <f>K56-K62</f>
        <v>0</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5">
      <c r="A70"/>
      <c r="B70" s="568" t="s">
        <v>2690</v>
      </c>
      <c r="C70" s="569">
        <f>C64-C66-C68</f>
        <v>0</v>
      </c>
      <c r="D70" s="566"/>
      <c r="E70" s="569">
        <f>E64-E66-E68</f>
        <v>0</v>
      </c>
      <c r="F70" s="566"/>
      <c r="G70" s="569">
        <f>G64-G66-G68</f>
        <v>0</v>
      </c>
      <c r="H70" s="566"/>
      <c r="I70" s="569">
        <f>I64-I66-I68</f>
        <v>0</v>
      </c>
      <c r="J70" s="566"/>
      <c r="K70" s="569">
        <f>K64-K66-K68</f>
        <v>0</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t="e">
        <f>-C70/C75</f>
        <v>#DIV/0!</v>
      </c>
      <c r="D72" s="570"/>
      <c r="E72" s="986" t="e">
        <f>-E70/E75</f>
        <v>#DIV/0!</v>
      </c>
      <c r="F72" s="570"/>
      <c r="G72" s="986" t="e">
        <f>-G70/G75</f>
        <v>#DIV/0!</v>
      </c>
      <c r="H72" s="570"/>
      <c r="I72" s="986" t="e">
        <f>-I70/I75</f>
        <v>#DIV/0!</v>
      </c>
      <c r="J72" s="570"/>
      <c r="K72" s="986" t="e">
        <f>-K70/K75</f>
        <v>#DIV/0!</v>
      </c>
      <c r="L72" s="4"/>
      <c r="M72" s="10"/>
      <c r="N72" s="10"/>
    </row>
    <row r="73" spans="1:14" s="504" customFormat="1" ht="18.75" customHeight="1">
      <c r="A73"/>
      <c r="B73" s="556" t="s">
        <v>2692</v>
      </c>
      <c r="C73" s="987" t="e">
        <f>C76/C62</f>
        <v>#DIV/0!</v>
      </c>
      <c r="D73" s="571"/>
      <c r="E73" s="987" t="e">
        <f>E76/E62</f>
        <v>#DIV/0!</v>
      </c>
      <c r="F73" s="571"/>
      <c r="G73" s="987" t="e">
        <f>G76/G62</f>
        <v>#DIV/0!</v>
      </c>
      <c r="H73" s="571"/>
      <c r="I73" s="987" t="e">
        <f>I76/I62</f>
        <v>#DIV/0!</v>
      </c>
      <c r="J73" s="571"/>
      <c r="K73" s="987" t="e">
        <f>K76/K62</f>
        <v>#DIV/0!</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0</v>
      </c>
      <c r="D75" s="557"/>
      <c r="E75" s="557">
        <f>$C$75</f>
        <v>0</v>
      </c>
      <c r="F75" s="557"/>
      <c r="G75" s="557">
        <f>$C$75</f>
        <v>0</v>
      </c>
      <c r="H75" s="557"/>
      <c r="I75" s="557">
        <f>$C$75</f>
        <v>0</v>
      </c>
      <c r="J75" s="557"/>
      <c r="K75" s="557">
        <f>$C$75</f>
        <v>0</v>
      </c>
      <c r="L75" s="26"/>
      <c r="M75"/>
      <c r="N75"/>
    </row>
    <row r="76" spans="1:14" s="504" customFormat="1" ht="18.75" customHeight="1">
      <c r="A76"/>
      <c r="B76" s="556" t="s">
        <v>1095</v>
      </c>
      <c r="C76" s="557">
        <f>C70+C75</f>
        <v>0</v>
      </c>
      <c r="D76" s="557"/>
      <c r="E76" s="557">
        <f>E70+E75</f>
        <v>0</v>
      </c>
      <c r="F76" s="557"/>
      <c r="G76" s="557">
        <f>G70+G75</f>
        <v>0</v>
      </c>
      <c r="H76" s="557"/>
      <c r="I76" s="557">
        <f>I70+I75</f>
        <v>0</v>
      </c>
      <c r="J76" s="557"/>
      <c r="K76" s="557">
        <f>K70+K75</f>
        <v>0</v>
      </c>
      <c r="L76" s="26"/>
      <c r="M76"/>
      <c r="N76"/>
    </row>
    <row r="77" spans="1:14" s="504" customFormat="1" ht="15.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5" hidden="1">
      <c r="A78"/>
      <c r="B78" s="573" t="s">
        <v>2695</v>
      </c>
      <c r="C78" s="556"/>
      <c r="D78" s="556"/>
      <c r="E78" s="556"/>
      <c r="F78" s="556"/>
      <c r="G78" s="556"/>
      <c r="H78" s="556"/>
      <c r="I78" s="556"/>
      <c r="J78" s="556"/>
      <c r="K78" s="556"/>
      <c r="L78" s="26"/>
      <c r="M78"/>
      <c r="N78"/>
    </row>
    <row r="79" spans="1:14" s="504" customFormat="1" ht="15.5" hidden="1">
      <c r="A79"/>
      <c r="B79" s="556"/>
      <c r="C79" s="556"/>
      <c r="D79" s="556"/>
      <c r="E79" s="556"/>
      <c r="F79" s="556"/>
      <c r="G79" s="556"/>
      <c r="H79" s="556"/>
      <c r="I79" s="556"/>
      <c r="J79" s="556"/>
      <c r="K79" s="556"/>
      <c r="L79" s="26"/>
      <c r="M79"/>
      <c r="N79"/>
    </row>
    <row r="80" spans="1:14" s="504" customFormat="1" ht="16" hidden="1" thickBot="1">
      <c r="A80"/>
      <c r="B80" s="556" t="s">
        <v>2696</v>
      </c>
      <c r="C80" s="572" t="e">
        <f>MIN(C77,E77,G77,I77,K77)</f>
        <v>#NAME?</v>
      </c>
      <c r="D80" s="556"/>
      <c r="E80" s="556" t="s">
        <v>2697</v>
      </c>
      <c r="F80" s="574">
        <v>0.06</v>
      </c>
      <c r="G80" s="26"/>
      <c r="H80" s="26"/>
      <c r="I80" s="26"/>
      <c r="J80" s="26"/>
      <c r="K80" s="26"/>
      <c r="L80" s="26"/>
      <c r="M80"/>
      <c r="N80"/>
    </row>
    <row r="81" spans="1:14" s="504" customFormat="1" ht="15.5" hidden="1">
      <c r="A81"/>
      <c r="B81" s="556" t="s">
        <v>1606</v>
      </c>
      <c r="C81" s="572" t="e">
        <f>MAX(C77,E77,G77,I77,K77)</f>
        <v>#NAME?</v>
      </c>
      <c r="D81" s="556"/>
      <c r="E81" s="556"/>
      <c r="F81" s="556"/>
      <c r="G81" s="26"/>
      <c r="H81" s="26"/>
      <c r="I81" s="26"/>
      <c r="J81" s="26"/>
      <c r="K81" s="26"/>
      <c r="L81" s="26"/>
      <c r="M81"/>
      <c r="N81"/>
    </row>
    <row r="82" spans="1:14" s="504" customFormat="1" ht="15.5">
      <c r="A82"/>
      <c r="B82" s="556"/>
      <c r="C82" s="556"/>
      <c r="D82" s="556"/>
      <c r="E82" s="556" t="s">
        <v>233</v>
      </c>
      <c r="F82" s="556"/>
      <c r="G82" s="26"/>
      <c r="H82" s="26"/>
      <c r="I82" s="26"/>
      <c r="J82" s="26"/>
      <c r="K82" s="26"/>
      <c r="L82" s="26"/>
      <c r="M82"/>
      <c r="N82"/>
    </row>
    <row r="83" spans="1:14" s="504" customFormat="1" ht="15.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6953125" defaultRowHeight="12.5"/>
  <cols>
    <col min="1" max="1" width="24.7265625" style="940" customWidth="1"/>
    <col min="2" max="2" width="13.7265625" style="940" customWidth="1"/>
    <col min="3" max="11" width="10.54296875" style="940" customWidth="1"/>
    <col min="12" max="12" width="9.7265625" style="940" customWidth="1"/>
    <col min="13" max="21" width="10.54296875" style="940" customWidth="1"/>
    <col min="22" max="16384" width="9.26953125" style="940"/>
  </cols>
  <sheetData>
    <row r="1" spans="1:7" ht="3" customHeight="1"/>
    <row r="2" spans="1:7" ht="13">
      <c r="A2" s="939" t="s">
        <v>3330</v>
      </c>
    </row>
    <row r="3" spans="1:7" ht="3" customHeight="1"/>
    <row r="4" spans="1:7">
      <c r="A4" s="940" t="s">
        <v>3331</v>
      </c>
      <c r="B4" s="941">
        <f>'Part III-A-Uses of Funds'!G146</f>
        <v>0</v>
      </c>
    </row>
    <row r="5" spans="1:7">
      <c r="A5" s="940" t="s">
        <v>3362</v>
      </c>
      <c r="B5" s="941">
        <f>+B18+B26+B38</f>
        <v>0</v>
      </c>
    </row>
    <row r="6" spans="1:7">
      <c r="A6" s="940" t="s">
        <v>3332</v>
      </c>
      <c r="B6" s="942">
        <f>+B5-B4</f>
        <v>0</v>
      </c>
    </row>
    <row r="7" spans="1:7">
      <c r="A7" s="940" t="s">
        <v>3333</v>
      </c>
      <c r="B7" s="943" t="e">
        <f>+B6/B4</f>
        <v>#DIV/0!</v>
      </c>
    </row>
    <row r="8" spans="1:7" ht="9" customHeight="1"/>
    <row r="9" spans="1:7">
      <c r="A9" s="940" t="s">
        <v>3334</v>
      </c>
      <c r="B9" s="941">
        <f>+B18+B26+B33</f>
        <v>0</v>
      </c>
    </row>
    <row r="10" spans="1:7">
      <c r="A10" s="940" t="s">
        <v>3332</v>
      </c>
      <c r="B10" s="942">
        <f>+B9-B4</f>
        <v>0</v>
      </c>
    </row>
    <row r="11" spans="1:7">
      <c r="A11" s="940" t="s">
        <v>3333</v>
      </c>
      <c r="B11" s="943" t="e">
        <f>+B10/B4</f>
        <v>#DIV/0!</v>
      </c>
    </row>
    <row r="12" spans="1:7" ht="24" customHeight="1"/>
    <row r="13" spans="1:7" ht="13">
      <c r="A13" s="939" t="s">
        <v>3335</v>
      </c>
      <c r="D13" s="992" t="s">
        <v>3547</v>
      </c>
      <c r="E13" s="993"/>
    </row>
    <row r="14" spans="1:7">
      <c r="A14" s="940" t="s">
        <v>3336</v>
      </c>
      <c r="B14" s="944">
        <f>+SUM('Part II-Sources of Funds'!L51:M52)</f>
        <v>0</v>
      </c>
      <c r="D14" s="993"/>
      <c r="E14" s="993"/>
    </row>
    <row r="15" spans="1:7">
      <c r="A15" s="940" t="s">
        <v>3337</v>
      </c>
      <c r="B15" s="945">
        <f>+'Part III-A-Uses of Funds'!J180</f>
        <v>0</v>
      </c>
      <c r="D15" s="993" t="s">
        <v>1890</v>
      </c>
      <c r="G15" s="994" t="e">
        <f>'Part III-A-Uses of Funds'!J168</f>
        <v>#DIV/0!</v>
      </c>
    </row>
    <row r="16" spans="1:7" ht="12.75" customHeight="1">
      <c r="D16" s="993" t="s">
        <v>3548</v>
      </c>
      <c r="G16" s="998">
        <v>3.2800000000000003E-2</v>
      </c>
    </row>
    <row r="17" spans="1:7" ht="12.75" customHeight="1">
      <c r="A17" s="940" t="s">
        <v>3338</v>
      </c>
      <c r="B17" s="997">
        <v>1.45</v>
      </c>
      <c r="D17" s="993" t="s">
        <v>3549</v>
      </c>
      <c r="G17" s="999">
        <v>1.45</v>
      </c>
    </row>
    <row r="18" spans="1:7" ht="12.75" customHeight="1">
      <c r="A18" s="940" t="s">
        <v>3339</v>
      </c>
      <c r="B18" s="946">
        <f>+'Part III-A-Uses of Funds'!J190*B17*10</f>
        <v>0</v>
      </c>
      <c r="D18" s="993" t="s">
        <v>3550</v>
      </c>
      <c r="G18" s="999">
        <v>3.28</v>
      </c>
    </row>
    <row r="19" spans="1:7" ht="12.75" customHeight="1">
      <c r="D19" s="993" t="s">
        <v>3551</v>
      </c>
      <c r="G19" s="995" t="e">
        <f>+G15*G16*G17*10</f>
        <v>#DIV/0!</v>
      </c>
    </row>
    <row r="20" spans="1:7">
      <c r="A20" s="940" t="s">
        <v>3340</v>
      </c>
      <c r="B20" s="944">
        <f>+B18-B14</f>
        <v>0</v>
      </c>
      <c r="D20" s="993" t="s">
        <v>3552</v>
      </c>
      <c r="G20" s="996" t="e">
        <f>+B14-G19</f>
        <v>#DIV/0!</v>
      </c>
    </row>
    <row r="21" spans="1:7">
      <c r="A21" s="940" t="s">
        <v>3341</v>
      </c>
      <c r="B21" s="943" t="e">
        <f>+B20/B14</f>
        <v>#DIV/0!</v>
      </c>
      <c r="D21" s="993" t="s">
        <v>3553</v>
      </c>
      <c r="G21" s="993" t="e">
        <f>+IF(G20&gt;(B28+B35),"No","Yes")</f>
        <v>#DIV/0!</v>
      </c>
    </row>
    <row r="22" spans="1:7" ht="24" customHeight="1"/>
    <row r="23" spans="1:7" ht="13">
      <c r="A23" s="939" t="s">
        <v>3342</v>
      </c>
    </row>
    <row r="24" spans="1:7">
      <c r="A24" s="940" t="s">
        <v>3343</v>
      </c>
      <c r="B24" s="947">
        <f>+SUM('Part II-Sources of Funds'!I40:J43)</f>
        <v>0</v>
      </c>
    </row>
    <row r="25" spans="1:7">
      <c r="A25" s="940" t="s">
        <v>3344</v>
      </c>
      <c r="B25" s="948">
        <f>IF('Part II-Sources of Funds'!E6="Yes","N/A",MAX(B46:P46))</f>
        <v>0</v>
      </c>
    </row>
    <row r="26" spans="1:7">
      <c r="A26" s="940" t="s">
        <v>3345</v>
      </c>
      <c r="B26" s="938">
        <f>IFERROR(PV('Part II-Sources of Funds'!K40,'Part II-Sources of Funds'!L40,B25+B45),B24)</f>
        <v>0</v>
      </c>
    </row>
    <row r="27" spans="1:7" ht="9" customHeight="1">
      <c r="B27" s="938"/>
    </row>
    <row r="28" spans="1:7">
      <c r="A28" s="940" t="s">
        <v>3346</v>
      </c>
      <c r="B28" s="949">
        <f>+B26-B24</f>
        <v>0</v>
      </c>
      <c r="C28" s="950"/>
    </row>
    <row r="29" spans="1:7">
      <c r="A29" s="940" t="s">
        <v>3341</v>
      </c>
      <c r="B29" s="951" t="e">
        <f>+B28/B24</f>
        <v>#DIV/0!</v>
      </c>
    </row>
    <row r="30" spans="1:7" ht="24" customHeight="1"/>
    <row r="31" spans="1:7" ht="13">
      <c r="A31" s="939" t="s">
        <v>3276</v>
      </c>
    </row>
    <row r="32" spans="1:7">
      <c r="A32" s="940" t="s">
        <v>3347</v>
      </c>
      <c r="B32" s="952">
        <f>+'Part II-Sources of Funds'!I45</f>
        <v>0</v>
      </c>
    </row>
    <row r="33" spans="1:11">
      <c r="A33" s="940" t="s">
        <v>3348</v>
      </c>
      <c r="B33" s="938"/>
    </row>
    <row r="34" spans="1:11" ht="9" customHeight="1">
      <c r="B34" s="938"/>
    </row>
    <row r="35" spans="1:11">
      <c r="A35" s="940" t="s">
        <v>3349</v>
      </c>
      <c r="B35" s="952">
        <f>+B33-B32</f>
        <v>0</v>
      </c>
    </row>
    <row r="36" spans="1:11">
      <c r="A36" s="940" t="s">
        <v>3350</v>
      </c>
      <c r="B36" s="937" t="e">
        <f>+B35/B32</f>
        <v>#DIV/0!</v>
      </c>
    </row>
    <row r="37" spans="1:11" ht="24" customHeight="1">
      <c r="B37" s="938"/>
    </row>
    <row r="38" spans="1:11" ht="13">
      <c r="A38" s="939" t="s">
        <v>3351</v>
      </c>
      <c r="B38" s="938">
        <f>+SUM('Part II-Sources of Funds'!I44,'Part II-Sources of Funds'!I49,'Part II-Sources of Funds'!I50,'Part II-Sources of Funds'!I53:I59)</f>
        <v>0</v>
      </c>
    </row>
    <row r="39" spans="1:11">
      <c r="B39" s="938"/>
    </row>
    <row r="40" spans="1:11">
      <c r="B40" s="938"/>
    </row>
    <row r="41" spans="1:11">
      <c r="B41" s="938"/>
    </row>
    <row r="42" spans="1:11" ht="13">
      <c r="A42" s="939" t="s">
        <v>3352</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0</v>
      </c>
      <c r="C44" s="941">
        <f>+'Part VI-Pro Forma'!C25</f>
        <v>0</v>
      </c>
      <c r="D44" s="941">
        <f>+'Part VI-Pro Forma'!D25</f>
        <v>0</v>
      </c>
      <c r="E44" s="941">
        <f>+'Part VI-Pro Forma'!E25</f>
        <v>0</v>
      </c>
      <c r="F44" s="941">
        <f>+'Part VI-Pro Forma'!F25</f>
        <v>0</v>
      </c>
      <c r="G44" s="941">
        <f>+'Part VI-Pro Forma'!G25</f>
        <v>0</v>
      </c>
      <c r="H44" s="941">
        <f>+'Part VI-Pro Forma'!H25</f>
        <v>0</v>
      </c>
      <c r="I44" s="941">
        <f>+'Part VI-Pro Forma'!I25</f>
        <v>0</v>
      </c>
      <c r="J44" s="941">
        <f>+'Part VI-Pro Forma'!J25</f>
        <v>0</v>
      </c>
      <c r="K44" s="941">
        <f>+'Part VI-Pro Forma'!K25</f>
        <v>0</v>
      </c>
    </row>
    <row r="45" spans="1:11">
      <c r="A45" s="940" t="s">
        <v>3353</v>
      </c>
      <c r="B45" s="941">
        <f>SUM('Part VI-Pro Forma'!B26:B29)</f>
        <v>0</v>
      </c>
      <c r="C45" s="941">
        <f>SUM('Part VI-Pro Forma'!C26:C29)</f>
        <v>0</v>
      </c>
      <c r="D45" s="941">
        <f>SUM('Part VI-Pro Forma'!D26:D29)</f>
        <v>0</v>
      </c>
      <c r="E45" s="941">
        <f>SUM('Part VI-Pro Forma'!E26:E29)</f>
        <v>0</v>
      </c>
      <c r="F45" s="941">
        <f>SUM('Part VI-Pro Forma'!F26:F29)</f>
        <v>0</v>
      </c>
      <c r="G45" s="941">
        <f>SUM('Part VI-Pro Forma'!G26:G29)</f>
        <v>0</v>
      </c>
      <c r="H45" s="941">
        <f>SUM('Part VI-Pro Forma'!H26:H29)</f>
        <v>0</v>
      </c>
      <c r="I45" s="941">
        <f>SUM('Part VI-Pro Forma'!I26:I29)</f>
        <v>0</v>
      </c>
      <c r="J45" s="941">
        <f>SUM('Part VI-Pro Forma'!J26:J29)</f>
        <v>0</v>
      </c>
      <c r="K45" s="941">
        <f>SUM('Part VI-Pro Forma'!K26:K29)</f>
        <v>0</v>
      </c>
    </row>
    <row r="46" spans="1:11">
      <c r="A46" s="940" t="s">
        <v>3354</v>
      </c>
      <c r="B46" s="942">
        <f t="shared" ref="B46:K46" si="0">-B44/B48-B45</f>
        <v>0</v>
      </c>
      <c r="C46" s="942">
        <f t="shared" si="0"/>
        <v>0</v>
      </c>
      <c r="D46" s="942">
        <f t="shared" si="0"/>
        <v>0</v>
      </c>
      <c r="E46" s="942">
        <f t="shared" si="0"/>
        <v>0</v>
      </c>
      <c r="F46" s="942">
        <f t="shared" si="0"/>
        <v>0</v>
      </c>
      <c r="G46" s="942">
        <f t="shared" si="0"/>
        <v>0</v>
      </c>
      <c r="H46" s="942">
        <f t="shared" si="0"/>
        <v>0</v>
      </c>
      <c r="I46" s="942">
        <f t="shared" si="0"/>
        <v>0</v>
      </c>
      <c r="J46" s="942">
        <f t="shared" si="0"/>
        <v>0</v>
      </c>
      <c r="K46" s="942">
        <f t="shared" si="0"/>
        <v>0</v>
      </c>
    </row>
    <row r="48" spans="1:11">
      <c r="A48" s="940" t="s">
        <v>3355</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ht="13">
      <c r="A50" s="939" t="s">
        <v>1095</v>
      </c>
    </row>
    <row r="51" spans="1:17">
      <c r="A51" s="940" t="s">
        <v>1128</v>
      </c>
      <c r="B51" s="942">
        <f>+B44</f>
        <v>0</v>
      </c>
      <c r="C51" s="942">
        <f t="shared" ref="C51:K51" si="2">+C44</f>
        <v>0</v>
      </c>
      <c r="D51" s="942">
        <f t="shared" si="2"/>
        <v>0</v>
      </c>
      <c r="E51" s="942">
        <f t="shared" si="2"/>
        <v>0</v>
      </c>
      <c r="F51" s="942">
        <f t="shared" si="2"/>
        <v>0</v>
      </c>
      <c r="G51" s="942">
        <f t="shared" si="2"/>
        <v>0</v>
      </c>
      <c r="H51" s="942">
        <f t="shared" si="2"/>
        <v>0</v>
      </c>
      <c r="I51" s="942">
        <f t="shared" si="2"/>
        <v>0</v>
      </c>
      <c r="J51" s="942">
        <f t="shared" si="2"/>
        <v>0</v>
      </c>
      <c r="K51" s="942">
        <f t="shared" si="2"/>
        <v>0</v>
      </c>
    </row>
    <row r="52" spans="1:17">
      <c r="A52" s="940" t="s">
        <v>3356</v>
      </c>
      <c r="B52" s="942">
        <f>IF($B$25="N/A",B45,B45+$B$25)</f>
        <v>0</v>
      </c>
      <c r="C52" s="942">
        <f t="shared" ref="C52:K52" si="3">IF($B$25="N/A",C45,C45+$B$25)</f>
        <v>0</v>
      </c>
      <c r="D52" s="942">
        <f t="shared" si="3"/>
        <v>0</v>
      </c>
      <c r="E52" s="942">
        <f t="shared" si="3"/>
        <v>0</v>
      </c>
      <c r="F52" s="942">
        <f t="shared" si="3"/>
        <v>0</v>
      </c>
      <c r="G52" s="942">
        <f t="shared" si="3"/>
        <v>0</v>
      </c>
      <c r="H52" s="942">
        <f t="shared" si="3"/>
        <v>0</v>
      </c>
      <c r="I52" s="942">
        <f t="shared" si="3"/>
        <v>0</v>
      </c>
      <c r="J52" s="942">
        <f t="shared" si="3"/>
        <v>0</v>
      </c>
      <c r="K52" s="942">
        <f t="shared" si="3"/>
        <v>0</v>
      </c>
    </row>
    <row r="53" spans="1:17">
      <c r="A53" s="940" t="s">
        <v>3357</v>
      </c>
      <c r="B53" s="941">
        <f>+'Part VI-Pro Forma'!B31</f>
        <v>0</v>
      </c>
      <c r="C53" s="941">
        <f>+'Part VI-Pro Forma'!C31</f>
        <v>0</v>
      </c>
      <c r="D53" s="941">
        <f>+'Part VI-Pro Forma'!D31</f>
        <v>0</v>
      </c>
      <c r="E53" s="941">
        <f>+'Part VI-Pro Forma'!E31</f>
        <v>0</v>
      </c>
      <c r="F53" s="941">
        <f>+'Part VI-Pro Forma'!F31</f>
        <v>0</v>
      </c>
      <c r="G53" s="941">
        <f>+'Part VI-Pro Forma'!G31</f>
        <v>0</v>
      </c>
      <c r="H53" s="941">
        <f>+'Part VI-Pro Forma'!H31</f>
        <v>0</v>
      </c>
      <c r="I53" s="941">
        <f>+'Part VI-Pro Forma'!I31</f>
        <v>0</v>
      </c>
      <c r="J53" s="941">
        <f>+'Part VI-Pro Forma'!J31</f>
        <v>0</v>
      </c>
      <c r="K53" s="941">
        <f>+'Part VI-Pro Forma'!K31</f>
        <v>0</v>
      </c>
    </row>
    <row r="54" spans="1:17">
      <c r="A54" s="940" t="s">
        <v>3358</v>
      </c>
      <c r="B54" s="942">
        <f>+SUM(B51:B53)</f>
        <v>0</v>
      </c>
      <c r="C54" s="942">
        <f t="shared" ref="C54:K54" si="4">+SUM(C51:C53)</f>
        <v>0</v>
      </c>
      <c r="D54" s="942">
        <f t="shared" si="4"/>
        <v>0</v>
      </c>
      <c r="E54" s="942">
        <f t="shared" si="4"/>
        <v>0</v>
      </c>
      <c r="F54" s="942">
        <f t="shared" si="4"/>
        <v>0</v>
      </c>
      <c r="G54" s="942">
        <f t="shared" si="4"/>
        <v>0</v>
      </c>
      <c r="H54" s="942">
        <f t="shared" si="4"/>
        <v>0</v>
      </c>
      <c r="I54" s="942">
        <f t="shared" si="4"/>
        <v>0</v>
      </c>
      <c r="J54" s="942">
        <f t="shared" si="4"/>
        <v>0</v>
      </c>
      <c r="K54" s="942">
        <f t="shared" si="4"/>
        <v>0</v>
      </c>
    </row>
    <row r="55" spans="1:17">
      <c r="A55" s="940" t="s">
        <v>3276</v>
      </c>
      <c r="B55" s="942">
        <f>-B54</f>
        <v>0</v>
      </c>
      <c r="C55" s="942">
        <f t="shared" ref="C55:K55" si="5">-C54</f>
        <v>0</v>
      </c>
      <c r="D55" s="942">
        <f t="shared" si="5"/>
        <v>0</v>
      </c>
      <c r="E55" s="942">
        <f t="shared" si="5"/>
        <v>0</v>
      </c>
      <c r="F55" s="942">
        <f t="shared" si="5"/>
        <v>0</v>
      </c>
      <c r="G55" s="942">
        <f t="shared" si="5"/>
        <v>0</v>
      </c>
      <c r="H55" s="942">
        <f t="shared" si="5"/>
        <v>0</v>
      </c>
      <c r="I55" s="942">
        <f t="shared" si="5"/>
        <v>0</v>
      </c>
      <c r="J55" s="942">
        <f t="shared" si="5"/>
        <v>0</v>
      </c>
      <c r="K55" s="942">
        <f t="shared" si="5"/>
        <v>0</v>
      </c>
    </row>
    <row r="56" spans="1:17">
      <c r="A56" s="940" t="s">
        <v>3359</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3360</v>
      </c>
      <c r="B58" s="941">
        <f>IF($B$26="","",-FV('Part II-Sources of Funds'!$K$40/12,12,B52/12,B26))</f>
        <v>0</v>
      </c>
      <c r="C58" s="941">
        <f>IF($B$26="","",-FV('Part II-Sources of Funds'!$K$40/12,12,C52/12,C26))</f>
        <v>0</v>
      </c>
      <c r="D58" s="941">
        <f>IF($B$26="","",-FV('Part II-Sources of Funds'!$K$40/12,12,D52/12,D26))</f>
        <v>0</v>
      </c>
      <c r="E58" s="941">
        <f>IF($B$26="","",-FV('Part II-Sources of Funds'!$K$40/12,12,E52/12,E26))</f>
        <v>0</v>
      </c>
      <c r="F58" s="941">
        <f>IF($B$26="","",-FV('Part II-Sources of Funds'!$K$40/12,12,F52/12,F26))</f>
        <v>0</v>
      </c>
      <c r="G58" s="941">
        <f>IF($B$26="","",-FV('Part II-Sources of Funds'!$K$40/12,12,G52/12,G26))</f>
        <v>0</v>
      </c>
      <c r="H58" s="941">
        <f>IF($B$26="","",-FV('Part II-Sources of Funds'!$K$40/12,12,H52/12,H26))</f>
        <v>0</v>
      </c>
      <c r="I58" s="941">
        <f>IF($B$26="","",-FV('Part II-Sources of Funds'!$K$40/12,12,I52/12,I26))</f>
        <v>0</v>
      </c>
      <c r="J58" s="941">
        <f>IF($B$26="","",-FV('Part II-Sources of Funds'!$K$40/12,12,J52/12,J26))</f>
        <v>0</v>
      </c>
      <c r="K58" s="941">
        <f>IF($B$26="","",-FV('Part II-Sources of Funds'!$K$40/12,12,K52/12,K26))</f>
        <v>0</v>
      </c>
    </row>
    <row r="59" spans="1:17">
      <c r="A59" s="940" t="s">
        <v>3277</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ht="13">
      <c r="A62" s="939" t="s">
        <v>3352</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0</v>
      </c>
      <c r="C64" s="941">
        <f>+'Part VI-Pro Forma'!C57</f>
        <v>0</v>
      </c>
      <c r="D64" s="941">
        <f>+'Part VI-Pro Forma'!D57</f>
        <v>0</v>
      </c>
      <c r="E64" s="941">
        <f>+'Part VI-Pro Forma'!E57</f>
        <v>0</v>
      </c>
      <c r="F64" s="941">
        <f>+'Part VI-Pro Forma'!F57</f>
        <v>0</v>
      </c>
      <c r="G64" s="941">
        <f>+'Part VI-Pro Forma'!G57</f>
        <v>0</v>
      </c>
      <c r="H64" s="941">
        <f>+'Part VI-Pro Forma'!H57</f>
        <v>0</v>
      </c>
      <c r="I64" s="941">
        <f>+'Part VI-Pro Forma'!I57</f>
        <v>0</v>
      </c>
      <c r="J64" s="941">
        <f>+'Part VI-Pro Forma'!J57</f>
        <v>0</v>
      </c>
      <c r="K64" s="941">
        <f>+'Part VI-Pro Forma'!K57</f>
        <v>0</v>
      </c>
    </row>
    <row r="65" spans="1:11">
      <c r="A65" s="940" t="s">
        <v>3353</v>
      </c>
      <c r="B65" s="941">
        <f>SUM('Part VI-Pro Forma'!B58:B61)</f>
        <v>0</v>
      </c>
      <c r="C65" s="941">
        <f>SUM('Part VI-Pro Forma'!C58:C61)</f>
        <v>0</v>
      </c>
      <c r="D65" s="941">
        <f>SUM('Part VI-Pro Forma'!D58:D61)</f>
        <v>0</v>
      </c>
      <c r="E65" s="941">
        <f>SUM('Part VI-Pro Forma'!E58:E61)</f>
        <v>0</v>
      </c>
      <c r="F65" s="941">
        <f>SUM('Part VI-Pro Forma'!F58:F61)</f>
        <v>0</v>
      </c>
      <c r="G65" s="941">
        <f>SUM('Part VI-Pro Forma'!G58:G61)</f>
        <v>0</v>
      </c>
      <c r="H65" s="941">
        <f>SUM('Part VI-Pro Forma'!H58:H61)</f>
        <v>0</v>
      </c>
      <c r="I65" s="941">
        <f>SUM('Part VI-Pro Forma'!I58:I61)</f>
        <v>0</v>
      </c>
      <c r="J65" s="941">
        <f>SUM('Part VI-Pro Forma'!J58:J61)</f>
        <v>0</v>
      </c>
      <c r="K65" s="941">
        <f>SUM('Part VI-Pro Forma'!K58:K61)</f>
        <v>0</v>
      </c>
    </row>
    <row r="66" spans="1:11">
      <c r="A66" s="940" t="s">
        <v>3354</v>
      </c>
      <c r="B66" s="942">
        <f t="shared" ref="B66:K66" si="7">-B64/B68-B65</f>
        <v>0</v>
      </c>
      <c r="C66" s="942">
        <f t="shared" si="7"/>
        <v>0</v>
      </c>
      <c r="D66" s="942">
        <f t="shared" si="7"/>
        <v>0</v>
      </c>
      <c r="E66" s="942">
        <f t="shared" si="7"/>
        <v>0</v>
      </c>
      <c r="F66" s="942">
        <f t="shared" si="7"/>
        <v>0</v>
      </c>
      <c r="G66" s="942">
        <f t="shared" si="7"/>
        <v>0</v>
      </c>
      <c r="H66" s="942">
        <f t="shared" si="7"/>
        <v>0</v>
      </c>
      <c r="I66" s="942">
        <f t="shared" si="7"/>
        <v>0</v>
      </c>
      <c r="J66" s="942">
        <f t="shared" si="7"/>
        <v>0</v>
      </c>
      <c r="K66" s="942">
        <f t="shared" si="7"/>
        <v>0</v>
      </c>
    </row>
    <row r="68" spans="1:11">
      <c r="A68" s="940" t="s">
        <v>3355</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ht="13">
      <c r="A70" s="939" t="s">
        <v>1095</v>
      </c>
    </row>
    <row r="71" spans="1:11">
      <c r="A71" s="940" t="s">
        <v>1128</v>
      </c>
      <c r="B71" s="942">
        <f t="shared" ref="B71:G71" si="9">+B64</f>
        <v>0</v>
      </c>
      <c r="C71" s="942">
        <f t="shared" si="9"/>
        <v>0</v>
      </c>
      <c r="D71" s="942">
        <f t="shared" si="9"/>
        <v>0</v>
      </c>
      <c r="E71" s="942">
        <f t="shared" si="9"/>
        <v>0</v>
      </c>
      <c r="F71" s="942">
        <f t="shared" si="9"/>
        <v>0</v>
      </c>
      <c r="G71" s="942">
        <f t="shared" si="9"/>
        <v>0</v>
      </c>
      <c r="H71" s="942">
        <f>+H64</f>
        <v>0</v>
      </c>
      <c r="I71" s="942">
        <f>+I64</f>
        <v>0</v>
      </c>
      <c r="J71" s="942">
        <f>+J64</f>
        <v>0</v>
      </c>
      <c r="K71" s="942">
        <f>+K64</f>
        <v>0</v>
      </c>
    </row>
    <row r="72" spans="1:11">
      <c r="A72" s="940" t="s">
        <v>3356</v>
      </c>
      <c r="B72" s="942">
        <f t="shared" ref="B72:G72" si="10">IF($B$25="N/A",B65,B65+$B$25)</f>
        <v>0</v>
      </c>
      <c r="C72" s="942">
        <f t="shared" si="10"/>
        <v>0</v>
      </c>
      <c r="D72" s="942">
        <f t="shared" si="10"/>
        <v>0</v>
      </c>
      <c r="E72" s="942">
        <f t="shared" si="10"/>
        <v>0</v>
      </c>
      <c r="F72" s="942">
        <f t="shared" si="10"/>
        <v>0</v>
      </c>
      <c r="G72" s="942">
        <f t="shared" si="10"/>
        <v>0</v>
      </c>
      <c r="H72" s="942">
        <f>IF($B$25="N/A",H65,H65+$B$25)</f>
        <v>0</v>
      </c>
      <c r="I72" s="942">
        <f>IF($B$25="N/A",I65,I65+$B$25)</f>
        <v>0</v>
      </c>
      <c r="J72" s="942">
        <f>IF($B$25="N/A",J65,J65+$B$25)</f>
        <v>0</v>
      </c>
      <c r="K72" s="942">
        <f>IF($B$25="N/A",K65,K65+$B$25)</f>
        <v>0</v>
      </c>
    </row>
    <row r="73" spans="1:11">
      <c r="A73" s="940" t="s">
        <v>3357</v>
      </c>
      <c r="B73" s="941">
        <f>+'Part VI-Pro Forma'!B63</f>
        <v>0</v>
      </c>
      <c r="C73" s="941">
        <f>+'Part VI-Pro Forma'!C63</f>
        <v>0</v>
      </c>
      <c r="D73" s="941">
        <f>+'Part VI-Pro Forma'!D63</f>
        <v>0</v>
      </c>
      <c r="E73" s="941">
        <f>+'Part VI-Pro Forma'!E63</f>
        <v>0</v>
      </c>
      <c r="F73" s="941">
        <f>+'Part VI-Pro Forma'!F63</f>
        <v>0</v>
      </c>
      <c r="G73" s="941">
        <f>+'Part VI-Pro Forma'!G63</f>
        <v>0</v>
      </c>
      <c r="H73" s="941">
        <f>+'Part VI-Pro Forma'!H63</f>
        <v>0</v>
      </c>
      <c r="I73" s="941">
        <f>+'Part VI-Pro Forma'!I63</f>
        <v>0</v>
      </c>
      <c r="J73" s="941">
        <f>+'Part VI-Pro Forma'!J63</f>
        <v>0</v>
      </c>
      <c r="K73" s="941">
        <f>+'Part VI-Pro Forma'!K63</f>
        <v>0</v>
      </c>
    </row>
    <row r="74" spans="1:11">
      <c r="A74" s="940" t="s">
        <v>3358</v>
      </c>
      <c r="B74" s="942">
        <f t="shared" ref="B74:G74" si="11">+SUM(B71:B73)</f>
        <v>0</v>
      </c>
      <c r="C74" s="942">
        <f t="shared" si="11"/>
        <v>0</v>
      </c>
      <c r="D74" s="942">
        <f t="shared" si="11"/>
        <v>0</v>
      </c>
      <c r="E74" s="942">
        <f t="shared" si="11"/>
        <v>0</v>
      </c>
      <c r="F74" s="942">
        <f t="shared" si="11"/>
        <v>0</v>
      </c>
      <c r="G74" s="942">
        <f t="shared" si="11"/>
        <v>0</v>
      </c>
      <c r="H74" s="942">
        <f>+SUM(H71:H73)</f>
        <v>0</v>
      </c>
      <c r="I74" s="942">
        <f>+SUM(I71:I73)</f>
        <v>0</v>
      </c>
      <c r="J74" s="942">
        <f>+SUM(J71:J73)</f>
        <v>0</v>
      </c>
      <c r="K74" s="942">
        <f>+SUM(K71:K73)</f>
        <v>0</v>
      </c>
    </row>
    <row r="75" spans="1:11">
      <c r="A75" s="940" t="s">
        <v>3276</v>
      </c>
      <c r="B75" s="942">
        <f t="shared" ref="B75:G75" si="12">-B74</f>
        <v>0</v>
      </c>
      <c r="C75" s="942">
        <f t="shared" si="12"/>
        <v>0</v>
      </c>
      <c r="D75" s="942">
        <f t="shared" si="12"/>
        <v>0</v>
      </c>
      <c r="E75" s="942">
        <f t="shared" si="12"/>
        <v>0</v>
      </c>
      <c r="F75" s="942">
        <f t="shared" si="12"/>
        <v>0</v>
      </c>
      <c r="G75" s="942">
        <f t="shared" si="12"/>
        <v>0</v>
      </c>
      <c r="H75" s="942">
        <f>-H74</f>
        <v>0</v>
      </c>
      <c r="I75" s="942">
        <f>-I74</f>
        <v>0</v>
      </c>
      <c r="J75" s="942">
        <f>-J74</f>
        <v>0</v>
      </c>
      <c r="K75" s="942">
        <f>-K74</f>
        <v>0</v>
      </c>
    </row>
    <row r="76" spans="1:11">
      <c r="A76" s="940" t="s">
        <v>3359</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3360</v>
      </c>
      <c r="B78" s="941">
        <f>IF($B$26="","",-FV('Part II-Sources of Funds'!$K$40/12,12,B72/12,K58))</f>
        <v>0</v>
      </c>
      <c r="C78" s="941">
        <f>IF($B$26="","",-FV('Part II-Sources of Funds'!$K$40/12,12,C72/12,L58))</f>
        <v>0</v>
      </c>
      <c r="D78" s="941">
        <f>IF($B$26="","",-FV('Part II-Sources of Funds'!$K$40/12,12,D72/12,M58))</f>
        <v>0</v>
      </c>
      <c r="E78" s="941">
        <f>IF($B$26="","",-FV('Part II-Sources of Funds'!$K$40/12,12,E72/12,N58))</f>
        <v>0</v>
      </c>
      <c r="F78" s="941">
        <f>IF($B$26="","",-FV('Part II-Sources of Funds'!$K$40/12,12,F72/12,O58))</f>
        <v>0</v>
      </c>
      <c r="G78" s="941">
        <f>IF($B$26="","",-FV('Part II-Sources of Funds'!$K$40/12,12,G72/12,P58))</f>
        <v>0</v>
      </c>
      <c r="H78" s="941">
        <f>IF($B$26="","",-FV('Part II-Sources of Funds'!$K$40/12,12,H72/12,Q58))</f>
        <v>0</v>
      </c>
      <c r="I78" s="941">
        <f>IF($B$26="","",-FV('Part II-Sources of Funds'!$K$40/12,12,I72/12,R58))</f>
        <v>0</v>
      </c>
      <c r="J78" s="941">
        <f>IF($B$26="","",-FV('Part II-Sources of Funds'!$K$40/12,12,J72/12,S58))</f>
        <v>0</v>
      </c>
      <c r="K78" s="941">
        <f>IF($B$26="","",-FV('Part II-Sources of Funds'!$K$40/12,12,K72/12,T58))</f>
        <v>0</v>
      </c>
    </row>
    <row r="79" spans="1:11">
      <c r="A79" s="940" t="s">
        <v>3277</v>
      </c>
    </row>
    <row r="82" spans="1:2">
      <c r="A82" s="940" t="s">
        <v>3361</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513" customWidth="1"/>
    <col min="2" max="2" width="1.7265625" style="513" customWidth="1"/>
    <col min="3" max="3" width="13" style="513" customWidth="1"/>
    <col min="4" max="4" width="11.26953125" style="513" customWidth="1"/>
    <col min="5" max="5" width="14.7265625" style="513" customWidth="1"/>
    <col min="6" max="6" width="15.26953125" style="513" customWidth="1"/>
    <col min="7" max="7" width="11.7265625" style="513" customWidth="1"/>
    <col min="8" max="8" width="11.453125" style="513" customWidth="1"/>
    <col min="9" max="9" width="10.54296875" style="513" customWidth="1"/>
    <col min="10" max="10" width="6" style="513" customWidth="1"/>
    <col min="11" max="11" width="12.7265625" style="513" customWidth="1"/>
    <col min="12" max="12" width="10.7265625" style="513" customWidth="1"/>
    <col min="13" max="13" width="26.26953125" style="513" customWidth="1"/>
    <col min="14" max="14" width="9.26953125" style="513"/>
    <col min="15" max="15" width="12.453125" style="513" customWidth="1"/>
    <col min="16" max="16" width="9.26953125" style="513"/>
    <col min="17" max="17" width="11.7265625" style="513" bestFit="1" customWidth="1"/>
    <col min="18" max="16384" width="9.26953125" style="513"/>
  </cols>
  <sheetData>
    <row r="1" spans="1:15" ht="13.5" customHeight="1">
      <c r="A1" s="514" t="s">
        <v>2698</v>
      </c>
      <c r="B1" s="514"/>
      <c r="C1" s="513">
        <f>'Sensitivity Analysis'!C8</f>
        <v>0</v>
      </c>
    </row>
    <row r="2" spans="1:15" ht="13.5" customHeight="1"/>
    <row r="3" spans="1:15" ht="13.5" customHeight="1">
      <c r="A3" s="514" t="s">
        <v>2699</v>
      </c>
      <c r="C3" s="513" t="s">
        <v>2700</v>
      </c>
      <c r="E3" s="575">
        <f>SUM('Part III-A-Uses of Funds'!J162,'Part III-A-Uses of Funds'!M162,'Part III-A-Uses of Funds'!P162)</f>
        <v>0</v>
      </c>
      <c r="F3" s="1003" t="s">
        <v>2701</v>
      </c>
      <c r="H3" s="988">
        <v>27.5</v>
      </c>
      <c r="I3" s="513" t="s">
        <v>2267</v>
      </c>
      <c r="K3" s="518" t="s">
        <v>2722</v>
      </c>
      <c r="M3" s="1003"/>
      <c r="O3" s="576"/>
    </row>
    <row r="4" spans="1:15" ht="13.5" customHeight="1">
      <c r="C4" s="513" t="s">
        <v>3044</v>
      </c>
      <c r="E4" s="575">
        <f>SUM('Part III-A-Uses of Funds'!G97:H101)</f>
        <v>0</v>
      </c>
      <c r="F4" s="1003" t="s">
        <v>3544</v>
      </c>
      <c r="H4" s="514">
        <f>'Part II-Sources of Funds'!M40</f>
        <v>0</v>
      </c>
      <c r="I4" s="513" t="s">
        <v>2267</v>
      </c>
      <c r="K4" s="577" t="s">
        <v>2891</v>
      </c>
      <c r="M4" s="1003"/>
    </row>
    <row r="5" spans="1:15" ht="13.5" customHeight="1">
      <c r="C5" s="513" t="s">
        <v>3045</v>
      </c>
      <c r="E5" s="575">
        <f>SUM('Part III-A-Uses of Funds'!G105:H111)</f>
        <v>0</v>
      </c>
      <c r="F5" s="1003" t="s">
        <v>3543</v>
      </c>
      <c r="H5" s="988">
        <v>15</v>
      </c>
      <c r="I5" s="513" t="s">
        <v>2267</v>
      </c>
      <c r="K5" s="576">
        <f>-E6</f>
        <v>0</v>
      </c>
    </row>
    <row r="6" spans="1:15" ht="13.5" customHeight="1">
      <c r="C6" s="513" t="s">
        <v>2702</v>
      </c>
      <c r="E6" s="578">
        <f>'Part II-Sources of Funds'!$I$51+'Part II-Sources of Funds'!$I$52</f>
        <v>0</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0</v>
      </c>
      <c r="D9" s="583">
        <f>'Part VI-Pro Forma'!C33</f>
        <v>0</v>
      </c>
      <c r="E9" s="583">
        <f>'Part VI-Pro Forma'!D33</f>
        <v>0</v>
      </c>
      <c r="F9" s="583">
        <f>'Part VI-Pro Forma'!E33</f>
        <v>0</v>
      </c>
      <c r="G9" s="583">
        <f>'Part VI-Pro Forma'!F33</f>
        <v>0</v>
      </c>
      <c r="H9" s="583">
        <f>'Part VI-Pro Forma'!G33</f>
        <v>0</v>
      </c>
      <c r="I9" s="583">
        <f>'Part VI-Pro Forma'!H33</f>
        <v>0</v>
      </c>
      <c r="K9" s="576" t="e">
        <f>F24</f>
        <v>#VALUE!</v>
      </c>
      <c r="N9" s="584" t="s">
        <v>2708</v>
      </c>
    </row>
    <row r="10" spans="1:15" ht="13.5" customHeight="1">
      <c r="A10" s="513" t="s">
        <v>2707</v>
      </c>
      <c r="C10" s="962" t="e">
        <f>'Part II-Sources of Funds'!I40-'Part VI-Pro Forma'!B40</f>
        <v>#VALUE!</v>
      </c>
      <c r="D10" s="585" t="e">
        <f>'Part VI-Pro Forma'!B40-'Part VI-Pro Forma'!C40</f>
        <v>#VALUE!</v>
      </c>
      <c r="E10" s="585" t="e">
        <f>'Part VI-Pro Forma'!C40-'Part VI-Pro Forma'!D40</f>
        <v>#VALUE!</v>
      </c>
      <c r="F10" s="585" t="e">
        <f>'Part VI-Pro Forma'!D40-'Part VI-Pro Forma'!E40</f>
        <v>#VALUE!</v>
      </c>
      <c r="G10" s="585" t="e">
        <f>'Part VI-Pro Forma'!E40-'Part VI-Pro Forma'!F40</f>
        <v>#VALUE!</v>
      </c>
      <c r="H10" s="585" t="e">
        <f>'Part VI-Pro Forma'!F40-'Part VI-Pro Forma'!G40</f>
        <v>#VALUE!</v>
      </c>
      <c r="I10" s="585" t="e">
        <f>'Part VI-Pro Forma'!G40-'Part VI-Pro Forma'!H40</f>
        <v>#VALUE!</v>
      </c>
      <c r="K10" s="576" t="e">
        <f>G24</f>
        <v>#VALUE!</v>
      </c>
      <c r="N10" s="584" t="s">
        <v>2709</v>
      </c>
      <c r="O10" s="581"/>
    </row>
    <row r="11" spans="1:15" ht="13.5" customHeight="1">
      <c r="A11" s="513" t="s">
        <v>2707</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3046</v>
      </c>
      <c r="B13" s="587"/>
      <c r="C13" s="963">
        <f>'Part VI-Pro Forma'!B23</f>
        <v>0</v>
      </c>
      <c r="D13" s="963">
        <f>'Part VI-Pro Forma'!C23</f>
        <v>0</v>
      </c>
      <c r="E13" s="963">
        <f>'Part VI-Pro Forma'!D23</f>
        <v>0</v>
      </c>
      <c r="F13" s="963">
        <f>'Part VI-Pro Forma'!E23</f>
        <v>0</v>
      </c>
      <c r="G13" s="963">
        <f>'Part VI-Pro Forma'!F23</f>
        <v>0</v>
      </c>
      <c r="H13" s="963">
        <f>'Part VI-Pro Forma'!G23</f>
        <v>0</v>
      </c>
      <c r="I13" s="963">
        <f>'Part VI-Pro Forma'!H23</f>
        <v>0</v>
      </c>
      <c r="K13" s="576" t="e">
        <f>C44</f>
        <v>#VALUE!</v>
      </c>
      <c r="O13" s="581"/>
    </row>
    <row r="14" spans="1:15" ht="13.5" customHeight="1">
      <c r="A14" s="587" t="s">
        <v>3047</v>
      </c>
      <c r="B14" s="587"/>
      <c r="C14" s="963">
        <f>'Part VI-Pro Forma'!B32</f>
        <v>0</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2714</v>
      </c>
      <c r="O14" s="581" t="e">
        <f>O6-O8-O12</f>
        <v>#REF!</v>
      </c>
    </row>
    <row r="15" spans="1:15" ht="13.5" customHeight="1">
      <c r="A15" s="513" t="s">
        <v>2710</v>
      </c>
      <c r="C15" s="588">
        <f t="shared" ref="C15:I15" si="0">$E$3/$H$3</f>
        <v>0</v>
      </c>
      <c r="D15" s="588">
        <f t="shared" si="0"/>
        <v>0</v>
      </c>
      <c r="E15" s="588">
        <f t="shared" si="0"/>
        <v>0</v>
      </c>
      <c r="F15" s="588">
        <f t="shared" si="0"/>
        <v>0</v>
      </c>
      <c r="G15" s="588">
        <f t="shared" si="0"/>
        <v>0</v>
      </c>
      <c r="H15" s="588">
        <f t="shared" si="0"/>
        <v>0</v>
      </c>
      <c r="I15" s="588">
        <f t="shared" si="0"/>
        <v>0</v>
      </c>
      <c r="K15" s="576" t="e">
        <f>E44</f>
        <v>#VALUE!</v>
      </c>
      <c r="O15" s="581"/>
    </row>
    <row r="16" spans="1:15" ht="13.5" customHeight="1">
      <c r="A16" s="513" t="s">
        <v>2712</v>
      </c>
      <c r="C16" s="588">
        <f>IF(C$8&lt;=$H$4,($E$4/$H$4),0)+IF(C$8&lt;=$H$5,($E$5/$H$5),0)</f>
        <v>0</v>
      </c>
      <c r="D16" s="588">
        <f t="shared" ref="D16:I16" si="1">IF(D$8&lt;=$H$4,($E$4/$H$4),0)+IF(D$8&lt;=$H$5,($E$5/$H$5),0)</f>
        <v>0</v>
      </c>
      <c r="E16" s="588">
        <f t="shared" si="1"/>
        <v>0</v>
      </c>
      <c r="F16" s="588">
        <f t="shared" si="1"/>
        <v>0</v>
      </c>
      <c r="G16" s="588">
        <f t="shared" si="1"/>
        <v>0</v>
      </c>
      <c r="H16" s="588">
        <f t="shared" si="1"/>
        <v>0</v>
      </c>
      <c r="I16" s="588">
        <f t="shared" si="1"/>
        <v>0</v>
      </c>
      <c r="K16" s="576" t="e">
        <f>F44</f>
        <v>#VALUE!</v>
      </c>
      <c r="M16" s="513" t="s">
        <v>2716</v>
      </c>
      <c r="O16" s="581">
        <f>E3</f>
        <v>0</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0</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0</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0</v>
      </c>
      <c r="D21" s="589">
        <f t="shared" ref="D21:I21" si="5">C21</f>
        <v>0</v>
      </c>
      <c r="E21" s="589">
        <f t="shared" si="5"/>
        <v>0</v>
      </c>
      <c r="F21" s="589">
        <f t="shared" si="5"/>
        <v>0</v>
      </c>
      <c r="G21" s="589">
        <f t="shared" si="5"/>
        <v>0</v>
      </c>
      <c r="H21" s="589">
        <f t="shared" si="5"/>
        <v>0</v>
      </c>
      <c r="I21" s="589">
        <f t="shared" si="5"/>
        <v>0</v>
      </c>
      <c r="J21" s="513" t="s">
        <v>233</v>
      </c>
      <c r="K21" s="576" t="e">
        <f>D64</f>
        <v>#VALUE!</v>
      </c>
      <c r="O21" s="581"/>
    </row>
    <row r="22" spans="1:17" ht="13.5" customHeight="1">
      <c r="A22" s="513" t="s">
        <v>2719</v>
      </c>
      <c r="C22" s="589">
        <f>C21</f>
        <v>0</v>
      </c>
      <c r="D22" s="589">
        <f t="shared" ref="D22:I22" si="6">D21</f>
        <v>0</v>
      </c>
      <c r="E22" s="589">
        <f t="shared" si="6"/>
        <v>0</v>
      </c>
      <c r="F22" s="589">
        <f t="shared" si="6"/>
        <v>0</v>
      </c>
      <c r="G22" s="589">
        <f t="shared" si="6"/>
        <v>0</v>
      </c>
      <c r="H22" s="589">
        <f t="shared" si="6"/>
        <v>0</v>
      </c>
      <c r="I22" s="589">
        <f t="shared" si="6"/>
        <v>0</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0</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0</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0</v>
      </c>
      <c r="D29" s="583">
        <f>'Part VI-Pro Forma'!J33</f>
        <v>0</v>
      </c>
      <c r="E29" s="583">
        <f>'Part VI-Pro Forma'!K33</f>
        <v>0</v>
      </c>
      <c r="F29" s="583">
        <f>'Part VI-Pro Forma'!B65</f>
        <v>0</v>
      </c>
      <c r="G29" s="583">
        <f>'Part VI-Pro Forma'!C65</f>
        <v>0</v>
      </c>
      <c r="H29" s="583">
        <f>'Part VI-Pro Forma'!D65</f>
        <v>0</v>
      </c>
      <c r="I29" s="583">
        <f>'Part VI-Pro Forma'!E65</f>
        <v>0</v>
      </c>
      <c r="N29" s="592"/>
      <c r="O29" s="592"/>
    </row>
    <row r="30" spans="1:17" ht="13.5" customHeight="1">
      <c r="A30" s="513" t="s">
        <v>2707</v>
      </c>
      <c r="C30" s="585" t="e">
        <f>'Part VI-Pro Forma'!H40-'Part VI-Pro Forma'!I40</f>
        <v>#VALUE!</v>
      </c>
      <c r="D30" s="585" t="e">
        <f>'Part VI-Pro Forma'!I40-'Part VI-Pro Forma'!J40</f>
        <v>#VALUE!</v>
      </c>
      <c r="E30" s="585" t="e">
        <f>'Part VI-Pro Forma'!J40-'Part VI-Pro Forma'!K40</f>
        <v>#VALUE!</v>
      </c>
      <c r="F30" s="960" t="e">
        <f>'Part VI-Pro Forma'!K40-'Part VI-Pro Forma'!B72</f>
        <v>#VALUE!</v>
      </c>
      <c r="G30" s="960" t="e">
        <f>'Part VI-Pro Forma'!B72-'Part VI-Pro Forma'!C72</f>
        <v>#VALUE!</v>
      </c>
      <c r="H30" s="960" t="e">
        <f>'Part VI-Pro Forma'!C72-'Part VI-Pro Forma'!D72</f>
        <v>#VALUE!</v>
      </c>
      <c r="I30" s="960" t="e">
        <f>'Part VI-Pro Forma'!D72-'Part VI-Pro Forma'!E72</f>
        <v>#VALUE!</v>
      </c>
    </row>
    <row r="31" spans="1:17" ht="13.5" customHeight="1">
      <c r="A31" s="513" t="s">
        <v>2707</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2726</v>
      </c>
      <c r="O31" s="583">
        <f>O25*O27</f>
        <v>0</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3046</v>
      </c>
      <c r="B33" s="587"/>
      <c r="C33" s="963">
        <f>'Part VI-Pro Forma'!I23</f>
        <v>0</v>
      </c>
      <c r="D33" s="963">
        <f>'Part VI-Pro Forma'!J23</f>
        <v>0</v>
      </c>
      <c r="E33" s="963">
        <f>'Part VI-Pro Forma'!K23</f>
        <v>0</v>
      </c>
      <c r="F33" s="963">
        <f>'Part VI-Pro Forma'!B55</f>
        <v>0</v>
      </c>
      <c r="G33" s="963">
        <f>'Part VI-Pro Forma'!C55</f>
        <v>0</v>
      </c>
      <c r="H33" s="963">
        <f>'Part VI-Pro Forma'!D55</f>
        <v>0</v>
      </c>
      <c r="I33" s="963">
        <f>'Part VI-Pro Forma'!E55</f>
        <v>0</v>
      </c>
      <c r="K33" s="513" t="s">
        <v>233</v>
      </c>
      <c r="M33" s="513" t="s">
        <v>2727</v>
      </c>
      <c r="O33" s="583" t="e">
        <f>O14-O31</f>
        <v>#REF!</v>
      </c>
    </row>
    <row r="34" spans="1:15" ht="13.5" customHeight="1">
      <c r="A34" s="587" t="s">
        <v>3047</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0</v>
      </c>
      <c r="D35" s="588">
        <f t="shared" si="8"/>
        <v>0</v>
      </c>
      <c r="E35" s="588">
        <f t="shared" si="8"/>
        <v>0</v>
      </c>
      <c r="F35" s="588">
        <f t="shared" si="8"/>
        <v>0</v>
      </c>
      <c r="G35" s="588">
        <f t="shared" si="8"/>
        <v>0</v>
      </c>
      <c r="H35" s="588">
        <f t="shared" si="8"/>
        <v>0</v>
      </c>
      <c r="I35" s="588">
        <f t="shared" si="8"/>
        <v>0</v>
      </c>
    </row>
    <row r="36" spans="1:15" ht="13.5" customHeight="1">
      <c r="A36" s="513" t="s">
        <v>2712</v>
      </c>
      <c r="C36" s="583">
        <f>IF(C$28&lt;=$H$4,($E$4/$H$4),0)+IF(C$28&lt;=$H$5,($E$5/$H$5),0)</f>
        <v>0</v>
      </c>
      <c r="D36" s="583">
        <f t="shared" ref="D36:I36" si="9">IF(D$28&lt;=$H$4,($E$4/$H$4),0)+IF(D$28&lt;=$H$5,($E$5/$H$5),0)</f>
        <v>0</v>
      </c>
      <c r="E36" s="583">
        <f t="shared" si="9"/>
        <v>0</v>
      </c>
      <c r="F36" s="583">
        <f t="shared" si="9"/>
        <v>0</v>
      </c>
      <c r="G36" s="583">
        <f t="shared" si="9"/>
        <v>0</v>
      </c>
      <c r="H36" s="583">
        <f t="shared" si="9"/>
        <v>0</v>
      </c>
      <c r="I36" s="583">
        <f t="shared" si="9"/>
        <v>0</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0</v>
      </c>
      <c r="D41" s="589">
        <f>C41</f>
        <v>0</v>
      </c>
      <c r="E41" s="589">
        <f>D41</f>
        <v>0</v>
      </c>
      <c r="F41" s="589">
        <v>0</v>
      </c>
      <c r="G41" s="589">
        <v>0</v>
      </c>
      <c r="H41" s="589">
        <v>0</v>
      </c>
      <c r="I41" s="589">
        <v>0</v>
      </c>
    </row>
    <row r="42" spans="1:15" ht="13.5" customHeight="1">
      <c r="A42" s="513" t="s">
        <v>2719</v>
      </c>
      <c r="C42" s="589">
        <f>C22</f>
        <v>0</v>
      </c>
      <c r="D42" s="589">
        <f>C42</f>
        <v>0</v>
      </c>
      <c r="E42" s="589">
        <f>D42</f>
        <v>0</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0</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t="e">
        <f>'Part VI-Pro Forma'!E72-'Part VI-Pro Forma'!F72</f>
        <v>#VALUE!</v>
      </c>
      <c r="D50" s="961" t="e">
        <f>'Part VI-Pro Forma'!F72-'Part VI-Pro Forma'!G72</f>
        <v>#VALUE!</v>
      </c>
      <c r="E50" s="961" t="e">
        <f>'Part VI-Pro Forma'!G72-'Part VI-Pro Forma'!H72</f>
        <v>#VALUE!</v>
      </c>
      <c r="F50" s="961" t="e">
        <f>'Part VI-Pro Forma'!H72-'Part VI-Pro Forma'!I72</f>
        <v>#VALUE!</v>
      </c>
      <c r="G50" s="961" t="e">
        <f>'Part VI-Pro Forma'!I72-'Part VI-Pro Forma'!J72</f>
        <v>#VALUE!</v>
      </c>
      <c r="H50" s="961" t="e">
        <f>'Part VI-Pro Forma'!J72-'Part VI-Pro Forma'!K72</f>
        <v>#VALUE!</v>
      </c>
    </row>
    <row r="51" spans="1:10" ht="13.5" customHeight="1">
      <c r="A51" s="513" t="s">
        <v>2707</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3046</v>
      </c>
      <c r="B53" s="587"/>
      <c r="C53" s="963">
        <f>'Part VI-Pro Forma'!F55</f>
        <v>0</v>
      </c>
      <c r="D53" s="963">
        <f>'Part VI-Pro Forma'!G55</f>
        <v>0</v>
      </c>
      <c r="E53" s="963">
        <f>'Part VI-Pro Forma'!H55</f>
        <v>0</v>
      </c>
      <c r="F53" s="963">
        <f>'Part VI-Pro Forma'!I55</f>
        <v>0</v>
      </c>
      <c r="G53" s="963">
        <f>'Part VI-Pro Forma'!J55</f>
        <v>0</v>
      </c>
      <c r="H53" s="963">
        <f>'Part VI-Pro Forma'!K55</f>
        <v>0</v>
      </c>
    </row>
    <row r="54" spans="1:10" ht="13.5" customHeight="1">
      <c r="A54" s="587" t="s">
        <v>3047</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0</v>
      </c>
      <c r="D55" s="588">
        <f t="shared" si="14"/>
        <v>0</v>
      </c>
      <c r="E55" s="588">
        <f t="shared" si="14"/>
        <v>0</v>
      </c>
      <c r="F55" s="588">
        <f t="shared" si="14"/>
        <v>0</v>
      </c>
      <c r="G55" s="588">
        <f t="shared" si="14"/>
        <v>0</v>
      </c>
      <c r="H55" s="588">
        <f t="shared" si="14"/>
        <v>0</v>
      </c>
    </row>
    <row r="56" spans="1:10" ht="13.5" customHeight="1">
      <c r="A56" s="513" t="s">
        <v>2712</v>
      </c>
      <c r="C56" s="583">
        <f t="shared" ref="C56:H56" si="15">IF(C$48&lt;=$H$4,($E$4/$H$4),0)+IF(C$48&lt;=$H$5,($E$5/$H$5),0)</f>
        <v>0</v>
      </c>
      <c r="D56" s="583">
        <f t="shared" si="15"/>
        <v>0</v>
      </c>
      <c r="E56" s="583">
        <f t="shared" si="15"/>
        <v>0</v>
      </c>
      <c r="F56" s="583">
        <f t="shared" si="15"/>
        <v>0</v>
      </c>
      <c r="G56" s="583">
        <f t="shared" si="15"/>
        <v>0</v>
      </c>
      <c r="H56" s="583">
        <f t="shared" si="15"/>
        <v>0</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2728</v>
      </c>
      <c r="G66" s="4681" t="e">
        <f>IRR(K5:K25)</f>
        <v>#VALUE!</v>
      </c>
      <c r="H66" s="4682"/>
      <c r="I66" s="594"/>
      <c r="J66" s="594"/>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695312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26953125" style="431"/>
  </cols>
  <sheetData>
    <row r="1" spans="1:11" s="438" customFormat="1" ht="17.649999999999999" customHeight="1">
      <c r="A1" s="4684">
        <f>'Sensitivity Analysis'!C8</f>
        <v>0</v>
      </c>
      <c r="B1" s="4684"/>
      <c r="C1" s="4684"/>
      <c r="D1" s="4684"/>
      <c r="E1" s="4684"/>
      <c r="F1" s="4684"/>
      <c r="G1" s="4684"/>
      <c r="H1" s="4684"/>
      <c r="I1" s="4684"/>
      <c r="J1" s="4684"/>
      <c r="K1" s="4684"/>
    </row>
    <row r="2" spans="1:11" s="438" customFormat="1" ht="17.649999999999999" customHeight="1">
      <c r="A2" s="4683" t="s">
        <v>2878</v>
      </c>
      <c r="B2" s="4683"/>
      <c r="C2" s="4683"/>
      <c r="D2" s="4683"/>
      <c r="E2" s="4683"/>
      <c r="F2" s="4683"/>
      <c r="G2" s="4683"/>
      <c r="H2" s="4683"/>
      <c r="I2" s="4683"/>
      <c r="J2" s="4683"/>
      <c r="K2" s="4683"/>
    </row>
    <row r="3" spans="1:11" ht="9" customHeight="1">
      <c r="A3" s="1390"/>
      <c r="B3" s="1390"/>
      <c r="C3" s="1390"/>
      <c r="D3" s="1390"/>
      <c r="E3" s="1390"/>
      <c r="G3" s="1390"/>
      <c r="H3" s="1390"/>
      <c r="J3" s="1390"/>
      <c r="K3" s="1390"/>
    </row>
    <row r="4" spans="1:11" ht="12.65" customHeight="1">
      <c r="A4" s="4685" t="s">
        <v>3966</v>
      </c>
      <c r="B4" s="4685"/>
      <c r="C4" s="1391"/>
      <c r="D4" s="4685" t="s">
        <v>3967</v>
      </c>
      <c r="E4" s="4685"/>
      <c r="F4" s="520"/>
      <c r="G4" s="4685" t="s">
        <v>3968</v>
      </c>
      <c r="H4" s="4685"/>
      <c r="I4" s="520"/>
      <c r="J4" s="4685" t="s">
        <v>4079</v>
      </c>
      <c r="K4" s="4685"/>
    </row>
    <row r="5" spans="1:11" ht="25.9" customHeight="1">
      <c r="A5" s="4686">
        <f>'Part II-Sources of Funds'!E40</f>
        <v>0</v>
      </c>
      <c r="B5" s="4687"/>
      <c r="C5" s="438"/>
      <c r="D5" s="4686">
        <f>'Part II-Sources of Funds'!E41</f>
        <v>0</v>
      </c>
      <c r="E5" s="4687"/>
      <c r="F5" s="1392"/>
      <c r="G5" s="4686">
        <f>'Part II-Sources of Funds'!E42</f>
        <v>0</v>
      </c>
      <c r="H5" s="4687"/>
      <c r="I5" s="1392"/>
      <c r="J5" s="4686">
        <f>'Part II-Sources of Funds'!E43</f>
        <v>0</v>
      </c>
      <c r="K5" s="4687"/>
    </row>
    <row r="6" spans="1:11" ht="9" customHeight="1"/>
    <row r="7" spans="1:11" ht="15.5">
      <c r="A7" s="966"/>
      <c r="B7" s="966" t="s">
        <v>2729</v>
      </c>
      <c r="D7" s="966"/>
      <c r="E7" s="966" t="s">
        <v>2729</v>
      </c>
      <c r="G7" s="966"/>
      <c r="H7" s="966" t="s">
        <v>2729</v>
      </c>
      <c r="J7" s="966"/>
      <c r="K7" s="966" t="s">
        <v>2729</v>
      </c>
    </row>
    <row r="8" spans="1:11" ht="15.5">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0</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0</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0</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0</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0</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0</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0</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0</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0</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0</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0</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0</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0</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0</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0</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1" customWidth="1"/>
    <col min="2" max="2" width="0.7265625" style="431" customWidth="1"/>
    <col min="3" max="3" width="16.453125" style="431" customWidth="1"/>
    <col min="4" max="4" width="18.26953125" style="431" customWidth="1"/>
    <col min="5" max="5" width="16.453125" style="431" customWidth="1"/>
    <col min="6" max="6" width="13.26953125" style="431" customWidth="1"/>
    <col min="7" max="7" width="14.453125" style="431" customWidth="1"/>
    <col min="8" max="8" width="5.7265625" style="431" customWidth="1"/>
    <col min="9" max="16384" width="9.26953125" style="431"/>
  </cols>
  <sheetData>
    <row r="1" spans="1:11" ht="12" customHeight="1">
      <c r="A1" s="4688" t="str">
        <f>CONCATENATE('Sensitivity Analysis'!E8,"  ",'Sensitivity Analysis'!C8)</f>
        <v>2024-5  0</v>
      </c>
      <c r="B1" s="4688"/>
      <c r="C1" s="4688"/>
      <c r="D1" s="4688"/>
      <c r="E1" s="4688"/>
      <c r="F1" s="4688"/>
      <c r="G1" s="4688"/>
      <c r="H1" s="4688"/>
    </row>
    <row r="3" spans="1:11" ht="12" customHeight="1">
      <c r="A3" s="4689" t="s">
        <v>3021</v>
      </c>
      <c r="B3" s="4689"/>
      <c r="C3" s="4689"/>
      <c r="D3" s="4689"/>
      <c r="E3" s="4689"/>
      <c r="F3" s="4689"/>
      <c r="G3" s="4689"/>
      <c r="H3" s="4689"/>
      <c r="I3" s="1006"/>
      <c r="J3" s="4691" t="s">
        <v>3372</v>
      </c>
      <c r="K3" s="4691"/>
    </row>
    <row r="4" spans="1:11">
      <c r="J4" s="4691"/>
      <c r="K4" s="4691"/>
    </row>
    <row r="5" spans="1:11" ht="12" customHeight="1">
      <c r="A5" s="431">
        <v>1</v>
      </c>
      <c r="C5" s="431" t="s">
        <v>2731</v>
      </c>
      <c r="E5" s="608">
        <f>'Sensitivity Analysis'!H9</f>
        <v>0</v>
      </c>
      <c r="J5" s="4691"/>
      <c r="K5" s="4691"/>
    </row>
    <row r="6" spans="1:11" ht="3" customHeight="1">
      <c r="H6" s="599"/>
      <c r="J6" s="4691"/>
      <c r="K6" s="4691"/>
    </row>
    <row r="7" spans="1:11" ht="12" customHeight="1">
      <c r="A7" s="431">
        <v>2</v>
      </c>
      <c r="C7" s="431" t="s">
        <v>2732</v>
      </c>
      <c r="E7" s="4692"/>
      <c r="F7" s="4692"/>
      <c r="G7" s="4692"/>
      <c r="H7" s="4692"/>
      <c r="J7" s="4691"/>
      <c r="K7" s="4691"/>
    </row>
    <row r="8" spans="1:11" ht="12" customHeight="1">
      <c r="E8" s="4692"/>
      <c r="F8" s="4692"/>
      <c r="G8" s="4692"/>
      <c r="H8" s="4692"/>
      <c r="J8" s="4691"/>
      <c r="K8" s="4691"/>
    </row>
    <row r="9" spans="1:11" ht="12" customHeight="1">
      <c r="C9" s="431" t="s">
        <v>2733</v>
      </c>
      <c r="E9" s="4690"/>
      <c r="F9" s="4690"/>
      <c r="J9" s="4691"/>
      <c r="K9" s="4691"/>
    </row>
    <row r="10" spans="1:11" ht="12" customHeight="1">
      <c r="C10" s="431" t="s">
        <v>2734</v>
      </c>
      <c r="E10" s="4692"/>
      <c r="F10" s="4692"/>
      <c r="G10" s="4692"/>
      <c r="H10" s="4692"/>
    </row>
    <row r="11" spans="1:11" ht="12" customHeight="1">
      <c r="C11" s="431" t="s">
        <v>3377</v>
      </c>
      <c r="E11" s="4692"/>
      <c r="F11" s="4692"/>
      <c r="G11" s="4692"/>
      <c r="H11" s="4692"/>
    </row>
    <row r="12" spans="1:11" ht="12" customHeight="1">
      <c r="C12" s="431" t="s">
        <v>3373</v>
      </c>
      <c r="E12" s="1900"/>
    </row>
    <row r="13" spans="1:11" ht="12" customHeight="1">
      <c r="C13" s="431" t="s">
        <v>3376</v>
      </c>
      <c r="E13" s="1900"/>
    </row>
    <row r="14" spans="1:11" ht="3" customHeight="1"/>
    <row r="15" spans="1:11" ht="12" customHeight="1">
      <c r="A15" s="431">
        <v>3</v>
      </c>
      <c r="C15" s="431" t="s">
        <v>2735</v>
      </c>
      <c r="E15" s="608">
        <f>'Sensitivity Analysis'!C8</f>
        <v>0</v>
      </c>
    </row>
    <row r="16" spans="1:11" ht="12" customHeight="1">
      <c r="C16" s="431" t="s">
        <v>2736</v>
      </c>
      <c r="E16" s="4692"/>
      <c r="F16" s="4692"/>
      <c r="G16" s="4692"/>
      <c r="H16" s="4692"/>
    </row>
    <row r="17" spans="1:8" ht="12" customHeight="1">
      <c r="E17" s="437" t="str">
        <f>'Part I-Project Identification'!F27</f>
        <v>&lt;&lt; Select from list &gt;&gt;</v>
      </c>
      <c r="F17" s="598" t="s">
        <v>790</v>
      </c>
      <c r="G17" s="4693" t="s">
        <v>4645</v>
      </c>
      <c r="H17" s="4693"/>
    </row>
    <row r="18" spans="1:8" ht="12" customHeight="1">
      <c r="E18" s="608" t="str">
        <f>'Part I-Project Identification'!J27</f>
        <v>Select City first</v>
      </c>
    </row>
    <row r="19" spans="1:8" ht="3" customHeight="1"/>
    <row r="20" spans="1:8" ht="12" customHeight="1">
      <c r="A20" s="431">
        <v>4</v>
      </c>
      <c r="C20" s="431" t="s">
        <v>2737</v>
      </c>
      <c r="E20" s="4692"/>
      <c r="F20" s="4692"/>
      <c r="G20" s="4692"/>
      <c r="H20" s="4692"/>
    </row>
    <row r="21" spans="1:8" ht="12" customHeight="1">
      <c r="C21" s="431" t="s">
        <v>2738</v>
      </c>
      <c r="E21" s="4692"/>
      <c r="F21" s="4692"/>
      <c r="G21" s="4692"/>
      <c r="H21" s="4692"/>
    </row>
    <row r="22" spans="1:8" ht="12" customHeight="1">
      <c r="E22" s="4692"/>
      <c r="F22" s="4692"/>
      <c r="G22" s="4692"/>
      <c r="H22" s="4692"/>
    </row>
    <row r="23" spans="1:8" ht="12" customHeight="1">
      <c r="C23" s="431" t="s">
        <v>3373</v>
      </c>
      <c r="E23" s="1900"/>
    </row>
    <row r="24" spans="1:8" ht="12" customHeight="1">
      <c r="C24" s="431" t="s">
        <v>3376</v>
      </c>
      <c r="E24" s="1900"/>
    </row>
    <row r="25" spans="1:8" ht="12" customHeight="1">
      <c r="C25" s="431" t="s">
        <v>3377</v>
      </c>
      <c r="E25" s="4692"/>
      <c r="F25" s="4692"/>
      <c r="G25" s="4692"/>
      <c r="H25" s="4692"/>
    </row>
    <row r="26" spans="1:8" ht="3" customHeight="1">
      <c r="E26" s="608"/>
    </row>
    <row r="27" spans="1:8" ht="12" customHeight="1">
      <c r="A27" s="431">
        <v>5</v>
      </c>
      <c r="C27" s="431" t="s">
        <v>2739</v>
      </c>
      <c r="E27" s="608" t="str">
        <f>'Sensitivity Analysis'!$H$7</f>
        <v/>
      </c>
    </row>
    <row r="28" spans="1:8" ht="12" customHeight="1">
      <c r="E28" s="608" t="str">
        <f>'Part I-Project Identification'!F12</f>
        <v>&lt;&lt; Select an Application Type &gt;&gt;</v>
      </c>
    </row>
    <row r="29" spans="1:8" ht="12" customHeight="1">
      <c r="C29" s="431" t="s">
        <v>3020</v>
      </c>
      <c r="E29" s="431" t="str">
        <f>'Sensitivity Analysis'!$C$9</f>
        <v>&lt;&lt;Select&gt;&gt;</v>
      </c>
    </row>
    <row r="30" spans="1:8" ht="3" customHeight="1"/>
    <row r="31" spans="1:8" ht="12" customHeight="1">
      <c r="A31" s="431">
        <v>6</v>
      </c>
      <c r="C31" s="431" t="s">
        <v>2740</v>
      </c>
      <c r="E31" s="431" t="s">
        <v>2212</v>
      </c>
      <c r="F31" s="1007">
        <f>'Part II-Sources of Funds'!L22</f>
        <v>0</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0</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92"/>
      <c r="F48" s="4692"/>
      <c r="G48" s="4692"/>
      <c r="H48" s="4692"/>
    </row>
    <row r="49" spans="1:8" ht="3" customHeight="1">
      <c r="E49" s="608"/>
    </row>
    <row r="50" spans="1:8" ht="12" customHeight="1">
      <c r="A50" s="431">
        <v>15</v>
      </c>
      <c r="C50" s="431" t="s">
        <v>3379</v>
      </c>
      <c r="E50" s="4692"/>
      <c r="F50" s="4692"/>
      <c r="G50" s="4692"/>
      <c r="H50" s="4692"/>
    </row>
    <row r="51" spans="1:8" ht="12" customHeight="1">
      <c r="C51" s="431" t="s">
        <v>2755</v>
      </c>
      <c r="E51" s="4692"/>
      <c r="F51" s="4692"/>
      <c r="G51" s="4692"/>
      <c r="H51" s="4692"/>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3378</v>
      </c>
    </row>
    <row r="58" spans="1:8" ht="3" customHeight="1">
      <c r="F58" s="603"/>
    </row>
    <row r="59" spans="1:8" ht="12" customHeight="1">
      <c r="A59" s="431">
        <v>19</v>
      </c>
      <c r="C59" s="431" t="s">
        <v>2759</v>
      </c>
      <c r="F59" s="1470">
        <f>'Part VII-Threshold Criteria OLD'!$P$44</f>
        <v>0</v>
      </c>
      <c r="G59" s="431" t="s">
        <v>3022</v>
      </c>
    </row>
    <row r="60" spans="1:8" ht="3" customHeight="1">
      <c r="F60" s="603"/>
    </row>
    <row r="61" spans="1:8" ht="12" customHeight="1">
      <c r="A61" s="431">
        <v>20</v>
      </c>
      <c r="C61" s="431" t="s">
        <v>2760</v>
      </c>
      <c r="F61" s="1014" t="str">
        <f>'Subsidy Layering Memo'!$L$70</f>
        <v/>
      </c>
    </row>
    <row r="62" spans="1:8" ht="3" customHeight="1"/>
    <row r="63" spans="1:8" ht="12" customHeight="1">
      <c r="A63" s="431">
        <v>21</v>
      </c>
      <c r="C63" s="431" t="s">
        <v>3037</v>
      </c>
      <c r="E63" s="1015" t="s">
        <v>3023</v>
      </c>
      <c r="F63" s="1016" t="s">
        <v>3024</v>
      </c>
      <c r="G63" s="1015" t="s">
        <v>2761</v>
      </c>
    </row>
    <row r="64" spans="1:8" ht="12" customHeight="1">
      <c r="E64" s="1015" t="s">
        <v>3023</v>
      </c>
      <c r="F64" s="1016" t="s">
        <v>3024</v>
      </c>
      <c r="G64" s="1015" t="s">
        <v>4063</v>
      </c>
    </row>
    <row r="65" spans="1:7" ht="12" customHeight="1">
      <c r="E65" s="1015" t="s">
        <v>3023</v>
      </c>
      <c r="F65" s="1016" t="s">
        <v>3024</v>
      </c>
      <c r="G65" s="1015" t="s">
        <v>4064</v>
      </c>
    </row>
    <row r="66" spans="1:7" ht="12" customHeight="1">
      <c r="E66" s="1015" t="s">
        <v>3023</v>
      </c>
      <c r="F66" s="1016" t="s">
        <v>3024</v>
      </c>
      <c r="G66" s="1015" t="s">
        <v>4065</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0</v>
      </c>
    </row>
    <row r="75" spans="1:7" ht="3" customHeight="1">
      <c r="F75" s="1017"/>
    </row>
    <row r="76" spans="1:7" ht="12" customHeight="1">
      <c r="A76" s="431">
        <v>26</v>
      </c>
      <c r="C76" s="431" t="s">
        <v>2767</v>
      </c>
      <c r="F76" s="1017">
        <f>'Part III-A-Uses of Funds'!$G$132</f>
        <v>0</v>
      </c>
    </row>
    <row r="77" spans="1:7" ht="3" customHeight="1">
      <c r="F77" s="1017"/>
    </row>
    <row r="78" spans="1:7" ht="12" customHeight="1">
      <c r="A78" s="431">
        <v>27</v>
      </c>
      <c r="C78" s="431" t="s">
        <v>2768</v>
      </c>
      <c r="F78" s="1017">
        <f>'Part III-A-Uses of Funds'!$G$130</f>
        <v>0</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6953125" defaultRowHeight="12.5"/>
  <cols>
    <col min="1" max="1" width="23.54296875" style="431" customWidth="1"/>
    <col min="2" max="2" width="11" style="431" customWidth="1"/>
    <col min="3" max="3" width="31" style="431" customWidth="1"/>
    <col min="4" max="4" width="14" style="431" customWidth="1"/>
    <col min="5" max="10" width="11.26953125" style="431" customWidth="1"/>
    <col min="11" max="16384" width="9.26953125" style="431"/>
  </cols>
  <sheetData>
    <row r="1" spans="1:13" ht="14">
      <c r="A1" s="4697" t="s">
        <v>2894</v>
      </c>
      <c r="B1" s="4697"/>
      <c r="C1" s="4697"/>
      <c r="D1" s="4697"/>
      <c r="E1" s="4697"/>
      <c r="F1" s="4697"/>
      <c r="G1" s="4697"/>
      <c r="H1" s="4697"/>
      <c r="I1" s="4697"/>
      <c r="J1" s="4697"/>
    </row>
    <row r="2" spans="1:13" ht="14">
      <c r="A2" s="4697" t="str">
        <f>'Sensitivity Analysis'!E8&amp;"  "&amp;'Sensitivity Analysis'!C8</f>
        <v>2024-5  0</v>
      </c>
      <c r="B2" s="4697"/>
      <c r="C2" s="4697"/>
      <c r="D2" s="4697"/>
      <c r="E2" s="4697"/>
      <c r="F2" s="4697"/>
      <c r="G2" s="4697"/>
      <c r="H2" s="4697"/>
      <c r="I2" s="4697"/>
      <c r="J2" s="4697"/>
    </row>
    <row r="3" spans="1:13" ht="6" customHeight="1">
      <c r="K3" s="4691" t="s">
        <v>3372</v>
      </c>
      <c r="L3" s="4691"/>
      <c r="M3" s="4691"/>
    </row>
    <row r="4" spans="1:13" ht="12" customHeight="1">
      <c r="A4" s="601" t="s">
        <v>2770</v>
      </c>
      <c r="K4" s="4691"/>
      <c r="L4" s="4691"/>
      <c r="M4" s="4691"/>
    </row>
    <row r="5" spans="1:13" ht="12" customHeight="1">
      <c r="A5" s="431" t="s">
        <v>2771</v>
      </c>
      <c r="C5" s="549" t="str">
        <f>'Subsidy Layering Memo'!D6</f>
        <v>(Underwriter)</v>
      </c>
      <c r="I5" s="549"/>
      <c r="K5" s="4691"/>
      <c r="L5" s="4691"/>
      <c r="M5" s="4691"/>
    </row>
    <row r="6" spans="1:13" ht="6" customHeight="1">
      <c r="C6" s="549"/>
      <c r="D6" s="549"/>
      <c r="I6" s="549"/>
      <c r="K6" s="4691"/>
      <c r="L6" s="4691"/>
      <c r="M6" s="4691"/>
    </row>
    <row r="7" spans="1:13" ht="12" customHeight="1">
      <c r="A7" s="601" t="s">
        <v>2772</v>
      </c>
      <c r="C7" s="549"/>
      <c r="D7" s="549"/>
      <c r="I7" s="549"/>
      <c r="K7" s="4691"/>
      <c r="L7" s="4691"/>
      <c r="M7" s="4691"/>
    </row>
    <row r="8" spans="1:13" ht="12" customHeight="1">
      <c r="A8" s="431" t="s">
        <v>2773</v>
      </c>
      <c r="C8" s="549">
        <f>'Sensitivity Analysis'!$H$9</f>
        <v>0</v>
      </c>
      <c r="I8" s="549"/>
      <c r="K8" s="4691"/>
      <c r="L8" s="4691"/>
      <c r="M8" s="4691"/>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96"/>
      <c r="E13" s="4696"/>
      <c r="F13" s="4696"/>
      <c r="G13" s="4696"/>
      <c r="H13" s="4696"/>
      <c r="I13" s="4696"/>
      <c r="J13" s="4696"/>
    </row>
    <row r="14" spans="1:13" ht="3" customHeight="1">
      <c r="G14" s="549"/>
      <c r="H14" s="549"/>
      <c r="I14" s="549"/>
    </row>
    <row r="15" spans="1:13" ht="12" customHeight="1">
      <c r="A15" s="431" t="s">
        <v>2776</v>
      </c>
      <c r="C15" s="602">
        <f>'Preview term'!E10</f>
        <v>0</v>
      </c>
      <c r="G15" s="549"/>
      <c r="I15" s="549"/>
    </row>
    <row r="16" spans="1:13" ht="12" customHeight="1">
      <c r="A16" s="608" t="s">
        <v>3545</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f>'Sensitivity Analysis'!$C$8</f>
        <v>0</v>
      </c>
      <c r="I28" s="549"/>
    </row>
    <row r="29" spans="1:9" ht="3" customHeight="1">
      <c r="C29" s="602"/>
      <c r="I29" s="549"/>
    </row>
    <row r="30" spans="1:9" ht="12" customHeight="1">
      <c r="A30" s="431" t="s">
        <v>2783</v>
      </c>
      <c r="C30" s="602">
        <f>'Preview term'!E16</f>
        <v>0</v>
      </c>
      <c r="I30" s="549"/>
    </row>
    <row r="31" spans="1:9" ht="13">
      <c r="C31" s="549" t="str">
        <f>'Preview term'!E17</f>
        <v>&lt;&lt; Select from list &gt;&gt;</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2" t="e">
        <f>D35-D33</f>
        <v>#VALUE!</v>
      </c>
      <c r="I34" s="549"/>
    </row>
    <row r="35" spans="1:10" ht="12" customHeight="1">
      <c r="C35" s="549" t="s">
        <v>2787</v>
      </c>
      <c r="D35" s="2393">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4066</v>
      </c>
      <c r="C39" s="4698" t="str">
        <f>_xlfn.CONCAT('Part VII-Threshold Criteria OLD'!K192," and ",'Part VII-Threshold Criteria OLD'!K193)</f>
        <v>&lt;&lt;Select&gt;&gt; and &lt;&lt;Select&gt;&gt;</v>
      </c>
      <c r="D39" s="4698"/>
      <c r="E39" s="4698"/>
      <c r="F39" s="4698"/>
      <c r="G39" s="4698"/>
      <c r="H39" s="4698"/>
      <c r="I39" s="4698"/>
      <c r="J39" s="4698"/>
    </row>
    <row r="40" spans="1:10" ht="25.5" customHeight="1">
      <c r="A40" s="605" t="s">
        <v>4067</v>
      </c>
      <c r="C40" s="469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8"/>
      <c r="E40" s="4698"/>
      <c r="F40" s="4698"/>
      <c r="G40" s="4698"/>
      <c r="H40" s="4698"/>
      <c r="I40" s="4698"/>
      <c r="J40" s="4698"/>
    </row>
    <row r="41" spans="1:10" ht="3" customHeight="1">
      <c r="G41" s="549"/>
      <c r="H41" s="549"/>
      <c r="I41" s="549"/>
    </row>
    <row r="42" spans="1:10" ht="25.5" customHeight="1">
      <c r="A42" s="605" t="s">
        <v>2790</v>
      </c>
      <c r="C42" s="4698" t="s">
        <v>3025</v>
      </c>
      <c r="D42" s="4698"/>
      <c r="E42" s="4698"/>
      <c r="F42" s="4698"/>
      <c r="G42" s="4698"/>
      <c r="H42" s="4698"/>
      <c r="I42" s="4698"/>
      <c r="J42" s="4698"/>
    </row>
    <row r="43" spans="1:10" ht="3" customHeight="1">
      <c r="C43" s="437"/>
      <c r="D43" s="437"/>
      <c r="E43" s="437"/>
      <c r="F43" s="437"/>
      <c r="G43" s="437"/>
      <c r="H43" s="438"/>
      <c r="I43" s="438"/>
      <c r="J43" s="438"/>
    </row>
    <row r="44" spans="1:10" ht="12" customHeight="1">
      <c r="A44" s="431" t="s">
        <v>2791</v>
      </c>
      <c r="C44" s="503" t="str">
        <f>'Part I-Project Identification'!J27</f>
        <v>Select City first</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698" t="s">
        <v>532</v>
      </c>
      <c r="D50" s="4698"/>
      <c r="E50" s="4698"/>
      <c r="F50" s="4698"/>
      <c r="G50" s="4698"/>
      <c r="H50" s="4698"/>
      <c r="I50" s="4698"/>
      <c r="J50" s="4698"/>
    </row>
    <row r="51" spans="1:10" ht="12" customHeight="1">
      <c r="C51" s="4700" t="s">
        <v>1672</v>
      </c>
      <c r="D51" s="4700"/>
      <c r="E51" s="4700"/>
      <c r="F51" s="4700"/>
      <c r="G51" s="4700"/>
      <c r="H51" s="4700"/>
      <c r="I51" s="4700"/>
      <c r="J51" s="4700"/>
    </row>
    <row r="52" spans="1:10" ht="3" customHeight="1">
      <c r="D52" s="606"/>
      <c r="E52" s="606"/>
      <c r="F52" s="606"/>
      <c r="G52" s="606"/>
      <c r="H52" s="549"/>
      <c r="I52" s="606"/>
      <c r="J52" s="606"/>
    </row>
    <row r="53" spans="1:10" ht="12" customHeight="1">
      <c r="A53" s="605" t="s">
        <v>2795</v>
      </c>
      <c r="B53" s="605"/>
      <c r="C53" s="607" t="s">
        <v>2796</v>
      </c>
      <c r="D53" s="607" t="s">
        <v>3026</v>
      </c>
      <c r="E53" s="4701"/>
      <c r="F53" s="4701"/>
      <c r="G53" s="4701"/>
      <c r="H53" s="4701"/>
      <c r="I53" s="4701"/>
      <c r="J53" s="4701"/>
    </row>
    <row r="54" spans="1:10" ht="12" customHeight="1">
      <c r="A54" s="605"/>
      <c r="B54" s="605"/>
      <c r="C54" s="605"/>
      <c r="D54" s="607" t="s">
        <v>3027</v>
      </c>
      <c r="E54" s="4702"/>
      <c r="F54" s="4702"/>
      <c r="G54" s="4702"/>
      <c r="H54" s="4702"/>
      <c r="I54" s="4702"/>
      <c r="J54" s="4702"/>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0</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96"/>
      <c r="E69" s="4696"/>
      <c r="F69" s="4696"/>
      <c r="G69" s="4696"/>
      <c r="H69" s="4696"/>
      <c r="I69" s="4696"/>
      <c r="J69" s="4696"/>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3049</v>
      </c>
      <c r="D78" s="612">
        <v>24</v>
      </c>
      <c r="I78" s="549"/>
    </row>
    <row r="79" spans="1:10" ht="3" customHeight="1">
      <c r="D79" s="608"/>
      <c r="E79" s="549"/>
      <c r="F79" s="549"/>
      <c r="I79" s="549"/>
    </row>
    <row r="80" spans="1:10" ht="12" customHeight="1">
      <c r="A80" s="431" t="s">
        <v>2814</v>
      </c>
      <c r="C80" s="431" t="s">
        <v>2212</v>
      </c>
      <c r="D80" s="612">
        <f>'Preview term'!F40</f>
        <v>0</v>
      </c>
      <c r="E80" s="549" t="s">
        <v>3030</v>
      </c>
      <c r="I80" s="549"/>
    </row>
    <row r="81" spans="1:9" ht="3" customHeight="1">
      <c r="D81" s="608"/>
      <c r="G81" s="549"/>
      <c r="H81" s="549"/>
      <c r="I81" s="549"/>
    </row>
    <row r="82" spans="1:9" ht="12" customHeight="1">
      <c r="A82" s="431" t="s">
        <v>2815</v>
      </c>
      <c r="D82" s="975">
        <v>0</v>
      </c>
      <c r="E82" s="613">
        <f>D82*12</f>
        <v>0</v>
      </c>
      <c r="F82" s="549" t="s">
        <v>3050</v>
      </c>
    </row>
    <row r="83" spans="1:9" ht="3" customHeight="1">
      <c r="D83" s="602"/>
      <c r="E83" s="549"/>
      <c r="G83" s="549"/>
    </row>
    <row r="84" spans="1:9" ht="12" customHeight="1">
      <c r="A84" s="431" t="s">
        <v>2816</v>
      </c>
      <c r="D84" s="1005" t="s">
        <v>905</v>
      </c>
      <c r="E84" s="549" t="s">
        <v>4068</v>
      </c>
      <c r="G84" s="549"/>
    </row>
    <row r="85" spans="1:9" ht="3" customHeight="1">
      <c r="G85" s="549"/>
      <c r="H85" s="549"/>
      <c r="I85" s="549"/>
    </row>
    <row r="86" spans="1:9" ht="12" customHeight="1">
      <c r="A86" s="431" t="s">
        <v>2817</v>
      </c>
      <c r="C86" s="1472" t="str">
        <f>'Subsidy Layering Memo'!L70</f>
        <v/>
      </c>
      <c r="D86" s="615" t="s">
        <v>3028</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f>'Part II-Sources of Funds'!H22</f>
        <v>0</v>
      </c>
      <c r="I93" s="549"/>
    </row>
    <row r="94" spans="1:9" ht="12" customHeight="1">
      <c r="C94" s="608"/>
      <c r="D94" s="549"/>
      <c r="E94" s="608" t="s">
        <v>1665</v>
      </c>
      <c r="F94" s="4692"/>
      <c r="G94" s="4692"/>
      <c r="H94" s="4692"/>
      <c r="I94" s="549"/>
    </row>
    <row r="95" spans="1:9" ht="12" customHeight="1">
      <c r="C95" s="608"/>
      <c r="D95" s="549"/>
      <c r="E95" s="608" t="s">
        <v>1835</v>
      </c>
      <c r="F95" s="4703"/>
      <c r="G95" s="4703"/>
      <c r="H95" s="4703"/>
      <c r="I95" s="549"/>
    </row>
    <row r="96" spans="1:9" ht="12" customHeight="1">
      <c r="C96" s="608"/>
      <c r="D96" s="549"/>
      <c r="E96" s="608" t="s">
        <v>1667</v>
      </c>
      <c r="F96" s="4690"/>
      <c r="G96" s="4690"/>
      <c r="H96" s="4690"/>
      <c r="I96" s="549"/>
    </row>
    <row r="97" spans="1:10" ht="12" customHeight="1">
      <c r="B97" s="603"/>
      <c r="C97" s="610" t="s">
        <v>2906</v>
      </c>
      <c r="D97" s="549" t="s">
        <v>2823</v>
      </c>
      <c r="E97" s="608">
        <f>'Part II-Sources of Funds'!E40</f>
        <v>0</v>
      </c>
      <c r="I97" s="549"/>
    </row>
    <row r="98" spans="1:10" ht="12" customHeight="1">
      <c r="C98" s="608"/>
      <c r="D98" s="549"/>
      <c r="E98" s="608" t="s">
        <v>1665</v>
      </c>
      <c r="F98" s="4692"/>
      <c r="G98" s="4692"/>
      <c r="H98" s="4692"/>
      <c r="I98" s="549"/>
    </row>
    <row r="99" spans="1:10" ht="12" customHeight="1">
      <c r="C99" s="608"/>
      <c r="D99" s="549"/>
      <c r="E99" s="608" t="s">
        <v>1835</v>
      </c>
      <c r="F99" s="4703"/>
      <c r="G99" s="4703"/>
      <c r="H99" s="4703"/>
      <c r="I99" s="549"/>
    </row>
    <row r="100" spans="1:10" ht="12" customHeight="1">
      <c r="C100" s="608"/>
      <c r="D100" s="549"/>
      <c r="E100" s="608" t="s">
        <v>1667</v>
      </c>
      <c r="F100" s="4690"/>
      <c r="G100" s="4690"/>
      <c r="H100" s="4690"/>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3029</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704"/>
      <c r="E107" s="4704"/>
      <c r="F107" s="4704"/>
      <c r="G107" s="4704"/>
      <c r="H107" s="4704"/>
      <c r="I107" s="4704"/>
      <c r="J107" s="4705"/>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4069</v>
      </c>
      <c r="I114" s="549"/>
    </row>
    <row r="115" spans="1:10" ht="12" customHeight="1">
      <c r="C115" s="602" t="s">
        <v>4070</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95" t="s">
        <v>4071</v>
      </c>
      <c r="F120" s="4695"/>
      <c r="G120" s="4695"/>
      <c r="H120" s="4695"/>
      <c r="I120" s="4695"/>
      <c r="J120" s="4695"/>
    </row>
    <row r="121" spans="1:10" ht="12" customHeight="1">
      <c r="C121" s="549" t="s">
        <v>2834</v>
      </c>
      <c r="D121" s="980"/>
      <c r="E121" s="4695"/>
      <c r="F121" s="4695"/>
      <c r="G121" s="4695"/>
      <c r="H121" s="4695"/>
      <c r="I121" s="4695"/>
      <c r="J121" s="4695"/>
    </row>
    <row r="122" spans="1:10" ht="12" customHeight="1">
      <c r="C122" s="549" t="s">
        <v>2835</v>
      </c>
      <c r="D122" s="980"/>
      <c r="E122" s="4695"/>
      <c r="F122" s="4695"/>
      <c r="G122" s="4695"/>
      <c r="H122" s="4695"/>
      <c r="I122" s="4695"/>
      <c r="J122" s="4695"/>
    </row>
    <row r="123" spans="1:10" ht="12" customHeight="1">
      <c r="C123" s="549" t="s">
        <v>2835</v>
      </c>
      <c r="D123" s="980"/>
      <c r="E123" s="4695"/>
      <c r="F123" s="4695"/>
      <c r="G123" s="4695"/>
      <c r="H123" s="4695"/>
      <c r="I123" s="4695"/>
      <c r="J123" s="4695"/>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0</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ht="13">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3031</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&lt;Select&gt;</v>
      </c>
      <c r="D160" s="549" t="s">
        <v>3051</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3032</v>
      </c>
      <c r="E166" s="4696"/>
      <c r="F166" s="4696"/>
      <c r="G166" s="4696"/>
      <c r="I166" s="549"/>
    </row>
    <row r="167" spans="1:9" ht="3" customHeight="1">
      <c r="E167" s="549"/>
      <c r="G167" s="549"/>
      <c r="I167" s="549"/>
    </row>
    <row r="168" spans="1:9" ht="12" customHeight="1">
      <c r="A168" s="431" t="s">
        <v>2858</v>
      </c>
      <c r="C168" s="431" t="s">
        <v>2859</v>
      </c>
      <c r="E168" s="620">
        <f>'Preview term'!F74</f>
        <v>0</v>
      </c>
      <c r="G168" s="549"/>
      <c r="I168" s="549"/>
    </row>
    <row r="169" spans="1:9" ht="12" customHeight="1">
      <c r="C169" s="431" t="s">
        <v>3032</v>
      </c>
      <c r="E169" s="4696"/>
      <c r="F169" s="4696"/>
      <c r="G169" s="4696"/>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0</v>
      </c>
      <c r="G172" s="549"/>
      <c r="I172" s="549"/>
    </row>
    <row r="173" spans="1:9" ht="12" customHeight="1">
      <c r="C173" s="431" t="s">
        <v>2861</v>
      </c>
      <c r="E173" s="620">
        <f>'Preview term'!F76</f>
        <v>0</v>
      </c>
      <c r="G173" s="549"/>
      <c r="I173" s="549"/>
    </row>
    <row r="174" spans="1:9" ht="12" customHeight="1">
      <c r="C174" s="431" t="s">
        <v>2862</v>
      </c>
      <c r="E174" s="620">
        <f>'Part V-Revenues &amp; Expenses'!Q238</f>
        <v>0</v>
      </c>
      <c r="F174" s="549" t="s">
        <v>2863</v>
      </c>
    </row>
    <row r="175" spans="1:9" ht="13">
      <c r="E175" s="620">
        <f>E174/12</f>
        <v>0</v>
      </c>
      <c r="F175" s="549" t="s">
        <v>2729</v>
      </c>
    </row>
    <row r="176" spans="1:9" ht="12" customHeight="1">
      <c r="C176" s="431" t="s">
        <v>3033</v>
      </c>
      <c r="E176" s="4696"/>
      <c r="F176" s="4696"/>
      <c r="G176" s="4696"/>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96"/>
      <c r="G181" s="4696"/>
      <c r="H181" s="4696"/>
      <c r="I181" s="4696"/>
      <c r="J181" s="4696"/>
    </row>
    <row r="182" spans="1:10" ht="12" customHeight="1">
      <c r="C182" s="431" t="s">
        <v>3034</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0</v>
      </c>
      <c r="G185" s="549"/>
      <c r="I185" s="549"/>
    </row>
    <row r="186" spans="1:10" ht="12" customHeight="1">
      <c r="C186" s="431" t="s">
        <v>3032</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3032</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ht="13">
      <c r="A199" s="605" t="s">
        <v>3036</v>
      </c>
      <c r="B199" s="605"/>
      <c r="C199" s="605"/>
      <c r="D199" s="605"/>
      <c r="E199" s="607" t="s">
        <v>3035</v>
      </c>
      <c r="F199" s="4694">
        <f>'Part VII-Threshold Criteria OLD'!E372</f>
        <v>0</v>
      </c>
      <c r="G199" s="4694"/>
      <c r="H199" s="4694"/>
      <c r="I199" s="4694"/>
      <c r="J199" s="4694"/>
    </row>
    <row r="200" spans="1:10" ht="9" customHeight="1">
      <c r="G200" s="549"/>
      <c r="H200" s="549"/>
      <c r="I200" s="549"/>
    </row>
    <row r="201" spans="1:10" ht="12" customHeight="1">
      <c r="A201" s="622" t="s">
        <v>2895</v>
      </c>
      <c r="G201" s="549"/>
      <c r="H201" s="549"/>
      <c r="I201" s="613"/>
    </row>
    <row r="202" spans="1:10" ht="25.5" hidden="1" customHeight="1">
      <c r="A202" s="4699" t="str">
        <f>'Subsidy Layering Memo'!A105</f>
        <v>Include any reserve requirements; explain any reserves far in excess of 6 month ODR, 3 mo lease up, 1 year RR, 6 mo T&amp;I standards.</v>
      </c>
      <c r="B202" s="4699"/>
      <c r="C202" s="4699"/>
      <c r="D202" s="4699"/>
      <c r="E202" s="4699"/>
      <c r="F202" s="4699"/>
      <c r="G202" s="4699"/>
      <c r="H202" s="4699"/>
      <c r="I202" s="4699"/>
      <c r="J202" s="4699"/>
    </row>
    <row r="203" spans="1:10" ht="13">
      <c r="A203" s="549"/>
      <c r="G203" s="549"/>
      <c r="H203" s="549"/>
      <c r="I203" s="549"/>
    </row>
    <row r="204" spans="1:10" s="513" customFormat="1" ht="14">
      <c r="A204" s="519" t="s">
        <v>4058</v>
      </c>
    </row>
    <row r="205" spans="1:10" s="513" customFormat="1" ht="14.25" customHeight="1">
      <c r="A205" s="46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7"/>
      <c r="C205" s="4657"/>
      <c r="D205" s="4657"/>
      <c r="E205" s="4657"/>
      <c r="F205" s="4657"/>
      <c r="G205" s="4657"/>
      <c r="H205" s="4657"/>
      <c r="I205" s="4657"/>
      <c r="J205" s="4657"/>
    </row>
    <row r="206" spans="1:10" s="513" customFormat="1" ht="14.25" customHeight="1">
      <c r="A206" s="4657"/>
      <c r="B206" s="4657"/>
      <c r="C206" s="4657"/>
      <c r="D206" s="4657"/>
      <c r="E206" s="4657"/>
      <c r="F206" s="4657"/>
      <c r="G206" s="4657"/>
      <c r="H206" s="4657"/>
      <c r="I206" s="4657"/>
      <c r="J206" s="4657"/>
    </row>
    <row r="207" spans="1:10" s="513" customFormat="1" ht="6.75" customHeight="1">
      <c r="A207" s="4657"/>
      <c r="B207" s="4657"/>
      <c r="C207" s="4657"/>
      <c r="D207" s="4657"/>
      <c r="E207" s="4657"/>
      <c r="F207" s="4657"/>
      <c r="G207" s="4657"/>
      <c r="H207" s="4657"/>
      <c r="I207" s="4657"/>
      <c r="J207" s="4657"/>
    </row>
    <row r="208" spans="1:10" s="513" customFormat="1" ht="21.75" customHeight="1">
      <c r="A208" s="4657"/>
      <c r="B208" s="4657"/>
      <c r="C208" s="4657"/>
      <c r="D208" s="4657"/>
      <c r="E208" s="4657"/>
      <c r="F208" s="4657"/>
      <c r="G208" s="4657"/>
      <c r="H208" s="4657"/>
      <c r="I208" s="4657"/>
      <c r="J208" s="4657"/>
    </row>
    <row r="209" spans="1:10" s="513" customFormat="1" ht="20.25" customHeight="1">
      <c r="A209" s="4657"/>
      <c r="B209" s="4657"/>
      <c r="C209" s="4657"/>
      <c r="D209" s="4657"/>
      <c r="E209" s="4657"/>
      <c r="F209" s="4657"/>
      <c r="G209" s="4657"/>
      <c r="H209" s="4657"/>
      <c r="I209" s="4657"/>
      <c r="J209" s="4657"/>
    </row>
    <row r="210" spans="1:10" s="513" customFormat="1" ht="54.75" customHeight="1">
      <c r="A210" s="4657"/>
      <c r="B210" s="4657"/>
      <c r="C210" s="4657"/>
      <c r="D210" s="4657"/>
      <c r="E210" s="4657"/>
      <c r="F210" s="4657"/>
      <c r="G210" s="4657"/>
      <c r="H210" s="4657"/>
      <c r="I210" s="4657"/>
      <c r="J210" s="4657"/>
    </row>
    <row r="211" spans="1:10" s="513" customFormat="1" ht="0.75" hidden="1" customHeight="1">
      <c r="A211" s="4657"/>
      <c r="B211" s="4657"/>
      <c r="C211" s="4657"/>
      <c r="D211" s="4657"/>
      <c r="E211" s="4657"/>
      <c r="F211" s="4657"/>
      <c r="G211" s="4657"/>
      <c r="H211" s="4657"/>
      <c r="I211" s="4657"/>
      <c r="J211" s="4657"/>
    </row>
    <row r="212" spans="1:10" s="513" customFormat="1" ht="3.75" hidden="1" customHeight="1">
      <c r="A212" s="4657"/>
      <c r="B212" s="4657"/>
      <c r="C212" s="4657"/>
      <c r="D212" s="4657"/>
      <c r="E212" s="4657"/>
      <c r="F212" s="4657"/>
      <c r="G212" s="4657"/>
      <c r="H212" s="4657"/>
      <c r="I212" s="4657"/>
      <c r="J212" s="4657"/>
    </row>
    <row r="213" spans="1:10" s="513" customFormat="1" ht="5.25" customHeight="1">
      <c r="A213" s="1192"/>
      <c r="B213" s="1192"/>
      <c r="C213" s="1192"/>
      <c r="D213" s="1192"/>
      <c r="E213" s="1192"/>
      <c r="F213" s="1192"/>
      <c r="G213" s="1192"/>
      <c r="H213" s="1192"/>
      <c r="I213" s="1192"/>
      <c r="J213" s="1192"/>
    </row>
    <row r="214" spans="1:10" s="513" customFormat="1" ht="19.5" customHeight="1">
      <c r="A214" s="4656" t="s">
        <v>4061</v>
      </c>
      <c r="B214" s="4656"/>
      <c r="C214" s="4656"/>
      <c r="D214" s="1190"/>
      <c r="E214" s="1190"/>
      <c r="F214" s="1190"/>
      <c r="G214" s="1190"/>
      <c r="H214" s="1190"/>
      <c r="I214" s="1190"/>
      <c r="J214" s="1190"/>
    </row>
    <row r="215" spans="1:10" s="513" customFormat="1" ht="22.5" customHeight="1">
      <c r="A215" s="4653" t="str">
        <f>'Subsidy Layering Memo'!A37</f>
        <v>1)</v>
      </c>
      <c r="B215" s="4653"/>
      <c r="C215" s="4653"/>
      <c r="D215" s="4653"/>
      <c r="E215" s="4653"/>
      <c r="F215" s="4653"/>
      <c r="G215" s="4653"/>
      <c r="H215" s="4653"/>
      <c r="I215" s="4653"/>
      <c r="J215" s="4653"/>
    </row>
    <row r="216" spans="1:10" s="513" customFormat="1" ht="22.5" customHeight="1">
      <c r="A216" s="4653" t="str">
        <f>'Subsidy Layering Memo'!A38</f>
        <v>2)</v>
      </c>
      <c r="B216" s="4653"/>
      <c r="C216" s="4653"/>
      <c r="D216" s="4653"/>
      <c r="E216" s="4653"/>
      <c r="F216" s="4653"/>
      <c r="G216" s="4653"/>
      <c r="H216" s="4653"/>
      <c r="I216" s="4653"/>
      <c r="J216" s="4653"/>
    </row>
    <row r="217" spans="1:10" s="513" customFormat="1" ht="22.5" customHeight="1">
      <c r="A217" s="4653" t="str">
        <f>'Subsidy Layering Memo'!A39</f>
        <v>3)</v>
      </c>
      <c r="B217" s="4653"/>
      <c r="C217" s="4653"/>
      <c r="D217" s="4653"/>
      <c r="E217" s="4653"/>
      <c r="F217" s="4653"/>
      <c r="G217" s="4653"/>
      <c r="H217" s="4653"/>
      <c r="I217" s="4653"/>
      <c r="J217" s="4653"/>
    </row>
    <row r="218" spans="1:10" s="513" customFormat="1" ht="22.5" customHeight="1">
      <c r="A218" s="4653" t="str">
        <f>'Subsidy Layering Memo'!A40</f>
        <v>4)</v>
      </c>
      <c r="B218" s="4653"/>
      <c r="C218" s="4653"/>
      <c r="D218" s="4653"/>
      <c r="E218" s="4653"/>
      <c r="F218" s="4653"/>
      <c r="G218" s="4653"/>
      <c r="H218" s="4653"/>
      <c r="I218" s="4653"/>
      <c r="J218" s="4653"/>
    </row>
    <row r="219" spans="1:10" s="513" customFormat="1" ht="22.5" customHeight="1">
      <c r="A219" s="4653" t="str">
        <f>'Subsidy Layering Memo'!A41</f>
        <v>5)</v>
      </c>
      <c r="B219" s="4653"/>
      <c r="C219" s="4653"/>
      <c r="D219" s="4653"/>
      <c r="E219" s="4653"/>
      <c r="F219" s="4653"/>
      <c r="G219" s="4653"/>
      <c r="H219" s="4653"/>
      <c r="I219" s="4653"/>
      <c r="J219" s="4653"/>
    </row>
    <row r="220" spans="1:10" s="513" customFormat="1" ht="22.5" customHeight="1">
      <c r="A220" s="4653" t="str">
        <f>'Subsidy Layering Memo'!A42</f>
        <v>6)</v>
      </c>
      <c r="B220" s="4653"/>
      <c r="C220" s="4653"/>
      <c r="D220" s="4653"/>
      <c r="E220" s="4653"/>
      <c r="F220" s="4653"/>
      <c r="G220" s="4653"/>
      <c r="H220" s="4653"/>
      <c r="I220" s="4653"/>
      <c r="J220" s="4653"/>
    </row>
    <row r="221" spans="1:10" s="513" customFormat="1" ht="22.5" customHeight="1">
      <c r="A221" s="4653" t="str">
        <f>'Subsidy Layering Memo'!A43</f>
        <v>7)</v>
      </c>
      <c r="B221" s="4653"/>
      <c r="C221" s="4653"/>
      <c r="D221" s="4653"/>
      <c r="E221" s="4653"/>
      <c r="F221" s="4653"/>
      <c r="G221" s="4653"/>
      <c r="H221" s="4653"/>
      <c r="I221" s="4653"/>
      <c r="J221" s="4653"/>
    </row>
    <row r="222" spans="1:10" s="513" customFormat="1" ht="22.5" customHeight="1">
      <c r="A222" s="4653" t="str">
        <f>'Subsidy Layering Memo'!A44</f>
        <v>8)</v>
      </c>
      <c r="B222" s="4653"/>
      <c r="C222" s="4653"/>
      <c r="D222" s="4653"/>
      <c r="E222" s="4653"/>
      <c r="F222" s="4653"/>
      <c r="G222" s="4653"/>
      <c r="H222" s="4653"/>
      <c r="I222" s="4653"/>
      <c r="J222" s="4653"/>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6953125" defaultRowHeight="14"/>
  <cols>
    <col min="1" max="1" width="5.453125" style="1264" customWidth="1"/>
    <col min="2" max="2" width="6.26953125" style="1264" customWidth="1"/>
    <col min="3" max="3" width="9.7265625" style="1264" customWidth="1"/>
    <col min="4" max="4" width="10.453125" style="1264" customWidth="1"/>
    <col min="5" max="5" width="7.7265625" style="1268" customWidth="1"/>
    <col min="6" max="6" width="8" style="1264" customWidth="1"/>
    <col min="7" max="7" width="8.7265625" style="1264" customWidth="1"/>
    <col min="8" max="8" width="10.26953125" style="1264" customWidth="1"/>
    <col min="9" max="9" width="10.7265625" style="1264" customWidth="1"/>
    <col min="10" max="11" width="11.7265625" style="1264" customWidth="1"/>
    <col min="12" max="16384" width="9.26953125" style="1264"/>
  </cols>
  <sheetData>
    <row r="1" spans="1:11" ht="18">
      <c r="A1" s="1311" t="s">
        <v>3841</v>
      </c>
      <c r="B1" s="1311"/>
      <c r="C1" s="1311"/>
      <c r="D1" s="1311"/>
      <c r="E1" s="1311"/>
      <c r="F1" s="1311"/>
      <c r="G1" s="1311"/>
      <c r="H1" s="1311"/>
    </row>
    <row r="2" spans="1:11" ht="18.5" thickBot="1">
      <c r="A2" s="1311" t="s">
        <v>3842</v>
      </c>
      <c r="B2" s="1311"/>
      <c r="C2" s="1311"/>
      <c r="D2" s="1311"/>
      <c r="E2" s="1311"/>
      <c r="F2" s="1311"/>
      <c r="G2" s="1311"/>
      <c r="H2" s="1311"/>
    </row>
    <row r="3" spans="1:11" ht="15" customHeight="1" thickBot="1">
      <c r="A3" s="1265" t="s">
        <v>3843</v>
      </c>
      <c r="B3" s="1266"/>
      <c r="C3" s="1267"/>
      <c r="D3" s="4085">
        <f>'Part I-Project Identification'!F26</f>
        <v>0</v>
      </c>
      <c r="E3" s="4086"/>
      <c r="F3" s="4086"/>
      <c r="G3" s="4086"/>
      <c r="H3" s="4086"/>
      <c r="I3" s="4086"/>
      <c r="J3" s="4735" t="s">
        <v>3846</v>
      </c>
      <c r="K3" s="4736"/>
    </row>
    <row r="4" spans="1:11" ht="15" customHeight="1">
      <c r="A4" s="1269" t="s">
        <v>3844</v>
      </c>
      <c r="B4" s="1270"/>
      <c r="C4" s="1271"/>
      <c r="D4" s="4731">
        <f>'Preview term'!$E$16</f>
        <v>0</v>
      </c>
      <c r="E4" s="4732"/>
      <c r="F4" s="4732"/>
      <c r="G4" s="4732"/>
      <c r="H4" s="4732"/>
      <c r="I4" s="4732"/>
      <c r="J4" s="4091" t="s">
        <v>3885</v>
      </c>
      <c r="K4" s="4092"/>
    </row>
    <row r="5" spans="1:11" ht="15" customHeight="1" thickBot="1">
      <c r="A5" s="1272" t="s">
        <v>3845</v>
      </c>
      <c r="B5" s="1273"/>
      <c r="C5" s="1274"/>
      <c r="D5" s="4733"/>
      <c r="E5" s="4734"/>
      <c r="F5" s="4734"/>
      <c r="G5" s="4734"/>
      <c r="H5" s="4734"/>
      <c r="I5" s="4734"/>
      <c r="J5" s="4093"/>
      <c r="K5" s="4094"/>
    </row>
    <row r="6" spans="1:11" ht="9" customHeight="1" thickBot="1">
      <c r="E6" s="1264"/>
    </row>
    <row r="7" spans="1:11">
      <c r="A7" s="4079" t="s">
        <v>3847</v>
      </c>
      <c r="B7" s="4080"/>
      <c r="C7" s="4080"/>
      <c r="D7" s="4080"/>
      <c r="E7" s="4080"/>
      <c r="F7" s="4080"/>
      <c r="G7" s="4080"/>
      <c r="H7" s="4080"/>
      <c r="I7" s="4080"/>
      <c r="J7" s="4080"/>
      <c r="K7" s="4081"/>
    </row>
    <row r="8" spans="1:11" ht="14.25" customHeight="1">
      <c r="A8" s="1270"/>
      <c r="B8" s="1270"/>
      <c r="C8" s="1302">
        <v>1</v>
      </c>
      <c r="D8" s="1289" t="s">
        <v>3848</v>
      </c>
      <c r="E8" s="1289"/>
      <c r="F8" s="1289"/>
      <c r="G8" s="1289"/>
      <c r="H8" s="1289"/>
      <c r="I8" s="1289"/>
      <c r="J8" s="4712"/>
      <c r="K8" s="4713"/>
    </row>
    <row r="9" spans="1:11" ht="7.15" customHeight="1">
      <c r="A9" s="4075"/>
      <c r="B9" s="4075"/>
      <c r="C9" s="4075"/>
      <c r="D9" s="4076"/>
      <c r="E9" s="4076"/>
      <c r="F9" s="4076"/>
      <c r="G9" s="4076"/>
      <c r="H9" s="4076"/>
      <c r="I9" s="4076"/>
      <c r="J9" s="4076"/>
      <c r="K9" s="1290"/>
    </row>
    <row r="10" spans="1:11">
      <c r="A10" s="4101" t="s">
        <v>3849</v>
      </c>
      <c r="B10" s="4102"/>
      <c r="C10" s="4102"/>
      <c r="D10" s="4102"/>
      <c r="E10" s="4102"/>
      <c r="F10" s="4102"/>
      <c r="G10" s="4102"/>
      <c r="H10" s="4102"/>
      <c r="I10" s="4102"/>
      <c r="J10" s="4102"/>
      <c r="K10" s="4103"/>
    </row>
    <row r="11" spans="1:11" ht="14.25" customHeight="1">
      <c r="A11" s="1270"/>
      <c r="B11" s="1270"/>
      <c r="C11" s="1302">
        <v>2</v>
      </c>
      <c r="D11" s="1289" t="s">
        <v>3850</v>
      </c>
      <c r="E11" s="1291"/>
      <c r="F11" s="1291"/>
      <c r="G11" s="1291"/>
      <c r="H11" s="1291"/>
      <c r="I11" s="1291"/>
      <c r="J11" s="4710"/>
      <c r="K11" s="4711"/>
    </row>
    <row r="12" spans="1:11" ht="7.15" customHeight="1">
      <c r="A12" s="4075"/>
      <c r="B12" s="4075"/>
      <c r="C12" s="4075"/>
      <c r="D12" s="4076"/>
      <c r="E12" s="4076"/>
      <c r="F12" s="4076"/>
      <c r="G12" s="4076"/>
      <c r="H12" s="4076"/>
      <c r="I12" s="4076"/>
      <c r="J12" s="4076"/>
      <c r="K12" s="1292"/>
    </row>
    <row r="13" spans="1:11">
      <c r="A13" s="4101" t="s">
        <v>3851</v>
      </c>
      <c r="B13" s="4102"/>
      <c r="C13" s="4102"/>
      <c r="D13" s="4102"/>
      <c r="E13" s="4102"/>
      <c r="F13" s="4102"/>
      <c r="G13" s="4102"/>
      <c r="H13" s="4102"/>
      <c r="I13" s="4102"/>
      <c r="J13" s="4102"/>
      <c r="K13" s="4103"/>
    </row>
    <row r="14" spans="1:11" ht="14.25" customHeight="1">
      <c r="A14" s="1270"/>
      <c r="B14" s="1270"/>
      <c r="C14" s="1303">
        <v>3</v>
      </c>
      <c r="D14" s="1293" t="s">
        <v>3852</v>
      </c>
      <c r="E14" s="1293"/>
      <c r="F14" s="1293"/>
      <c r="G14" s="1293"/>
      <c r="H14" s="1293"/>
      <c r="I14" s="1293"/>
      <c r="J14" s="4708"/>
      <c r="K14" s="4709"/>
    </row>
    <row r="15" spans="1:11" ht="14.25" customHeight="1">
      <c r="A15" s="1270"/>
      <c r="B15" s="1270"/>
      <c r="C15" s="1304">
        <v>4</v>
      </c>
      <c r="D15" s="1270" t="s">
        <v>3853</v>
      </c>
      <c r="E15" s="1270"/>
      <c r="F15" s="1270"/>
      <c r="G15" s="1270"/>
      <c r="H15" s="1270"/>
      <c r="I15" s="1270"/>
      <c r="J15" s="4706"/>
      <c r="K15" s="4707"/>
    </row>
    <row r="16" spans="1:11" ht="14.25" customHeight="1">
      <c r="A16" s="1270"/>
      <c r="B16" s="1270"/>
      <c r="C16" s="1304">
        <v>5</v>
      </c>
      <c r="D16" s="1270" t="s">
        <v>3854</v>
      </c>
      <c r="E16" s="1270"/>
      <c r="F16" s="1270"/>
      <c r="G16" s="1270"/>
      <c r="H16" s="1270"/>
      <c r="I16" s="1270"/>
      <c r="J16" s="4706"/>
      <c r="K16" s="4707"/>
    </row>
    <row r="17" spans="1:13" ht="14.25" customHeight="1">
      <c r="A17" s="1270"/>
      <c r="B17" s="1270"/>
      <c r="C17" s="1305">
        <v>6</v>
      </c>
      <c r="D17" s="1273" t="s">
        <v>3855</v>
      </c>
      <c r="E17" s="1273"/>
      <c r="F17" s="1273"/>
      <c r="G17" s="1273"/>
      <c r="H17" s="1273"/>
      <c r="I17" s="1273"/>
      <c r="J17" s="4714"/>
      <c r="K17" s="4715"/>
    </row>
    <row r="18" spans="1:13" ht="7.15" customHeight="1">
      <c r="A18" s="4075"/>
      <c r="B18" s="4075"/>
      <c r="C18" s="4075"/>
      <c r="D18" s="4076"/>
      <c r="E18" s="4076"/>
      <c r="F18" s="4076"/>
      <c r="G18" s="4076"/>
      <c r="H18" s="4076"/>
      <c r="I18" s="4076"/>
      <c r="J18" s="4076"/>
      <c r="K18" s="1292"/>
    </row>
    <row r="19" spans="1:13" ht="14.25" customHeight="1">
      <c r="A19" s="1270"/>
      <c r="B19" s="1270"/>
      <c r="C19" s="1303">
        <v>7</v>
      </c>
      <c r="D19" s="1293" t="s">
        <v>3856</v>
      </c>
      <c r="E19" s="1293"/>
      <c r="F19" s="1293"/>
      <c r="G19" s="1293"/>
      <c r="H19" s="1293"/>
      <c r="I19" s="1293"/>
      <c r="J19" s="4097" t="str">
        <f>IF(J17="No",J14-J15,IF(J17="Yes",J14-J15-J16,"Error"))</f>
        <v>Error</v>
      </c>
      <c r="K19" s="4098"/>
    </row>
    <row r="20" spans="1:13" ht="14.25" customHeight="1">
      <c r="A20" s="1270"/>
      <c r="B20" s="1270"/>
      <c r="C20" s="1305">
        <v>8</v>
      </c>
      <c r="D20" s="1273" t="s">
        <v>3857</v>
      </c>
      <c r="E20" s="1273"/>
      <c r="F20" s="1273"/>
      <c r="G20" s="1273"/>
      <c r="H20" s="1273"/>
      <c r="I20" s="1273"/>
      <c r="J20" s="4077" t="e">
        <f>ROUNDDOWN(J19/J8,2)</f>
        <v>#VALUE!</v>
      </c>
      <c r="K20" s="4078"/>
    </row>
    <row r="21" spans="1:13" ht="7.15" customHeight="1">
      <c r="A21" s="4075"/>
      <c r="B21" s="4075"/>
      <c r="C21" s="4075"/>
      <c r="D21" s="4076"/>
      <c r="E21" s="4076"/>
      <c r="F21" s="4076"/>
      <c r="G21" s="4076"/>
      <c r="H21" s="4076"/>
      <c r="I21" s="4076"/>
      <c r="J21" s="4076"/>
      <c r="K21" s="1292"/>
    </row>
    <row r="22" spans="1:13" ht="14.25" customHeight="1" thickBot="1">
      <c r="A22" s="1270"/>
      <c r="B22" s="1270"/>
      <c r="C22" s="1302">
        <v>9</v>
      </c>
      <c r="D22" s="1294" t="s">
        <v>3858</v>
      </c>
      <c r="E22" s="1294"/>
      <c r="F22" s="1294"/>
      <c r="G22" s="1294"/>
      <c r="H22" s="1294"/>
      <c r="I22" s="1294"/>
      <c r="J22" s="4060" t="e">
        <f>J11/J19</f>
        <v>#VALUE!</v>
      </c>
      <c r="K22" s="4061"/>
    </row>
    <row r="23" spans="1:13" ht="9" customHeight="1">
      <c r="A23" s="1279"/>
      <c r="C23" s="1280"/>
      <c r="D23" s="1280"/>
      <c r="E23" s="1280"/>
      <c r="F23" s="1280"/>
      <c r="G23" s="1280"/>
      <c r="H23" s="1280"/>
      <c r="I23" s="1280"/>
      <c r="J23" s="1280"/>
      <c r="K23" s="1281"/>
    </row>
    <row r="24" spans="1:13" ht="18">
      <c r="A24" s="1282" t="s">
        <v>3859</v>
      </c>
      <c r="C24" s="1280"/>
      <c r="D24" s="1280"/>
      <c r="E24" s="1280"/>
      <c r="F24" s="1280"/>
      <c r="G24" s="1280"/>
      <c r="H24" s="1280"/>
      <c r="I24" s="1280"/>
      <c r="J24" s="1280"/>
      <c r="K24" s="1281"/>
    </row>
    <row r="25" spans="1:13" ht="14.25" customHeight="1">
      <c r="A25" s="1334" t="s">
        <v>3890</v>
      </c>
      <c r="C25" s="1280"/>
      <c r="D25" s="1280"/>
      <c r="E25" s="1280"/>
      <c r="F25" s="1280"/>
      <c r="G25" s="1280"/>
      <c r="H25" s="1280"/>
      <c r="I25" s="1280"/>
      <c r="J25" s="1280"/>
      <c r="K25" s="1281"/>
    </row>
    <row r="26" spans="1:13" ht="14.25" customHeight="1">
      <c r="A26" s="1334" t="s">
        <v>3891</v>
      </c>
      <c r="C26" s="1280"/>
      <c r="D26" s="1280"/>
      <c r="E26" s="1280"/>
      <c r="F26" s="1280"/>
      <c r="G26" s="1280"/>
      <c r="H26" s="1280"/>
      <c r="I26" s="1280"/>
      <c r="J26" s="1280"/>
      <c r="K26" s="1281"/>
    </row>
    <row r="27" spans="1:13" ht="14.25" customHeight="1">
      <c r="A27" s="1334" t="s">
        <v>3892</v>
      </c>
      <c r="C27" s="1280"/>
      <c r="D27" s="1280"/>
      <c r="E27" s="1280"/>
      <c r="F27" s="1280"/>
      <c r="G27" s="1280"/>
      <c r="H27" s="1280"/>
      <c r="I27" s="1280"/>
      <c r="J27" s="1280"/>
      <c r="K27" s="1281"/>
    </row>
    <row r="28" spans="1:13" ht="14.25" customHeight="1">
      <c r="A28" s="1334" t="s">
        <v>3893</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62" t="s">
        <v>3889</v>
      </c>
      <c r="B30" s="4063"/>
      <c r="C30" s="4063"/>
      <c r="D30" s="4063"/>
      <c r="E30" s="4063"/>
      <c r="F30" s="4063"/>
      <c r="G30" s="4063"/>
      <c r="H30" s="4063"/>
      <c r="I30" s="4063"/>
      <c r="J30" s="4063"/>
      <c r="K30" s="4064"/>
    </row>
    <row r="31" spans="1:13">
      <c r="B31" s="4720" t="s">
        <v>3846</v>
      </c>
      <c r="C31" s="4720"/>
      <c r="D31" s="4720"/>
      <c r="E31" s="4720"/>
      <c r="F31" s="4720"/>
      <c r="G31" s="4066" t="s">
        <v>3860</v>
      </c>
      <c r="H31" s="4067"/>
      <c r="I31" s="4067"/>
      <c r="J31" s="4067"/>
      <c r="K31" s="4068"/>
    </row>
    <row r="32" spans="1:13" ht="56.25" customHeight="1">
      <c r="A32" s="1288"/>
      <c r="B32" s="1306" t="s">
        <v>3888</v>
      </c>
      <c r="C32" s="1307" t="s">
        <v>3884</v>
      </c>
      <c r="D32" s="1307" t="s">
        <v>3883</v>
      </c>
      <c r="E32" s="4069" t="s">
        <v>4004</v>
      </c>
      <c r="F32" s="4070"/>
      <c r="G32" s="1308" t="s">
        <v>3861</v>
      </c>
      <c r="H32" s="1308" t="s">
        <v>3862</v>
      </c>
      <c r="J32" s="1308" t="s">
        <v>3863</v>
      </c>
      <c r="K32" s="1308" t="s">
        <v>3864</v>
      </c>
      <c r="L32" s="4055" t="s">
        <v>3865</v>
      </c>
      <c r="M32" s="4055"/>
    </row>
    <row r="33" spans="2:14" ht="12.75" customHeight="1">
      <c r="B33" s="1409"/>
      <c r="C33" s="1410"/>
      <c r="D33" s="1411"/>
      <c r="E33" s="4729"/>
      <c r="F33" s="4730"/>
      <c r="G33" s="1324" t="e">
        <f t="shared" ref="G33:G51" si="0">$J$22*B33</f>
        <v>#VALUE!</v>
      </c>
      <c r="H33" s="1325" t="e">
        <f>ROUNDUP(G33,0)</f>
        <v>#VALUE!</v>
      </c>
      <c r="I33" s="1326"/>
      <c r="J33" s="1327" t="e">
        <f t="shared" ref="J33:J51" si="1">$J$20*E33</f>
        <v>#VALUE!</v>
      </c>
      <c r="K33" s="1327" t="e">
        <f t="shared" ref="K33:K51" si="2">ROUNDDOWN(J33*H33,0)</f>
        <v>#VALUE!</v>
      </c>
      <c r="L33" s="4055"/>
      <c r="M33" s="4055"/>
    </row>
    <row r="34" spans="2:14" ht="12.75" customHeight="1">
      <c r="B34" s="1412"/>
      <c r="C34" s="1413"/>
      <c r="D34" s="1414"/>
      <c r="E34" s="4718"/>
      <c r="F34" s="4719"/>
      <c r="G34" s="1328" t="e">
        <f t="shared" si="0"/>
        <v>#VALUE!</v>
      </c>
      <c r="H34" s="1329" t="e">
        <f t="shared" ref="H34:H51" si="3">ROUNDUP(G34,0)</f>
        <v>#VALUE!</v>
      </c>
      <c r="I34" s="1326"/>
      <c r="J34" s="1330" t="e">
        <f t="shared" si="1"/>
        <v>#VALUE!</v>
      </c>
      <c r="K34" s="1330" t="e">
        <f t="shared" si="2"/>
        <v>#VALUE!</v>
      </c>
      <c r="L34" s="4055"/>
      <c r="M34" s="4055"/>
    </row>
    <row r="35" spans="2:14" ht="12.75" customHeight="1">
      <c r="B35" s="1412"/>
      <c r="C35" s="1413"/>
      <c r="D35" s="1414"/>
      <c r="E35" s="4718"/>
      <c r="F35" s="4719"/>
      <c r="G35" s="1328" t="e">
        <f t="shared" si="0"/>
        <v>#VALUE!</v>
      </c>
      <c r="H35" s="1329" t="e">
        <f t="shared" si="3"/>
        <v>#VALUE!</v>
      </c>
      <c r="I35" s="1326"/>
      <c r="J35" s="1330" t="e">
        <f t="shared" si="1"/>
        <v>#VALUE!</v>
      </c>
      <c r="K35" s="1330" t="e">
        <f t="shared" si="2"/>
        <v>#VALUE!</v>
      </c>
      <c r="L35" s="4055"/>
      <c r="M35" s="4055"/>
    </row>
    <row r="36" spans="2:14" ht="12.75" customHeight="1">
      <c r="B36" s="1412"/>
      <c r="C36" s="1413"/>
      <c r="D36" s="1414"/>
      <c r="E36" s="4718"/>
      <c r="F36" s="4719"/>
      <c r="G36" s="1328" t="e">
        <f t="shared" si="0"/>
        <v>#VALUE!</v>
      </c>
      <c r="H36" s="1329" t="e">
        <f t="shared" si="3"/>
        <v>#VALUE!</v>
      </c>
      <c r="I36" s="1326"/>
      <c r="J36" s="1330" t="e">
        <f t="shared" si="1"/>
        <v>#VALUE!</v>
      </c>
      <c r="K36" s="1330" t="e">
        <f t="shared" si="2"/>
        <v>#VALUE!</v>
      </c>
      <c r="L36" s="4055"/>
      <c r="M36" s="4055"/>
      <c r="N36" s="1283"/>
    </row>
    <row r="37" spans="2:14" ht="12.75" customHeight="1">
      <c r="B37" s="1412"/>
      <c r="C37" s="1413"/>
      <c r="D37" s="1414"/>
      <c r="E37" s="4718"/>
      <c r="F37" s="4719"/>
      <c r="G37" s="1328" t="e">
        <f t="shared" si="0"/>
        <v>#VALUE!</v>
      </c>
      <c r="H37" s="1329" t="e">
        <f t="shared" si="3"/>
        <v>#VALUE!</v>
      </c>
      <c r="I37" s="1326"/>
      <c r="J37" s="1330" t="e">
        <f t="shared" si="1"/>
        <v>#VALUE!</v>
      </c>
      <c r="K37" s="1330" t="e">
        <f t="shared" si="2"/>
        <v>#VALUE!</v>
      </c>
      <c r="L37" s="4055"/>
      <c r="M37" s="4055"/>
    </row>
    <row r="38" spans="2:14" ht="12.75" customHeight="1">
      <c r="B38" s="1412"/>
      <c r="C38" s="1413"/>
      <c r="D38" s="1414"/>
      <c r="E38" s="4718"/>
      <c r="F38" s="4719"/>
      <c r="G38" s="1328" t="e">
        <f t="shared" si="0"/>
        <v>#VALUE!</v>
      </c>
      <c r="H38" s="1329" t="e">
        <f t="shared" si="3"/>
        <v>#VALUE!</v>
      </c>
      <c r="I38" s="1326"/>
      <c r="J38" s="1330" t="e">
        <f t="shared" si="1"/>
        <v>#VALUE!</v>
      </c>
      <c r="K38" s="1330" t="e">
        <f t="shared" si="2"/>
        <v>#VALUE!</v>
      </c>
      <c r="L38" s="4055"/>
      <c r="M38" s="4055"/>
    </row>
    <row r="39" spans="2:14" ht="12.75" customHeight="1">
      <c r="B39" s="1412"/>
      <c r="C39" s="1413"/>
      <c r="D39" s="1414"/>
      <c r="E39" s="4718"/>
      <c r="F39" s="4719"/>
      <c r="G39" s="1328" t="e">
        <f t="shared" si="0"/>
        <v>#VALUE!</v>
      </c>
      <c r="H39" s="1329" t="e">
        <f t="shared" si="3"/>
        <v>#VALUE!</v>
      </c>
      <c r="I39" s="1326"/>
      <c r="J39" s="1330" t="e">
        <f t="shared" si="1"/>
        <v>#VALUE!</v>
      </c>
      <c r="K39" s="1330" t="e">
        <f t="shared" si="2"/>
        <v>#VALUE!</v>
      </c>
      <c r="L39" s="4055"/>
      <c r="M39" s="4055"/>
    </row>
    <row r="40" spans="2:14" ht="12.75" customHeight="1">
      <c r="B40" s="1412"/>
      <c r="C40" s="1413"/>
      <c r="D40" s="1414"/>
      <c r="E40" s="4718"/>
      <c r="F40" s="4719"/>
      <c r="G40" s="1328" t="e">
        <f t="shared" si="0"/>
        <v>#VALUE!</v>
      </c>
      <c r="H40" s="1329" t="e">
        <f t="shared" si="3"/>
        <v>#VALUE!</v>
      </c>
      <c r="I40" s="1326"/>
      <c r="J40" s="1330" t="e">
        <f t="shared" si="1"/>
        <v>#VALUE!</v>
      </c>
      <c r="K40" s="1330" t="e">
        <f t="shared" si="2"/>
        <v>#VALUE!</v>
      </c>
      <c r="L40" s="4055"/>
      <c r="M40" s="4055"/>
    </row>
    <row r="41" spans="2:14" ht="12.75" customHeight="1">
      <c r="B41" s="1412"/>
      <c r="C41" s="1413"/>
      <c r="D41" s="1414"/>
      <c r="E41" s="4718"/>
      <c r="F41" s="4719"/>
      <c r="G41" s="1328" t="e">
        <f t="shared" si="0"/>
        <v>#VALUE!</v>
      </c>
      <c r="H41" s="1329" t="e">
        <f t="shared" si="3"/>
        <v>#VALUE!</v>
      </c>
      <c r="I41" s="1326"/>
      <c r="J41" s="1330" t="e">
        <f t="shared" si="1"/>
        <v>#VALUE!</v>
      </c>
      <c r="K41" s="1330" t="e">
        <f t="shared" si="2"/>
        <v>#VALUE!</v>
      </c>
      <c r="L41" s="4055"/>
      <c r="M41" s="4055"/>
    </row>
    <row r="42" spans="2:14" ht="12.75" customHeight="1">
      <c r="B42" s="1412"/>
      <c r="C42" s="1413"/>
      <c r="D42" s="1414"/>
      <c r="E42" s="4718"/>
      <c r="F42" s="4719"/>
      <c r="G42" s="1328" t="e">
        <f t="shared" si="0"/>
        <v>#VALUE!</v>
      </c>
      <c r="H42" s="1329" t="e">
        <f>ROUNDUP(G42,0)</f>
        <v>#VALUE!</v>
      </c>
      <c r="I42" s="1326"/>
      <c r="J42" s="1330" t="e">
        <f t="shared" si="1"/>
        <v>#VALUE!</v>
      </c>
      <c r="K42" s="1330" t="e">
        <f t="shared" si="2"/>
        <v>#VALUE!</v>
      </c>
      <c r="L42" s="4055"/>
      <c r="M42" s="4055"/>
    </row>
    <row r="43" spans="2:14" ht="12.75" customHeight="1">
      <c r="B43" s="1412"/>
      <c r="C43" s="1413"/>
      <c r="D43" s="1414"/>
      <c r="E43" s="4718"/>
      <c r="F43" s="4719"/>
      <c r="G43" s="1328" t="e">
        <f t="shared" si="0"/>
        <v>#VALUE!</v>
      </c>
      <c r="H43" s="1329" t="e">
        <f>ROUNDUP(G43,0)</f>
        <v>#VALUE!</v>
      </c>
      <c r="I43" s="1326"/>
      <c r="J43" s="1330" t="e">
        <f t="shared" si="1"/>
        <v>#VALUE!</v>
      </c>
      <c r="K43" s="1330" t="e">
        <f t="shared" si="2"/>
        <v>#VALUE!</v>
      </c>
      <c r="L43" s="4055"/>
      <c r="M43" s="4055"/>
    </row>
    <row r="44" spans="2:14" ht="12.75" customHeight="1">
      <c r="B44" s="1412"/>
      <c r="C44" s="1413"/>
      <c r="D44" s="1414"/>
      <c r="E44" s="4718"/>
      <c r="F44" s="4719"/>
      <c r="G44" s="1328" t="e">
        <f t="shared" si="0"/>
        <v>#VALUE!</v>
      </c>
      <c r="H44" s="1329" t="e">
        <f>ROUNDUP(G44,0)</f>
        <v>#VALUE!</v>
      </c>
      <c r="I44" s="1326"/>
      <c r="J44" s="1330" t="e">
        <f t="shared" si="1"/>
        <v>#VALUE!</v>
      </c>
      <c r="K44" s="1330" t="e">
        <f t="shared" si="2"/>
        <v>#VALUE!</v>
      </c>
      <c r="L44" s="4055"/>
      <c r="M44" s="4055"/>
    </row>
    <row r="45" spans="2:14" ht="12.75" customHeight="1">
      <c r="B45" s="1412"/>
      <c r="C45" s="1413"/>
      <c r="D45" s="1414"/>
      <c r="E45" s="4718"/>
      <c r="F45" s="4719"/>
      <c r="G45" s="1328" t="e">
        <f t="shared" si="0"/>
        <v>#VALUE!</v>
      </c>
      <c r="H45" s="1329" t="e">
        <f>ROUNDUP(G45,0)</f>
        <v>#VALUE!</v>
      </c>
      <c r="I45" s="1326"/>
      <c r="J45" s="1330" t="e">
        <f t="shared" si="1"/>
        <v>#VALUE!</v>
      </c>
      <c r="K45" s="1330" t="e">
        <f t="shared" si="2"/>
        <v>#VALUE!</v>
      </c>
      <c r="L45" s="4055"/>
      <c r="M45" s="4055"/>
    </row>
    <row r="46" spans="2:14" ht="12.75" customHeight="1">
      <c r="B46" s="1412"/>
      <c r="C46" s="1413"/>
      <c r="D46" s="1414"/>
      <c r="E46" s="4718"/>
      <c r="F46" s="4719"/>
      <c r="G46" s="1328" t="e">
        <f t="shared" si="0"/>
        <v>#VALUE!</v>
      </c>
      <c r="H46" s="1329" t="e">
        <f t="shared" si="3"/>
        <v>#VALUE!</v>
      </c>
      <c r="I46" s="1326"/>
      <c r="J46" s="1330" t="e">
        <f t="shared" si="1"/>
        <v>#VALUE!</v>
      </c>
      <c r="K46" s="1330" t="e">
        <f t="shared" si="2"/>
        <v>#VALUE!</v>
      </c>
      <c r="L46" s="4055"/>
      <c r="M46" s="4055"/>
    </row>
    <row r="47" spans="2:14" ht="12.75" customHeight="1">
      <c r="B47" s="1412"/>
      <c r="C47" s="1413"/>
      <c r="D47" s="1414"/>
      <c r="E47" s="4718"/>
      <c r="F47" s="4719"/>
      <c r="G47" s="1328" t="e">
        <f t="shared" si="0"/>
        <v>#VALUE!</v>
      </c>
      <c r="H47" s="1329" t="e">
        <f t="shared" si="3"/>
        <v>#VALUE!</v>
      </c>
      <c r="I47" s="1326"/>
      <c r="J47" s="1330" t="e">
        <f t="shared" si="1"/>
        <v>#VALUE!</v>
      </c>
      <c r="K47" s="1330" t="e">
        <f t="shared" si="2"/>
        <v>#VALUE!</v>
      </c>
      <c r="L47" s="4055"/>
      <c r="M47" s="4055"/>
    </row>
    <row r="48" spans="2:14" ht="12.75" customHeight="1">
      <c r="B48" s="1412"/>
      <c r="C48" s="1413"/>
      <c r="D48" s="1414"/>
      <c r="E48" s="4718"/>
      <c r="F48" s="4719"/>
      <c r="G48" s="1328" t="e">
        <f t="shared" si="0"/>
        <v>#VALUE!</v>
      </c>
      <c r="H48" s="1329" t="e">
        <f>ROUNDUP(G48,0)</f>
        <v>#VALUE!</v>
      </c>
      <c r="I48" s="1326"/>
      <c r="J48" s="1330" t="e">
        <f t="shared" si="1"/>
        <v>#VALUE!</v>
      </c>
      <c r="K48" s="1330" t="e">
        <f t="shared" si="2"/>
        <v>#VALUE!</v>
      </c>
      <c r="L48" s="4055"/>
      <c r="M48" s="4055"/>
    </row>
    <row r="49" spans="1:13" ht="12.75" customHeight="1">
      <c r="B49" s="1412"/>
      <c r="C49" s="1413"/>
      <c r="D49" s="1414"/>
      <c r="E49" s="4718"/>
      <c r="F49" s="4719"/>
      <c r="G49" s="1328" t="e">
        <f t="shared" si="0"/>
        <v>#VALUE!</v>
      </c>
      <c r="H49" s="1329" t="e">
        <f t="shared" si="3"/>
        <v>#VALUE!</v>
      </c>
      <c r="I49" s="1326"/>
      <c r="J49" s="1330" t="e">
        <f t="shared" si="1"/>
        <v>#VALUE!</v>
      </c>
      <c r="K49" s="1330" t="e">
        <f t="shared" si="2"/>
        <v>#VALUE!</v>
      </c>
      <c r="L49" s="4055"/>
      <c r="M49" s="4055"/>
    </row>
    <row r="50" spans="1:13" ht="12.75" customHeight="1">
      <c r="B50" s="1412"/>
      <c r="C50" s="1413"/>
      <c r="D50" s="1414"/>
      <c r="E50" s="4718"/>
      <c r="F50" s="4719"/>
      <c r="G50" s="1328" t="e">
        <f t="shared" si="0"/>
        <v>#VALUE!</v>
      </c>
      <c r="H50" s="1329" t="e">
        <f t="shared" si="3"/>
        <v>#VALUE!</v>
      </c>
      <c r="I50" s="1326"/>
      <c r="J50" s="1330" t="e">
        <f t="shared" si="1"/>
        <v>#VALUE!</v>
      </c>
      <c r="K50" s="1330" t="e">
        <f t="shared" si="2"/>
        <v>#VALUE!</v>
      </c>
      <c r="L50" s="4055"/>
      <c r="M50" s="4055"/>
    </row>
    <row r="51" spans="1:13" ht="12.75" customHeight="1" thickBot="1">
      <c r="B51" s="1415"/>
      <c r="C51" s="1416"/>
      <c r="D51" s="1417"/>
      <c r="E51" s="4716"/>
      <c r="F51" s="4717"/>
      <c r="G51" s="1331" t="e">
        <f t="shared" si="0"/>
        <v>#VALUE!</v>
      </c>
      <c r="H51" s="1332" t="e">
        <f t="shared" si="3"/>
        <v>#VALUE!</v>
      </c>
      <c r="I51" s="1326"/>
      <c r="J51" s="1333" t="e">
        <f t="shared" si="1"/>
        <v>#VALUE!</v>
      </c>
      <c r="K51" s="1333" t="e">
        <f t="shared" si="2"/>
        <v>#VALUE!</v>
      </c>
      <c r="L51" s="4055"/>
      <c r="M51" s="4055"/>
    </row>
    <row r="52" spans="1:13" ht="15" customHeight="1" thickBot="1">
      <c r="B52" s="1299"/>
      <c r="D52" s="1293"/>
      <c r="E52" s="1293"/>
      <c r="F52" s="1293"/>
      <c r="G52" s="1310" t="s">
        <v>3866</v>
      </c>
      <c r="H52" s="1309" t="e">
        <f>SUM(H33:H51)</f>
        <v>#VALUE!</v>
      </c>
      <c r="I52" s="1293"/>
      <c r="J52" s="1299" t="s">
        <v>3867</v>
      </c>
      <c r="K52" s="1295" t="e">
        <f>SUM(K33:K51)</f>
        <v>#VALUE!</v>
      </c>
      <c r="L52" s="4055"/>
      <c r="M52" s="4055"/>
    </row>
    <row r="53" spans="1:13" ht="15" customHeight="1">
      <c r="B53" s="1300"/>
      <c r="C53" s="4058" t="s">
        <v>3868</v>
      </c>
      <c r="D53" s="4058"/>
      <c r="E53" s="4058"/>
      <c r="F53" s="4058"/>
      <c r="G53" s="4058"/>
      <c r="H53" s="4058"/>
      <c r="I53" s="4058"/>
      <c r="J53" s="4059"/>
      <c r="K53" s="1301" t="str">
        <f>IF(J17="no",0,IF(J17="yes",J16,"Error"))</f>
        <v>Error</v>
      </c>
      <c r="L53" s="4055"/>
      <c r="M53" s="4055"/>
    </row>
    <row r="54" spans="1:13" ht="15" customHeight="1" thickBot="1">
      <c r="B54" s="1300"/>
      <c r="C54" s="4039" t="s">
        <v>3869</v>
      </c>
      <c r="D54" s="4039"/>
      <c r="E54" s="4039"/>
      <c r="F54" s="4039"/>
      <c r="G54" s="4039"/>
      <c r="H54" s="4039"/>
      <c r="I54" s="4039"/>
      <c r="J54" s="4040"/>
      <c r="K54" s="1312" t="e">
        <f>K52+K53</f>
        <v>#VALUE!</v>
      </c>
    </row>
    <row r="55" spans="1:13" ht="7.9" customHeight="1">
      <c r="A55" s="4041"/>
      <c r="B55" s="4035"/>
      <c r="C55" s="4035"/>
      <c r="D55" s="4035"/>
      <c r="E55" s="4035"/>
      <c r="F55" s="4035"/>
      <c r="G55" s="4035"/>
      <c r="H55" s="4035"/>
      <c r="I55" s="4035"/>
      <c r="J55" s="4035"/>
      <c r="K55" s="1323"/>
    </row>
    <row r="56" spans="1:13" ht="15" customHeight="1">
      <c r="A56" s="4036" t="s">
        <v>3870</v>
      </c>
      <c r="B56" s="4037"/>
      <c r="C56" s="4037"/>
      <c r="D56" s="4037"/>
      <c r="E56" s="4037"/>
      <c r="F56" s="4037"/>
      <c r="G56" s="4037"/>
      <c r="H56" s="4037"/>
      <c r="I56" s="4037"/>
      <c r="J56" s="4037"/>
      <c r="K56" s="4038"/>
    </row>
    <row r="57" spans="1:13" ht="48" customHeight="1">
      <c r="A57" s="1285"/>
      <c r="B57" s="1276"/>
      <c r="C57" s="1287" t="s">
        <v>3871</v>
      </c>
      <c r="D57" s="1398" t="s">
        <v>3969</v>
      </c>
      <c r="E57" s="4042" t="s">
        <v>3887</v>
      </c>
      <c r="F57" s="4043"/>
      <c r="G57" s="4725" t="s">
        <v>3872</v>
      </c>
      <c r="H57" s="4726"/>
      <c r="I57" s="4042" t="s">
        <v>3886</v>
      </c>
      <c r="J57" s="4043"/>
      <c r="K57" s="4046"/>
    </row>
    <row r="58" spans="1:13" ht="15" customHeight="1">
      <c r="A58" s="1388"/>
      <c r="B58" s="1318"/>
      <c r="C58" s="1296">
        <f>SUMIF(C33:C51, "0", H33:H51)</f>
        <v>0</v>
      </c>
      <c r="D58" s="1399">
        <f t="shared" ref="D58:D63" si="4">ROUNDUP(C58*1.1,0)</f>
        <v>0</v>
      </c>
      <c r="E58" s="4048" t="s">
        <v>3873</v>
      </c>
      <c r="F58" s="4049"/>
      <c r="G58" s="4727" t="e">
        <f>#REF!</f>
        <v>#REF!</v>
      </c>
      <c r="H58" s="4728"/>
      <c r="I58" s="4050" t="e">
        <f t="shared" ref="I58:I63" si="5">D58*G58</f>
        <v>#REF!</v>
      </c>
      <c r="J58" s="4050"/>
      <c r="K58" s="4047"/>
    </row>
    <row r="59" spans="1:13">
      <c r="A59" s="1388"/>
      <c r="B59" s="1318"/>
      <c r="C59" s="1297">
        <f>SUMIF(C33:C51, "1", H33:H51)</f>
        <v>0</v>
      </c>
      <c r="D59" s="1400">
        <f t="shared" si="4"/>
        <v>0</v>
      </c>
      <c r="E59" s="4027" t="s">
        <v>2456</v>
      </c>
      <c r="F59" s="4028"/>
      <c r="G59" s="4723" t="e">
        <f>#REF!</f>
        <v>#REF!</v>
      </c>
      <c r="H59" s="4724"/>
      <c r="I59" s="4031" t="e">
        <f t="shared" si="5"/>
        <v>#REF!</v>
      </c>
      <c r="J59" s="4031"/>
      <c r="K59" s="4047"/>
    </row>
    <row r="60" spans="1:13" ht="15" customHeight="1">
      <c r="A60" s="1388"/>
      <c r="B60" s="1318"/>
      <c r="C60" s="1297">
        <f>SUMIF(C33:C51, "2", H33:H51)</f>
        <v>0</v>
      </c>
      <c r="D60" s="1400">
        <f t="shared" si="4"/>
        <v>0</v>
      </c>
      <c r="E60" s="4027" t="s">
        <v>2457</v>
      </c>
      <c r="F60" s="4028"/>
      <c r="G60" s="4723" t="e">
        <f>#REF!</f>
        <v>#REF!</v>
      </c>
      <c r="H60" s="4724"/>
      <c r="I60" s="4031" t="e">
        <f t="shared" si="5"/>
        <v>#REF!</v>
      </c>
      <c r="J60" s="4031"/>
      <c r="K60" s="4047"/>
    </row>
    <row r="61" spans="1:13">
      <c r="A61" s="1388"/>
      <c r="B61" s="1318"/>
      <c r="C61" s="1297">
        <f>SUMIF(C33:C51, "3", H33:H51)</f>
        <v>0</v>
      </c>
      <c r="D61" s="1400">
        <f t="shared" si="4"/>
        <v>0</v>
      </c>
      <c r="E61" s="4027" t="s">
        <v>2460</v>
      </c>
      <c r="F61" s="4028"/>
      <c r="G61" s="4723" t="e">
        <f>#REF!</f>
        <v>#REF!</v>
      </c>
      <c r="H61" s="4724"/>
      <c r="I61" s="4031" t="e">
        <f t="shared" si="5"/>
        <v>#REF!</v>
      </c>
      <c r="J61" s="4031"/>
      <c r="K61" s="4047"/>
    </row>
    <row r="62" spans="1:13">
      <c r="A62" s="1388"/>
      <c r="B62" s="1318"/>
      <c r="C62" s="1297">
        <f>SUMIF(C33:C51, "4", H33:H51)</f>
        <v>0</v>
      </c>
      <c r="D62" s="1400">
        <f t="shared" si="4"/>
        <v>0</v>
      </c>
      <c r="E62" s="4027" t="s">
        <v>3874</v>
      </c>
      <c r="F62" s="4028"/>
      <c r="G62" s="4723" t="e">
        <f>#REF!</f>
        <v>#REF!</v>
      </c>
      <c r="H62" s="4724"/>
      <c r="I62" s="4031" t="e">
        <f t="shared" si="5"/>
        <v>#REF!</v>
      </c>
      <c r="J62" s="4031"/>
      <c r="K62" s="4047"/>
    </row>
    <row r="63" spans="1:13">
      <c r="A63" s="1397"/>
      <c r="B63" s="1319"/>
      <c r="C63" s="1298">
        <f>SUMIF(C33:C51, "5", H33:H51)</f>
        <v>0</v>
      </c>
      <c r="D63" s="1401">
        <f t="shared" si="4"/>
        <v>0</v>
      </c>
      <c r="E63" s="4032" t="s">
        <v>3875</v>
      </c>
      <c r="F63" s="4033"/>
      <c r="G63" s="4721" t="e">
        <f>#REF!</f>
        <v>#REF!</v>
      </c>
      <c r="H63" s="4722"/>
      <c r="I63" s="4034" t="e">
        <f t="shared" si="5"/>
        <v>#REF!</v>
      </c>
      <c r="J63" s="4034"/>
      <c r="K63" s="1321"/>
    </row>
    <row r="64" spans="1:13" ht="14.5" thickBot="1">
      <c r="A64" s="1396" t="s">
        <v>3876</v>
      </c>
      <c r="B64" s="1314">
        <f>SUM(C58:C63)</f>
        <v>0</v>
      </c>
      <c r="C64" s="1402"/>
      <c r="D64" s="1402">
        <f>SUM(D58:D63)</f>
        <v>0</v>
      </c>
      <c r="E64" s="1395"/>
      <c r="F64" s="1395"/>
      <c r="G64" s="1395"/>
      <c r="H64" s="1395"/>
      <c r="I64" s="1395"/>
      <c r="J64" s="1389" t="s">
        <v>3877</v>
      </c>
      <c r="K64" s="1313" t="e">
        <f>SUM(I58:I62)</f>
        <v>#REF!</v>
      </c>
    </row>
    <row r="65" spans="1:11">
      <c r="A65" s="4035"/>
      <c r="B65" s="4035"/>
      <c r="C65" s="4035"/>
      <c r="D65" s="4035"/>
      <c r="E65" s="4035"/>
      <c r="F65" s="4035"/>
      <c r="G65" s="4035"/>
      <c r="H65" s="4035"/>
      <c r="I65" s="4035"/>
      <c r="J65" s="4035"/>
    </row>
    <row r="66" spans="1:11">
      <c r="A66" s="4036" t="s">
        <v>3878</v>
      </c>
      <c r="B66" s="4037"/>
      <c r="C66" s="4037"/>
      <c r="D66" s="4037"/>
      <c r="E66" s="4037"/>
      <c r="F66" s="4037"/>
      <c r="G66" s="4037"/>
      <c r="H66" s="4037"/>
      <c r="I66" s="4037"/>
      <c r="J66" s="4037"/>
      <c r="K66" s="4038"/>
    </row>
    <row r="67" spans="1:11" ht="15" customHeight="1">
      <c r="A67" s="1315"/>
      <c r="B67" s="1275"/>
      <c r="C67" s="1275"/>
      <c r="D67" s="1275"/>
      <c r="E67" s="1275" t="s">
        <v>3879</v>
      </c>
      <c r="F67" s="1275"/>
      <c r="G67" s="1275"/>
      <c r="H67" s="1275"/>
      <c r="I67" s="1275"/>
      <c r="J67" s="1276"/>
      <c r="K67" s="1284">
        <f>J11</f>
        <v>0</v>
      </c>
    </row>
    <row r="68" spans="1:11">
      <c r="A68" s="1316"/>
      <c r="E68" s="1264" t="s">
        <v>3880</v>
      </c>
      <c r="J68" s="1318"/>
      <c r="K68" s="1284" t="e">
        <f>K54</f>
        <v>#VALUE!</v>
      </c>
    </row>
    <row r="69" spans="1:11" ht="14.5" thickBot="1">
      <c r="A69" s="1317"/>
      <c r="B69" s="1277"/>
      <c r="C69" s="1277"/>
      <c r="D69" s="1277"/>
      <c r="E69" s="1277" t="s">
        <v>3881</v>
      </c>
      <c r="F69" s="1277"/>
      <c r="G69" s="1277"/>
      <c r="H69" s="1277"/>
      <c r="I69" s="1277"/>
      <c r="J69" s="1319"/>
      <c r="K69" s="1322" t="e">
        <f>K64</f>
        <v>#REF!</v>
      </c>
    </row>
    <row r="70" spans="1:11" ht="14.5" thickBot="1">
      <c r="A70" s="1286"/>
      <c r="B70" s="1278"/>
      <c r="C70" s="4026" t="s">
        <v>3882</v>
      </c>
      <c r="D70" s="4026"/>
      <c r="E70" s="4026"/>
      <c r="F70" s="4026"/>
      <c r="G70" s="4026"/>
      <c r="H70" s="4026"/>
      <c r="I70" s="4026"/>
      <c r="J70" s="402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431" customWidth="1"/>
    <col min="2" max="2" width="4.26953125" style="431" customWidth="1"/>
    <col min="3" max="3" width="18.54296875" style="431" customWidth="1"/>
    <col min="4" max="4" width="2.7265625" style="431" customWidth="1"/>
    <col min="5" max="5" width="6.54296875" style="431" customWidth="1"/>
    <col min="6" max="6" width="39.26953125" style="431" customWidth="1"/>
    <col min="7" max="8" width="8.453125" style="431" customWidth="1"/>
    <col min="9" max="9" width="9.26953125" style="431"/>
    <col min="10" max="10" width="14.26953125" style="431" customWidth="1"/>
    <col min="11" max="16384" width="9.26953125" style="431"/>
  </cols>
  <sheetData>
    <row r="1" spans="1:11" ht="13">
      <c r="A1" s="549" t="s">
        <v>2873</v>
      </c>
      <c r="H1" s="603">
        <f>'Sensitivity Analysis'!C8</f>
        <v>0</v>
      </c>
    </row>
    <row r="2" spans="1:11" ht="13">
      <c r="A2" s="549" t="s">
        <v>2874</v>
      </c>
      <c r="H2" s="431" t="str">
        <f>'Sensitivity Analysis'!E8</f>
        <v>2024-5</v>
      </c>
    </row>
    <row r="3" spans="1:11" ht="3" customHeight="1"/>
    <row r="4" spans="1:11" ht="51.75" customHeight="1">
      <c r="A4" s="4737" t="s">
        <v>2912</v>
      </c>
      <c r="B4" s="4737"/>
      <c r="C4" s="4737"/>
      <c r="D4" s="4737"/>
      <c r="E4" s="4737"/>
      <c r="F4" s="4737"/>
      <c r="G4" s="4737"/>
      <c r="H4" s="4737"/>
      <c r="J4" s="991">
        <f>SUM('Part VI-Pro Forma'!B15:B17)/12</f>
        <v>0</v>
      </c>
      <c r="K4" s="990" t="s">
        <v>3546</v>
      </c>
    </row>
    <row r="5" spans="1:11" ht="1.5" customHeight="1"/>
    <row r="6" spans="1:11" ht="12.75" customHeight="1">
      <c r="B6" s="623" t="s">
        <v>2234</v>
      </c>
      <c r="C6" s="4737" t="s">
        <v>2875</v>
      </c>
      <c r="D6" s="4737"/>
      <c r="E6" s="4737"/>
      <c r="F6" s="4737"/>
      <c r="G6" s="4737"/>
      <c r="H6" s="4737"/>
    </row>
    <row r="7" spans="1:11" ht="12.75" customHeight="1">
      <c r="B7" s="623" t="s">
        <v>2235</v>
      </c>
      <c r="C7" s="4737" t="s">
        <v>2876</v>
      </c>
      <c r="D7" s="4737"/>
      <c r="E7" s="4737"/>
      <c r="F7" s="4737"/>
      <c r="G7" s="4737"/>
      <c r="H7" s="4737"/>
    </row>
    <row r="8" spans="1:11" ht="3" customHeight="1"/>
    <row r="9" spans="1:11">
      <c r="A9" s="431" t="s">
        <v>2877</v>
      </c>
    </row>
    <row r="10" spans="1:11" ht="1.5" customHeight="1"/>
    <row r="11" spans="1:11" ht="26.25" customHeight="1">
      <c r="A11" s="624" t="s">
        <v>1836</v>
      </c>
      <c r="B11" s="4741" t="s">
        <v>2909</v>
      </c>
      <c r="C11" s="4741"/>
      <c r="D11" s="4741"/>
      <c r="E11" s="4741"/>
      <c r="F11" s="4741"/>
      <c r="G11" s="4742">
        <f>'Part II-Sources of Funds'!I51+'Part II-Sources of Funds'!I52</f>
        <v>0</v>
      </c>
      <c r="H11" s="4742"/>
    </row>
    <row r="12" spans="1:11" ht="1.5" customHeight="1">
      <c r="G12" s="605"/>
      <c r="H12" s="605"/>
    </row>
    <row r="13" spans="1:11" ht="26.25" customHeight="1">
      <c r="A13" s="624" t="s">
        <v>1838</v>
      </c>
      <c r="B13" s="4741" t="s">
        <v>2910</v>
      </c>
      <c r="C13" s="4741"/>
      <c r="D13" s="4741"/>
      <c r="E13" s="4741"/>
      <c r="F13" s="4741"/>
      <c r="G13" s="4743" t="s">
        <v>2805</v>
      </c>
      <c r="H13" s="4743"/>
    </row>
    <row r="14" spans="1:11" ht="12" hidden="1" customHeight="1">
      <c r="A14" s="624"/>
      <c r="B14" s="4698"/>
      <c r="C14" s="4698"/>
      <c r="D14" s="4698"/>
      <c r="E14" s="4698"/>
      <c r="F14" s="4698"/>
      <c r="G14" s="4698"/>
      <c r="H14" s="4698"/>
    </row>
    <row r="15" spans="1:11" ht="1.5" customHeight="1"/>
    <row r="16" spans="1:11" ht="12" customHeight="1">
      <c r="A16" s="624" t="s">
        <v>697</v>
      </c>
      <c r="B16" s="431" t="s">
        <v>2913</v>
      </c>
      <c r="G16" s="4744" t="s">
        <v>2645</v>
      </c>
      <c r="H16" s="4744"/>
    </row>
    <row r="17" spans="1:8" ht="1.5" customHeight="1">
      <c r="G17" s="608"/>
    </row>
    <row r="18" spans="1:8" ht="12" customHeight="1">
      <c r="A18" s="624" t="s">
        <v>1957</v>
      </c>
      <c r="B18" s="605" t="s">
        <v>2911</v>
      </c>
      <c r="C18" s="624"/>
      <c r="D18" s="624"/>
      <c r="E18" s="624"/>
      <c r="G18" s="4698" t="s">
        <v>2508</v>
      </c>
      <c r="H18" s="4698"/>
    </row>
    <row r="19" spans="1:8" ht="12" hidden="1" customHeight="1">
      <c r="B19" s="4698"/>
      <c r="C19" s="4698"/>
      <c r="D19" s="4698"/>
      <c r="E19" s="4698"/>
      <c r="F19" s="4698"/>
      <c r="G19" s="4698"/>
      <c r="H19" s="4698"/>
    </row>
    <row r="20" spans="1:8" ht="13.5" customHeight="1"/>
    <row r="21" spans="1:8" ht="12" customHeight="1">
      <c r="A21" s="549" t="s">
        <v>2878</v>
      </c>
    </row>
    <row r="22" spans="1:8" ht="3" customHeight="1"/>
    <row r="23" spans="1:8" ht="24.75" customHeight="1">
      <c r="A23" s="4745" t="s">
        <v>3954</v>
      </c>
      <c r="B23" s="4745"/>
      <c r="C23" s="4745"/>
      <c r="D23" s="4745"/>
      <c r="E23" s="4745"/>
      <c r="F23" s="4745"/>
      <c r="G23" s="4745"/>
      <c r="H23" s="4745"/>
    </row>
    <row r="24" spans="1:8" ht="9" customHeight="1" thickBot="1">
      <c r="A24" s="600"/>
    </row>
    <row r="25" spans="1:8" ht="16.149999999999999" customHeight="1" thickBot="1">
      <c r="A25" s="4738">
        <v>20</v>
      </c>
      <c r="B25" s="4739"/>
      <c r="C25" s="1387" t="s">
        <v>974</v>
      </c>
    </row>
    <row r="26" spans="1:8" ht="9" customHeight="1">
      <c r="A26" s="600"/>
    </row>
    <row r="27" spans="1:8" ht="28.15" customHeight="1">
      <c r="A27" s="4737" t="s">
        <v>3959</v>
      </c>
      <c r="B27" s="4737"/>
      <c r="C27" s="4737"/>
      <c r="D27" s="4737"/>
      <c r="E27" s="4737"/>
      <c r="F27" s="4737"/>
      <c r="G27" s="4737"/>
      <c r="H27" s="4737"/>
    </row>
    <row r="28" spans="1:8" ht="9" customHeight="1">
      <c r="A28" s="600"/>
    </row>
    <row r="29" spans="1:8" ht="13">
      <c r="A29" s="608" t="s">
        <v>2914</v>
      </c>
      <c r="B29" s="625" t="str">
        <f>IF('Part V-Revenues &amp; Expenses'!$K$62=0,"",'Part V-Revenues &amp; Expenses'!$K$62)</f>
        <v/>
      </c>
      <c r="C29" s="608" t="s">
        <v>3952</v>
      </c>
      <c r="D29" s="626" t="s">
        <v>3953</v>
      </c>
    </row>
    <row r="30" spans="1:8" ht="1.9" customHeight="1"/>
    <row r="31" spans="1:8" ht="12.75" customHeight="1">
      <c r="C31" s="605" t="s">
        <v>2879</v>
      </c>
      <c r="D31" s="627" t="s">
        <v>1839</v>
      </c>
      <c r="E31" s="628"/>
      <c r="F31" s="4737" t="s">
        <v>2880</v>
      </c>
      <c r="G31" s="4737"/>
      <c r="H31" s="4737"/>
    </row>
    <row r="32" spans="1:8" ht="12.75" customHeight="1">
      <c r="C32" s="629" t="s">
        <v>1273</v>
      </c>
      <c r="D32" s="627" t="s">
        <v>1841</v>
      </c>
      <c r="E32" s="4737" t="s">
        <v>2919</v>
      </c>
      <c r="F32" s="4737"/>
      <c r="G32" s="4737"/>
      <c r="H32" s="4737"/>
    </row>
    <row r="33" spans="1:11" ht="12.75" customHeight="1">
      <c r="C33" s="1385" t="s">
        <v>3957</v>
      </c>
      <c r="E33" s="4737" t="s">
        <v>3038</v>
      </c>
      <c r="F33" s="4737"/>
      <c r="G33" s="4737"/>
      <c r="H33" s="4737"/>
    </row>
    <row r="34" spans="1:11" ht="12.75" customHeight="1">
      <c r="C34" s="1386"/>
      <c r="D34" s="1384" t="s">
        <v>2918</v>
      </c>
      <c r="E34" s="4740" t="s">
        <v>3039</v>
      </c>
      <c r="F34" s="4740"/>
      <c r="G34" s="4740"/>
      <c r="H34" s="4740"/>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37" t="s">
        <v>2919</v>
      </c>
      <c r="F37" s="4737"/>
      <c r="G37" s="4737"/>
      <c r="H37" s="4737"/>
    </row>
    <row r="38" spans="1:11" ht="12.75" customHeight="1">
      <c r="C38" s="1385" t="s">
        <v>3957</v>
      </c>
      <c r="E38" s="4737" t="s">
        <v>3038</v>
      </c>
      <c r="F38" s="4737"/>
      <c r="G38" s="4737"/>
      <c r="H38" s="4737"/>
    </row>
    <row r="39" spans="1:11" ht="12.75" customHeight="1">
      <c r="C39" s="1386"/>
      <c r="D39" s="1384" t="s">
        <v>2918</v>
      </c>
      <c r="E39" s="4740" t="s">
        <v>3039</v>
      </c>
      <c r="F39" s="4740"/>
      <c r="G39" s="4740"/>
      <c r="H39" s="4740"/>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37" t="s">
        <v>2919</v>
      </c>
      <c r="F42" s="4737"/>
      <c r="G42" s="4737"/>
      <c r="H42" s="4737"/>
    </row>
    <row r="43" spans="1:11" ht="12.75" customHeight="1">
      <c r="C43" s="1385" t="s">
        <v>3957</v>
      </c>
      <c r="E43" s="4737" t="s">
        <v>3038</v>
      </c>
      <c r="F43" s="4737"/>
      <c r="G43" s="4737"/>
      <c r="H43" s="4737"/>
    </row>
    <row r="44" spans="1:11" ht="12.75" customHeight="1">
      <c r="C44" s="1386"/>
      <c r="D44" s="1384" t="s">
        <v>2918</v>
      </c>
      <c r="E44" s="4740" t="s">
        <v>3039</v>
      </c>
      <c r="F44" s="4740"/>
      <c r="G44" s="4740"/>
      <c r="H44" s="4740"/>
    </row>
    <row r="45" spans="1:11" ht="6" customHeight="1">
      <c r="D45" s="627"/>
      <c r="E45" s="1004"/>
      <c r="F45" s="1004"/>
      <c r="G45" s="1004"/>
      <c r="H45" s="1004"/>
    </row>
    <row r="46" spans="1:11" ht="13">
      <c r="A46" s="608" t="s">
        <v>2914</v>
      </c>
      <c r="B46" s="625" t="str">
        <f>IF('Part V-Revenues &amp; Expenses'!$L$62=0,"",'Part V-Revenues &amp; Expenses'!$L$62)</f>
        <v/>
      </c>
      <c r="C46" s="608" t="s">
        <v>2915</v>
      </c>
      <c r="D46" s="626" t="s">
        <v>3040</v>
      </c>
    </row>
    <row r="47" spans="1:11" ht="1.9"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37" t="s">
        <v>2919</v>
      </c>
      <c r="F49" s="4737"/>
      <c r="G49" s="4737"/>
      <c r="H49" s="4737"/>
      <c r="K49" s="599"/>
    </row>
    <row r="50" spans="1:11" ht="12.75" customHeight="1">
      <c r="C50" s="1385" t="s">
        <v>3957</v>
      </c>
      <c r="E50" s="4737" t="s">
        <v>3038</v>
      </c>
      <c r="F50" s="4737"/>
      <c r="G50" s="4737"/>
      <c r="H50" s="4737"/>
    </row>
    <row r="51" spans="1:11" ht="12.75" customHeight="1">
      <c r="C51" s="1386"/>
      <c r="D51" s="630" t="s">
        <v>2918</v>
      </c>
      <c r="E51" s="4737" t="s">
        <v>3039</v>
      </c>
      <c r="F51" s="4737"/>
      <c r="G51" s="4737"/>
      <c r="H51" s="4737"/>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37" t="s">
        <v>2919</v>
      </c>
      <c r="F54" s="4737"/>
      <c r="G54" s="4737"/>
      <c r="H54" s="4737"/>
    </row>
    <row r="55" spans="1:11" ht="12.75" customHeight="1">
      <c r="C55" s="1385" t="s">
        <v>3957</v>
      </c>
      <c r="E55" s="4737" t="s">
        <v>3038</v>
      </c>
      <c r="F55" s="4737"/>
      <c r="G55" s="4737"/>
      <c r="H55" s="4737"/>
    </row>
    <row r="56" spans="1:11" ht="12.75" customHeight="1">
      <c r="C56" s="1386"/>
      <c r="D56" s="1384" t="s">
        <v>2918</v>
      </c>
      <c r="E56" s="4740" t="s">
        <v>3039</v>
      </c>
      <c r="F56" s="4740"/>
      <c r="G56" s="4740"/>
      <c r="H56" s="4740"/>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37" t="s">
        <v>2919</v>
      </c>
      <c r="F59" s="4737"/>
      <c r="G59" s="4737"/>
      <c r="H59" s="4737"/>
    </row>
    <row r="60" spans="1:11" ht="12.75" customHeight="1">
      <c r="C60" s="1385" t="s">
        <v>3957</v>
      </c>
      <c r="E60" s="4737" t="s">
        <v>3038</v>
      </c>
      <c r="F60" s="4737"/>
      <c r="G60" s="4737"/>
      <c r="H60" s="4737"/>
    </row>
    <row r="61" spans="1:11" ht="12.75" customHeight="1">
      <c r="C61" s="1386"/>
      <c r="D61" s="1384" t="s">
        <v>2918</v>
      </c>
      <c r="E61" s="4740" t="s">
        <v>3039</v>
      </c>
      <c r="F61" s="4740"/>
      <c r="G61" s="4740"/>
      <c r="H61" s="4740"/>
    </row>
    <row r="62" spans="1:11" ht="6" customHeight="1">
      <c r="D62" s="627"/>
      <c r="E62" s="1004"/>
      <c r="F62" s="1004"/>
      <c r="G62" s="1004"/>
      <c r="H62" s="1004"/>
    </row>
    <row r="63" spans="1:11" ht="13">
      <c r="A63" s="608" t="s">
        <v>2914</v>
      </c>
      <c r="B63" s="625" t="str">
        <f>IF('Part V-Revenues &amp; Expenses'!$M$62=0,"",'Part V-Revenues &amp; Expenses'!$M$62)</f>
        <v/>
      </c>
      <c r="C63" s="608" t="s">
        <v>2916</v>
      </c>
      <c r="D63" s="626" t="s">
        <v>3041</v>
      </c>
    </row>
    <row r="64" spans="1:11" ht="1.9" customHeight="1"/>
    <row r="65" spans="1:8" ht="12.75" customHeight="1">
      <c r="C65" s="605" t="s">
        <v>2879</v>
      </c>
      <c r="D65" s="627" t="s">
        <v>1839</v>
      </c>
      <c r="E65" s="628"/>
      <c r="F65" s="624" t="s">
        <v>2880</v>
      </c>
      <c r="G65" s="624"/>
      <c r="H65" s="624"/>
    </row>
    <row r="66" spans="1:8" ht="12.75" customHeight="1">
      <c r="C66" s="629" t="s">
        <v>1273</v>
      </c>
      <c r="D66" s="627" t="s">
        <v>1841</v>
      </c>
      <c r="E66" s="4737" t="s">
        <v>2919</v>
      </c>
      <c r="F66" s="4737"/>
      <c r="G66" s="4737"/>
      <c r="H66" s="4737"/>
    </row>
    <row r="67" spans="1:8" ht="12.75" customHeight="1">
      <c r="C67" s="1385" t="s">
        <v>3957</v>
      </c>
      <c r="E67" s="4737" t="s">
        <v>3038</v>
      </c>
      <c r="F67" s="4737"/>
      <c r="G67" s="4737"/>
      <c r="H67" s="4737"/>
    </row>
    <row r="68" spans="1:8" ht="12.75" customHeight="1">
      <c r="C68" s="1386"/>
      <c r="D68" s="630" t="s">
        <v>2918</v>
      </c>
      <c r="E68" s="4737" t="s">
        <v>3039</v>
      </c>
      <c r="F68" s="4737"/>
      <c r="G68" s="4737"/>
      <c r="H68" s="4737"/>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37" t="s">
        <v>2919</v>
      </c>
      <c r="F71" s="4737"/>
      <c r="G71" s="4737"/>
      <c r="H71" s="4737"/>
    </row>
    <row r="72" spans="1:8" ht="12.75" customHeight="1">
      <c r="C72" s="1385" t="s">
        <v>3957</v>
      </c>
      <c r="E72" s="4737" t="s">
        <v>3038</v>
      </c>
      <c r="F72" s="4737"/>
      <c r="G72" s="4737"/>
      <c r="H72" s="4737"/>
    </row>
    <row r="73" spans="1:8" ht="12.75" customHeight="1">
      <c r="C73" s="1386"/>
      <c r="D73" s="1384" t="s">
        <v>2918</v>
      </c>
      <c r="E73" s="4740" t="s">
        <v>3039</v>
      </c>
      <c r="F73" s="4740"/>
      <c r="G73" s="4740"/>
      <c r="H73" s="4740"/>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37" t="s">
        <v>2919</v>
      </c>
      <c r="F76" s="4737"/>
      <c r="G76" s="4737"/>
      <c r="H76" s="4737"/>
    </row>
    <row r="77" spans="1:8" ht="12.75" customHeight="1">
      <c r="C77" s="1385" t="s">
        <v>3957</v>
      </c>
      <c r="E77" s="4737" t="s">
        <v>3038</v>
      </c>
      <c r="F77" s="4737"/>
      <c r="G77" s="4737"/>
      <c r="H77" s="4737"/>
    </row>
    <row r="78" spans="1:8" ht="12.75" customHeight="1">
      <c r="C78" s="1386"/>
      <c r="D78" s="1384" t="s">
        <v>2918</v>
      </c>
      <c r="E78" s="4740" t="s">
        <v>3039</v>
      </c>
      <c r="F78" s="4740"/>
      <c r="G78" s="4740"/>
      <c r="H78" s="4740"/>
    </row>
    <row r="79" spans="1:8" ht="6" customHeight="1">
      <c r="D79" s="627"/>
      <c r="E79" s="1004"/>
      <c r="F79" s="1004"/>
      <c r="G79" s="1004"/>
      <c r="H79" s="1004"/>
    </row>
    <row r="80" spans="1:8" ht="13">
      <c r="A80" s="608" t="s">
        <v>2914</v>
      </c>
      <c r="B80" s="625" t="str">
        <f>IF('Part V-Revenues &amp; Expenses'!$N$62=0,"",'Part V-Revenues &amp; Expenses'!$N$62)</f>
        <v/>
      </c>
      <c r="C80" s="608" t="s">
        <v>2917</v>
      </c>
      <c r="D80" s="626" t="s">
        <v>3042</v>
      </c>
    </row>
    <row r="81" spans="3:8" ht="1.9" customHeight="1"/>
    <row r="82" spans="3:8" ht="12.75" customHeight="1">
      <c r="C82" s="605" t="s">
        <v>2879</v>
      </c>
      <c r="D82" s="627" t="s">
        <v>1839</v>
      </c>
      <c r="E82" s="628"/>
      <c r="F82" s="624" t="s">
        <v>2880</v>
      </c>
      <c r="G82" s="624"/>
      <c r="H82" s="624"/>
    </row>
    <row r="83" spans="3:8" ht="12.75" customHeight="1">
      <c r="C83" s="629" t="s">
        <v>1273</v>
      </c>
      <c r="D83" s="627" t="s">
        <v>1841</v>
      </c>
      <c r="E83" s="4737" t="s">
        <v>2919</v>
      </c>
      <c r="F83" s="4737"/>
      <c r="G83" s="4737"/>
      <c r="H83" s="4737"/>
    </row>
    <row r="84" spans="3:8" ht="12.75" customHeight="1">
      <c r="C84" s="1385" t="s">
        <v>3957</v>
      </c>
      <c r="E84" s="4737" t="s">
        <v>3038</v>
      </c>
      <c r="F84" s="4737"/>
      <c r="G84" s="4737"/>
      <c r="H84" s="4737"/>
    </row>
    <row r="85" spans="3:8" ht="12.75" customHeight="1">
      <c r="C85" s="1386"/>
      <c r="D85" s="630" t="s">
        <v>2918</v>
      </c>
      <c r="E85" s="4737" t="s">
        <v>3039</v>
      </c>
      <c r="F85" s="4737"/>
      <c r="G85" s="4737"/>
      <c r="H85" s="4737"/>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37" t="s">
        <v>2919</v>
      </c>
      <c r="F88" s="4737"/>
      <c r="G88" s="4737"/>
      <c r="H88" s="4737"/>
    </row>
    <row r="89" spans="3:8" ht="12.75" customHeight="1">
      <c r="C89" s="1385" t="s">
        <v>3957</v>
      </c>
      <c r="E89" s="4737" t="s">
        <v>3038</v>
      </c>
      <c r="F89" s="4737"/>
      <c r="G89" s="4737"/>
      <c r="H89" s="4737"/>
    </row>
    <row r="90" spans="3:8" ht="12.75" customHeight="1">
      <c r="C90" s="1386"/>
      <c r="D90" s="1384" t="s">
        <v>2918</v>
      </c>
      <c r="E90" s="4740" t="s">
        <v>3039</v>
      </c>
      <c r="F90" s="4740"/>
      <c r="G90" s="4740"/>
      <c r="H90" s="4740"/>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37" t="s">
        <v>2919</v>
      </c>
      <c r="F93" s="4737"/>
      <c r="G93" s="4737"/>
      <c r="H93" s="4737"/>
    </row>
    <row r="94" spans="3:8" ht="12.75" customHeight="1">
      <c r="C94" s="1385" t="s">
        <v>3957</v>
      </c>
      <c r="E94" s="4737" t="s">
        <v>3038</v>
      </c>
      <c r="F94" s="4737"/>
      <c r="G94" s="4737"/>
      <c r="H94" s="4737"/>
    </row>
    <row r="95" spans="3:8" ht="12.75" customHeight="1">
      <c r="C95" s="1386"/>
      <c r="D95" s="1384" t="s">
        <v>2918</v>
      </c>
      <c r="E95" s="4740" t="s">
        <v>3039</v>
      </c>
      <c r="F95" s="4740"/>
      <c r="G95" s="4740"/>
      <c r="H95" s="4740"/>
    </row>
    <row r="96" spans="3:8" ht="6" customHeight="1">
      <c r="D96" s="627"/>
      <c r="E96" s="1004"/>
      <c r="F96" s="1004"/>
      <c r="G96" s="1004"/>
      <c r="H96" s="1004"/>
    </row>
    <row r="97" spans="1:11" ht="13">
      <c r="A97" s="608" t="s">
        <v>2914</v>
      </c>
      <c r="B97" s="625" t="str">
        <f>IF('Part V-Revenues &amp; Expenses'!$O$62=0,"",'Part V-Revenues &amp; Expenses'!$O$62)</f>
        <v/>
      </c>
      <c r="C97" s="608" t="s">
        <v>3955</v>
      </c>
      <c r="D97" s="626" t="s">
        <v>3956</v>
      </c>
    </row>
    <row r="98" spans="1:11" ht="1.9" customHeight="1"/>
    <row r="99" spans="1:11" ht="12.75" customHeight="1">
      <c r="C99" s="605" t="s">
        <v>2879</v>
      </c>
      <c r="D99" s="627" t="s">
        <v>1839</v>
      </c>
      <c r="E99" s="628"/>
      <c r="F99" s="4737" t="s">
        <v>2880</v>
      </c>
      <c r="G99" s="4737"/>
      <c r="H99" s="4737"/>
      <c r="K99" s="431" t="s">
        <v>233</v>
      </c>
    </row>
    <row r="100" spans="1:11" ht="12.75" customHeight="1">
      <c r="C100" s="629" t="s">
        <v>1273</v>
      </c>
      <c r="D100" s="627" t="s">
        <v>1841</v>
      </c>
      <c r="E100" s="4737" t="s">
        <v>2920</v>
      </c>
      <c r="F100" s="4737"/>
      <c r="G100" s="4737"/>
      <c r="H100" s="4737"/>
    </row>
    <row r="101" spans="1:11" ht="12.75" customHeight="1">
      <c r="E101" s="4737" t="s">
        <v>3038</v>
      </c>
      <c r="F101" s="4737"/>
      <c r="G101" s="4737"/>
      <c r="H101" s="4737"/>
    </row>
    <row r="102" spans="1:11" ht="12.75" customHeight="1">
      <c r="D102" s="630" t="s">
        <v>2918</v>
      </c>
      <c r="E102" s="4737" t="s">
        <v>3039</v>
      </c>
      <c r="F102" s="4737"/>
      <c r="G102" s="4737"/>
      <c r="H102" s="4737"/>
    </row>
    <row r="103" spans="1:11" ht="9" customHeight="1" thickBot="1"/>
    <row r="104" spans="1:11" ht="16.149999999999999" customHeight="1" thickBot="1">
      <c r="A104" s="4738">
        <v>30</v>
      </c>
      <c r="B104" s="4739"/>
      <c r="C104" s="1387" t="s">
        <v>974</v>
      </c>
    </row>
    <row r="105" spans="1:11" ht="9" customHeight="1">
      <c r="A105" s="600"/>
    </row>
    <row r="106" spans="1:11" ht="28.15" customHeight="1">
      <c r="A106" s="4737" t="s">
        <v>3960</v>
      </c>
      <c r="B106" s="4737"/>
      <c r="C106" s="4737"/>
      <c r="D106" s="4737"/>
      <c r="E106" s="4737"/>
      <c r="F106" s="4737"/>
      <c r="G106" s="4737"/>
      <c r="H106" s="4737"/>
    </row>
    <row r="107" spans="1:11" ht="9" customHeight="1">
      <c r="A107" s="600"/>
    </row>
    <row r="108" spans="1:11" ht="13">
      <c r="A108" s="608" t="s">
        <v>2914</v>
      </c>
      <c r="B108" s="625" t="str">
        <f>IF('Part V-Revenues &amp; Expenses'!$K$61=0,"",'Part V-Revenues &amp; Expenses'!$K$61)</f>
        <v/>
      </c>
      <c r="C108" s="608" t="s">
        <v>3952</v>
      </c>
      <c r="D108" s="626" t="s">
        <v>3953</v>
      </c>
    </row>
    <row r="109" spans="1:11" ht="1.9" customHeight="1"/>
    <row r="110" spans="1:11" ht="12.75" customHeight="1">
      <c r="C110" s="605" t="s">
        <v>2879</v>
      </c>
      <c r="D110" s="627" t="s">
        <v>1839</v>
      </c>
      <c r="E110" s="628"/>
      <c r="F110" s="4737" t="s">
        <v>2880</v>
      </c>
      <c r="G110" s="4737"/>
      <c r="H110" s="4737"/>
    </row>
    <row r="111" spans="1:11" ht="12.75" customHeight="1">
      <c r="C111" s="629" t="s">
        <v>1273</v>
      </c>
      <c r="D111" s="627" t="s">
        <v>1841</v>
      </c>
      <c r="E111" s="4737" t="s">
        <v>2919</v>
      </c>
      <c r="F111" s="4737"/>
      <c r="G111" s="4737"/>
      <c r="H111" s="4737"/>
    </row>
    <row r="112" spans="1:11" ht="12.75" customHeight="1">
      <c r="C112" s="1385" t="s">
        <v>3957</v>
      </c>
      <c r="E112" s="4737" t="s">
        <v>3038</v>
      </c>
      <c r="F112" s="4737"/>
      <c r="G112" s="4737"/>
      <c r="H112" s="4737"/>
    </row>
    <row r="113" spans="1:8" ht="12.75" customHeight="1">
      <c r="C113" s="1386"/>
      <c r="D113" s="1384" t="s">
        <v>2918</v>
      </c>
      <c r="E113" s="4740" t="s">
        <v>3039</v>
      </c>
      <c r="F113" s="4740"/>
      <c r="G113" s="4740"/>
      <c r="H113" s="4740"/>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37" t="s">
        <v>2919</v>
      </c>
      <c r="F116" s="4737"/>
      <c r="G116" s="4737"/>
      <c r="H116" s="4737"/>
    </row>
    <row r="117" spans="1:8" ht="12.75" customHeight="1">
      <c r="C117" s="1385" t="s">
        <v>3957</v>
      </c>
      <c r="E117" s="4737" t="s">
        <v>3038</v>
      </c>
      <c r="F117" s="4737"/>
      <c r="G117" s="4737"/>
      <c r="H117" s="4737"/>
    </row>
    <row r="118" spans="1:8" ht="12.75" customHeight="1">
      <c r="C118" s="1386"/>
      <c r="D118" s="1384" t="s">
        <v>2918</v>
      </c>
      <c r="E118" s="4740" t="s">
        <v>3039</v>
      </c>
      <c r="F118" s="4740"/>
      <c r="G118" s="4740"/>
      <c r="H118" s="4740"/>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37" t="s">
        <v>2919</v>
      </c>
      <c r="F121" s="4737"/>
      <c r="G121" s="4737"/>
      <c r="H121" s="4737"/>
    </row>
    <row r="122" spans="1:8" ht="12.75" customHeight="1">
      <c r="C122" s="1385" t="s">
        <v>3957</v>
      </c>
      <c r="E122" s="4737" t="s">
        <v>3038</v>
      </c>
      <c r="F122" s="4737"/>
      <c r="G122" s="4737"/>
      <c r="H122" s="4737"/>
    </row>
    <row r="123" spans="1:8" ht="12.75" customHeight="1">
      <c r="C123" s="1386"/>
      <c r="D123" s="1384" t="s">
        <v>2918</v>
      </c>
      <c r="E123" s="4740" t="s">
        <v>3039</v>
      </c>
      <c r="F123" s="4740"/>
      <c r="G123" s="4740"/>
      <c r="H123" s="4740"/>
    </row>
    <row r="124" spans="1:8" ht="6" customHeight="1">
      <c r="D124" s="627"/>
      <c r="E124" s="1004"/>
      <c r="F124" s="1004"/>
      <c r="G124" s="1004"/>
      <c r="H124" s="1004"/>
    </row>
    <row r="125" spans="1:8" ht="13">
      <c r="A125" s="608" t="s">
        <v>2914</v>
      </c>
      <c r="B125" s="625" t="str">
        <f>IF('Part V-Revenues &amp; Expenses'!$L$61=0,"",'Part V-Revenues &amp; Expenses'!$L$61)</f>
        <v/>
      </c>
      <c r="C125" s="608" t="s">
        <v>2915</v>
      </c>
      <c r="D125" s="626" t="s">
        <v>3040</v>
      </c>
    </row>
    <row r="126" spans="1:8" ht="1.9" customHeight="1"/>
    <row r="127" spans="1:8" ht="12.75" customHeight="1">
      <c r="C127" s="605" t="s">
        <v>2879</v>
      </c>
      <c r="D127" s="627" t="s">
        <v>1839</v>
      </c>
      <c r="E127" s="628"/>
      <c r="F127" s="624" t="s">
        <v>2880</v>
      </c>
      <c r="G127" s="624"/>
      <c r="H127" s="624"/>
    </row>
    <row r="128" spans="1:8" ht="12.75" customHeight="1">
      <c r="C128" s="629" t="s">
        <v>1273</v>
      </c>
      <c r="D128" s="627" t="s">
        <v>1841</v>
      </c>
      <c r="E128" s="4737" t="s">
        <v>2919</v>
      </c>
      <c r="F128" s="4737"/>
      <c r="G128" s="4737"/>
      <c r="H128" s="4737"/>
    </row>
    <row r="129" spans="1:8" ht="12.75" customHeight="1">
      <c r="C129" s="1385" t="s">
        <v>3957</v>
      </c>
      <c r="E129" s="4737" t="s">
        <v>3038</v>
      </c>
      <c r="F129" s="4737"/>
      <c r="G129" s="4737"/>
      <c r="H129" s="4737"/>
    </row>
    <row r="130" spans="1:8" ht="12.75" customHeight="1">
      <c r="C130" s="1386"/>
      <c r="D130" s="630" t="s">
        <v>2918</v>
      </c>
      <c r="E130" s="4737" t="s">
        <v>3039</v>
      </c>
      <c r="F130" s="4737"/>
      <c r="G130" s="4737"/>
      <c r="H130" s="4737"/>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37" t="s">
        <v>2919</v>
      </c>
      <c r="F133" s="4737"/>
      <c r="G133" s="4737"/>
      <c r="H133" s="4737"/>
    </row>
    <row r="134" spans="1:8" ht="12.75" customHeight="1">
      <c r="C134" s="1385" t="s">
        <v>3957</v>
      </c>
      <c r="E134" s="4737" t="s">
        <v>3038</v>
      </c>
      <c r="F134" s="4737"/>
      <c r="G134" s="4737"/>
      <c r="H134" s="4737"/>
    </row>
    <row r="135" spans="1:8" ht="12.75" customHeight="1">
      <c r="C135" s="1386"/>
      <c r="D135" s="1384" t="s">
        <v>2918</v>
      </c>
      <c r="E135" s="4740" t="s">
        <v>3039</v>
      </c>
      <c r="F135" s="4740"/>
      <c r="G135" s="4740"/>
      <c r="H135" s="4740"/>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37" t="s">
        <v>2919</v>
      </c>
      <c r="F138" s="4737"/>
      <c r="G138" s="4737"/>
      <c r="H138" s="4737"/>
    </row>
    <row r="139" spans="1:8" ht="12.75" customHeight="1">
      <c r="C139" s="1385" t="s">
        <v>3957</v>
      </c>
      <c r="E139" s="4737" t="s">
        <v>3038</v>
      </c>
      <c r="F139" s="4737"/>
      <c r="G139" s="4737"/>
      <c r="H139" s="4737"/>
    </row>
    <row r="140" spans="1:8" ht="12.75" customHeight="1">
      <c r="C140" s="1386"/>
      <c r="D140" s="1384" t="s">
        <v>2918</v>
      </c>
      <c r="E140" s="4740" t="s">
        <v>3039</v>
      </c>
      <c r="F140" s="4740"/>
      <c r="G140" s="4740"/>
      <c r="H140" s="4740"/>
    </row>
    <row r="141" spans="1:8" ht="6" customHeight="1">
      <c r="D141" s="627"/>
      <c r="E141" s="1004"/>
      <c r="F141" s="1004"/>
      <c r="G141" s="1004"/>
      <c r="H141" s="1004"/>
    </row>
    <row r="142" spans="1:8" ht="13">
      <c r="A142" s="608" t="s">
        <v>2914</v>
      </c>
      <c r="B142" s="625" t="str">
        <f>IF('Part V-Revenues &amp; Expenses'!$M$61=0,"",'Part V-Revenues &amp; Expenses'!$M$61)</f>
        <v/>
      </c>
      <c r="C142" s="608" t="s">
        <v>2916</v>
      </c>
      <c r="D142" s="626" t="s">
        <v>3041</v>
      </c>
    </row>
    <row r="143" spans="1:8" ht="1.9" customHeight="1"/>
    <row r="144" spans="1:8" ht="12.75" customHeight="1">
      <c r="C144" s="605" t="s">
        <v>2879</v>
      </c>
      <c r="D144" s="627" t="s">
        <v>1839</v>
      </c>
      <c r="E144" s="628"/>
      <c r="F144" s="624" t="s">
        <v>2880</v>
      </c>
      <c r="G144" s="624"/>
      <c r="H144" s="624"/>
    </row>
    <row r="145" spans="1:8" ht="12.75" customHeight="1">
      <c r="C145" s="629" t="s">
        <v>1273</v>
      </c>
      <c r="D145" s="627" t="s">
        <v>1841</v>
      </c>
      <c r="E145" s="4737" t="s">
        <v>2919</v>
      </c>
      <c r="F145" s="4737"/>
      <c r="G145" s="4737"/>
      <c r="H145" s="4737"/>
    </row>
    <row r="146" spans="1:8" ht="12.75" customHeight="1">
      <c r="C146" s="1385" t="s">
        <v>3957</v>
      </c>
      <c r="E146" s="4737" t="s">
        <v>3038</v>
      </c>
      <c r="F146" s="4737"/>
      <c r="G146" s="4737"/>
      <c r="H146" s="4737"/>
    </row>
    <row r="147" spans="1:8" ht="12.75" customHeight="1">
      <c r="C147" s="1386"/>
      <c r="D147" s="630" t="s">
        <v>2918</v>
      </c>
      <c r="E147" s="4737" t="s">
        <v>3039</v>
      </c>
      <c r="F147" s="4737"/>
      <c r="G147" s="4737"/>
      <c r="H147" s="4737"/>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37" t="s">
        <v>2919</v>
      </c>
      <c r="F150" s="4737"/>
      <c r="G150" s="4737"/>
      <c r="H150" s="4737"/>
    </row>
    <row r="151" spans="1:8" ht="12.75" customHeight="1">
      <c r="C151" s="1385" t="s">
        <v>3957</v>
      </c>
      <c r="E151" s="4737" t="s">
        <v>3038</v>
      </c>
      <c r="F151" s="4737"/>
      <c r="G151" s="4737"/>
      <c r="H151" s="4737"/>
    </row>
    <row r="152" spans="1:8" ht="12.75" customHeight="1">
      <c r="C152" s="1386"/>
      <c r="D152" s="1384" t="s">
        <v>2918</v>
      </c>
      <c r="E152" s="4740" t="s">
        <v>3039</v>
      </c>
      <c r="F152" s="4740"/>
      <c r="G152" s="4740"/>
      <c r="H152" s="4740"/>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37" t="s">
        <v>2919</v>
      </c>
      <c r="F155" s="4737"/>
      <c r="G155" s="4737"/>
      <c r="H155" s="4737"/>
    </row>
    <row r="156" spans="1:8" ht="12.75" customHeight="1">
      <c r="C156" s="1385" t="s">
        <v>3957</v>
      </c>
      <c r="E156" s="4737" t="s">
        <v>3038</v>
      </c>
      <c r="F156" s="4737"/>
      <c r="G156" s="4737"/>
      <c r="H156" s="4737"/>
    </row>
    <row r="157" spans="1:8" ht="12.75" customHeight="1">
      <c r="C157" s="1386"/>
      <c r="D157" s="1384" t="s">
        <v>2918</v>
      </c>
      <c r="E157" s="4740" t="s">
        <v>3039</v>
      </c>
      <c r="F157" s="4740"/>
      <c r="G157" s="4740"/>
      <c r="H157" s="4740"/>
    </row>
    <row r="158" spans="1:8" ht="6" customHeight="1">
      <c r="D158" s="627"/>
      <c r="E158" s="1004"/>
      <c r="F158" s="1004"/>
      <c r="G158" s="1004"/>
      <c r="H158" s="1004"/>
    </row>
    <row r="159" spans="1:8" ht="13">
      <c r="A159" s="608" t="s">
        <v>2914</v>
      </c>
      <c r="B159" s="625" t="str">
        <f>IF('Part V-Revenues &amp; Expenses'!$N$61=0,"",'Part V-Revenues &amp; Expenses'!$N$61)</f>
        <v/>
      </c>
      <c r="C159" s="608" t="s">
        <v>2917</v>
      </c>
      <c r="D159" s="626" t="s">
        <v>3042</v>
      </c>
    </row>
    <row r="160" spans="1:8" ht="1.9" customHeight="1"/>
    <row r="161" spans="1:8" ht="12.75" customHeight="1">
      <c r="C161" s="605" t="s">
        <v>2879</v>
      </c>
      <c r="D161" s="627" t="s">
        <v>1839</v>
      </c>
      <c r="E161" s="628"/>
      <c r="F161" s="624" t="s">
        <v>2880</v>
      </c>
      <c r="G161" s="624"/>
      <c r="H161" s="624"/>
    </row>
    <row r="162" spans="1:8" ht="12.75" customHeight="1">
      <c r="C162" s="629" t="s">
        <v>1273</v>
      </c>
      <c r="D162" s="627" t="s">
        <v>1841</v>
      </c>
      <c r="E162" s="4737" t="s">
        <v>2919</v>
      </c>
      <c r="F162" s="4737"/>
      <c r="G162" s="4737"/>
      <c r="H162" s="4737"/>
    </row>
    <row r="163" spans="1:8" ht="12.75" customHeight="1">
      <c r="C163" s="1385" t="s">
        <v>3957</v>
      </c>
      <c r="E163" s="4737" t="s">
        <v>3038</v>
      </c>
      <c r="F163" s="4737"/>
      <c r="G163" s="4737"/>
      <c r="H163" s="4737"/>
    </row>
    <row r="164" spans="1:8" ht="12.75" customHeight="1">
      <c r="C164" s="1386"/>
      <c r="D164" s="630" t="s">
        <v>2918</v>
      </c>
      <c r="E164" s="4737" t="s">
        <v>3039</v>
      </c>
      <c r="F164" s="4737"/>
      <c r="G164" s="4737"/>
      <c r="H164" s="4737"/>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37" t="s">
        <v>2919</v>
      </c>
      <c r="F167" s="4737"/>
      <c r="G167" s="4737"/>
      <c r="H167" s="4737"/>
    </row>
    <row r="168" spans="1:8" ht="12.75" customHeight="1">
      <c r="C168" s="1385" t="s">
        <v>3957</v>
      </c>
      <c r="E168" s="4737" t="s">
        <v>3038</v>
      </c>
      <c r="F168" s="4737"/>
      <c r="G168" s="4737"/>
      <c r="H168" s="4737"/>
    </row>
    <row r="169" spans="1:8" ht="12.75" customHeight="1">
      <c r="C169" s="1386"/>
      <c r="D169" s="1384" t="s">
        <v>2918</v>
      </c>
      <c r="E169" s="4740" t="s">
        <v>3039</v>
      </c>
      <c r="F169" s="4740"/>
      <c r="G169" s="4740"/>
      <c r="H169" s="4740"/>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37" t="s">
        <v>2919</v>
      </c>
      <c r="F172" s="4737"/>
      <c r="G172" s="4737"/>
      <c r="H172" s="4737"/>
    </row>
    <row r="173" spans="1:8" ht="12.75" customHeight="1">
      <c r="C173" s="1385" t="s">
        <v>3957</v>
      </c>
      <c r="E173" s="4737" t="s">
        <v>3038</v>
      </c>
      <c r="F173" s="4737"/>
      <c r="G173" s="4737"/>
      <c r="H173" s="4737"/>
    </row>
    <row r="174" spans="1:8" ht="12.75" customHeight="1">
      <c r="C174" s="1386"/>
      <c r="D174" s="1384" t="s">
        <v>2918</v>
      </c>
      <c r="E174" s="4740" t="s">
        <v>3039</v>
      </c>
      <c r="F174" s="4740"/>
      <c r="G174" s="4740"/>
      <c r="H174" s="4740"/>
    </row>
    <row r="175" spans="1:8" ht="6" customHeight="1">
      <c r="D175" s="627"/>
      <c r="E175" s="1004"/>
      <c r="F175" s="1004"/>
      <c r="G175" s="1004"/>
      <c r="H175" s="1004"/>
    </row>
    <row r="176" spans="1:8" ht="13">
      <c r="A176" s="608" t="s">
        <v>2914</v>
      </c>
      <c r="B176" s="625" t="str">
        <f>IF('Part V-Revenues &amp; Expenses'!$O61=0,"",'Part V-Revenues &amp; Expenses'!$O$61)</f>
        <v/>
      </c>
      <c r="C176" s="608" t="s">
        <v>3955</v>
      </c>
      <c r="D176" s="626" t="s">
        <v>3956</v>
      </c>
    </row>
    <row r="177" spans="1:11" ht="1.9" customHeight="1"/>
    <row r="178" spans="1:11" ht="12.75" customHeight="1">
      <c r="C178" s="605" t="s">
        <v>2879</v>
      </c>
      <c r="D178" s="627" t="s">
        <v>1839</v>
      </c>
      <c r="E178" s="628"/>
      <c r="F178" s="4737" t="s">
        <v>2880</v>
      </c>
      <c r="G178" s="4737"/>
      <c r="H178" s="4737"/>
      <c r="K178" s="431" t="s">
        <v>233</v>
      </c>
    </row>
    <row r="179" spans="1:11" ht="12.75" customHeight="1">
      <c r="C179" s="629" t="s">
        <v>1273</v>
      </c>
      <c r="D179" s="627" t="s">
        <v>1841</v>
      </c>
      <c r="E179" s="4737" t="s">
        <v>2920</v>
      </c>
      <c r="F179" s="4737"/>
      <c r="G179" s="4737"/>
      <c r="H179" s="4737"/>
    </row>
    <row r="180" spans="1:11" ht="12.75" customHeight="1">
      <c r="E180" s="4737" t="s">
        <v>3038</v>
      </c>
      <c r="F180" s="4737"/>
      <c r="G180" s="4737"/>
      <c r="H180" s="4737"/>
    </row>
    <row r="181" spans="1:11" ht="12.75" customHeight="1">
      <c r="D181" s="630" t="s">
        <v>2918</v>
      </c>
      <c r="E181" s="4737" t="s">
        <v>3039</v>
      </c>
      <c r="F181" s="4737"/>
      <c r="G181" s="4737"/>
      <c r="H181" s="4737"/>
    </row>
    <row r="182" spans="1:11" ht="9" customHeight="1" thickBot="1"/>
    <row r="183" spans="1:11" ht="16.149999999999999" customHeight="1" thickBot="1">
      <c r="A183" s="4738">
        <v>40</v>
      </c>
      <c r="B183" s="4739"/>
      <c r="C183" s="1387" t="s">
        <v>974</v>
      </c>
    </row>
    <row r="184" spans="1:11" ht="9" customHeight="1">
      <c r="A184" s="600"/>
    </row>
    <row r="185" spans="1:11" ht="28.15" customHeight="1">
      <c r="A185" s="4737" t="s">
        <v>3961</v>
      </c>
      <c r="B185" s="4737"/>
      <c r="C185" s="4737"/>
      <c r="D185" s="4737"/>
      <c r="E185" s="4737"/>
      <c r="F185" s="4737"/>
      <c r="G185" s="4737"/>
      <c r="H185" s="4737"/>
    </row>
    <row r="186" spans="1:11" ht="9" customHeight="1">
      <c r="A186" s="600"/>
    </row>
    <row r="187" spans="1:11" ht="13">
      <c r="A187" s="608" t="s">
        <v>2914</v>
      </c>
      <c r="B187" s="625" t="str">
        <f>IF('Part V-Revenues &amp; Expenses'!$K$60=0,"",'Part V-Revenues &amp; Expenses'!$K$60)</f>
        <v/>
      </c>
      <c r="C187" s="608" t="s">
        <v>3952</v>
      </c>
      <c r="D187" s="626" t="s">
        <v>3953</v>
      </c>
    </row>
    <row r="188" spans="1:11" ht="1.9" customHeight="1"/>
    <row r="189" spans="1:11" ht="12.75" customHeight="1">
      <c r="C189" s="605" t="s">
        <v>2879</v>
      </c>
      <c r="D189" s="627" t="s">
        <v>1839</v>
      </c>
      <c r="E189" s="628"/>
      <c r="F189" s="4737" t="s">
        <v>2880</v>
      </c>
      <c r="G189" s="4737"/>
      <c r="H189" s="4737"/>
    </row>
    <row r="190" spans="1:11" ht="12.75" customHeight="1">
      <c r="C190" s="629" t="s">
        <v>1273</v>
      </c>
      <c r="D190" s="627" t="s">
        <v>1841</v>
      </c>
      <c r="E190" s="4737" t="s">
        <v>2919</v>
      </c>
      <c r="F190" s="4737"/>
      <c r="G190" s="4737"/>
      <c r="H190" s="4737"/>
    </row>
    <row r="191" spans="1:11" ht="12.75" customHeight="1">
      <c r="C191" s="1385" t="s">
        <v>3957</v>
      </c>
      <c r="E191" s="4737" t="s">
        <v>3038</v>
      </c>
      <c r="F191" s="4737"/>
      <c r="G191" s="4737"/>
      <c r="H191" s="4737"/>
    </row>
    <row r="192" spans="1:11" ht="12.75" customHeight="1">
      <c r="C192" s="1386"/>
      <c r="D192" s="1384" t="s">
        <v>2918</v>
      </c>
      <c r="E192" s="4740" t="s">
        <v>3039</v>
      </c>
      <c r="F192" s="4740"/>
      <c r="G192" s="4740"/>
      <c r="H192" s="4740"/>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37" t="s">
        <v>2919</v>
      </c>
      <c r="F195" s="4737"/>
      <c r="G195" s="4737"/>
      <c r="H195" s="4737"/>
    </row>
    <row r="196" spans="1:8" ht="12.75" customHeight="1">
      <c r="C196" s="1385" t="s">
        <v>3957</v>
      </c>
      <c r="E196" s="4737" t="s">
        <v>3038</v>
      </c>
      <c r="F196" s="4737"/>
      <c r="G196" s="4737"/>
      <c r="H196" s="4737"/>
    </row>
    <row r="197" spans="1:8" ht="12.75" customHeight="1">
      <c r="C197" s="1386"/>
      <c r="D197" s="1384" t="s">
        <v>2918</v>
      </c>
      <c r="E197" s="4740" t="s">
        <v>3039</v>
      </c>
      <c r="F197" s="4740"/>
      <c r="G197" s="4740"/>
      <c r="H197" s="4740"/>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37" t="s">
        <v>2919</v>
      </c>
      <c r="F200" s="4737"/>
      <c r="G200" s="4737"/>
      <c r="H200" s="4737"/>
    </row>
    <row r="201" spans="1:8" ht="12.75" customHeight="1">
      <c r="C201" s="1385" t="s">
        <v>3957</v>
      </c>
      <c r="E201" s="4737" t="s">
        <v>3038</v>
      </c>
      <c r="F201" s="4737"/>
      <c r="G201" s="4737"/>
      <c r="H201" s="4737"/>
    </row>
    <row r="202" spans="1:8" ht="12.75" customHeight="1">
      <c r="C202" s="1386"/>
      <c r="D202" s="1384" t="s">
        <v>2918</v>
      </c>
      <c r="E202" s="4740" t="s">
        <v>3039</v>
      </c>
      <c r="F202" s="4740"/>
      <c r="G202" s="4740"/>
      <c r="H202" s="4740"/>
    </row>
    <row r="203" spans="1:8" ht="6" customHeight="1">
      <c r="D203" s="627"/>
      <c r="E203" s="1004"/>
      <c r="F203" s="1004"/>
      <c r="G203" s="1004"/>
      <c r="H203" s="1004"/>
    </row>
    <row r="204" spans="1:8" ht="13">
      <c r="A204" s="608" t="s">
        <v>2914</v>
      </c>
      <c r="B204" s="625" t="str">
        <f>IF('Part V-Revenues &amp; Expenses'!$L$60=0,"",'Part V-Revenues &amp; Expenses'!$L$60)</f>
        <v/>
      </c>
      <c r="C204" s="608" t="s">
        <v>2915</v>
      </c>
      <c r="D204" s="626" t="s">
        <v>3040</v>
      </c>
    </row>
    <row r="205" spans="1:8" ht="1.9" customHeight="1"/>
    <row r="206" spans="1:8" ht="12.75" customHeight="1">
      <c r="C206" s="605" t="s">
        <v>2879</v>
      </c>
      <c r="D206" s="627" t="s">
        <v>1839</v>
      </c>
      <c r="E206" s="628"/>
      <c r="F206" s="624" t="s">
        <v>2880</v>
      </c>
      <c r="G206" s="624"/>
      <c r="H206" s="624"/>
    </row>
    <row r="207" spans="1:8" ht="12.75" customHeight="1">
      <c r="C207" s="629" t="s">
        <v>1273</v>
      </c>
      <c r="D207" s="627" t="s">
        <v>1841</v>
      </c>
      <c r="E207" s="4737" t="s">
        <v>2919</v>
      </c>
      <c r="F207" s="4737"/>
      <c r="G207" s="4737"/>
      <c r="H207" s="4737"/>
    </row>
    <row r="208" spans="1:8" ht="12.75" customHeight="1">
      <c r="C208" s="1385" t="s">
        <v>3957</v>
      </c>
      <c r="E208" s="4737" t="s">
        <v>3038</v>
      </c>
      <c r="F208" s="4737"/>
      <c r="G208" s="4737"/>
      <c r="H208" s="4737"/>
    </row>
    <row r="209" spans="1:8" ht="12.75" customHeight="1">
      <c r="C209" s="1386"/>
      <c r="D209" s="630" t="s">
        <v>2918</v>
      </c>
      <c r="E209" s="4737" t="s">
        <v>3039</v>
      </c>
      <c r="F209" s="4737"/>
      <c r="G209" s="4737"/>
      <c r="H209" s="4737"/>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37" t="s">
        <v>2919</v>
      </c>
      <c r="F212" s="4737"/>
      <c r="G212" s="4737"/>
      <c r="H212" s="4737"/>
    </row>
    <row r="213" spans="1:8" ht="12.75" customHeight="1">
      <c r="C213" s="1385" t="s">
        <v>3957</v>
      </c>
      <c r="E213" s="4737" t="s">
        <v>3038</v>
      </c>
      <c r="F213" s="4737"/>
      <c r="G213" s="4737"/>
      <c r="H213" s="4737"/>
    </row>
    <row r="214" spans="1:8" ht="12.75" customHeight="1">
      <c r="C214" s="1386"/>
      <c r="D214" s="1384" t="s">
        <v>2918</v>
      </c>
      <c r="E214" s="4740" t="s">
        <v>3039</v>
      </c>
      <c r="F214" s="4740"/>
      <c r="G214" s="4740"/>
      <c r="H214" s="4740"/>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37" t="s">
        <v>2919</v>
      </c>
      <c r="F217" s="4737"/>
      <c r="G217" s="4737"/>
      <c r="H217" s="4737"/>
    </row>
    <row r="218" spans="1:8" ht="12.75" customHeight="1">
      <c r="C218" s="1385" t="s">
        <v>3957</v>
      </c>
      <c r="E218" s="4737" t="s">
        <v>3038</v>
      </c>
      <c r="F218" s="4737"/>
      <c r="G218" s="4737"/>
      <c r="H218" s="4737"/>
    </row>
    <row r="219" spans="1:8" ht="12.75" customHeight="1">
      <c r="C219" s="1386"/>
      <c r="D219" s="1384" t="s">
        <v>2918</v>
      </c>
      <c r="E219" s="4740" t="s">
        <v>3039</v>
      </c>
      <c r="F219" s="4740"/>
      <c r="G219" s="4740"/>
      <c r="H219" s="4740"/>
    </row>
    <row r="220" spans="1:8" ht="6" customHeight="1">
      <c r="D220" s="627"/>
      <c r="E220" s="1004"/>
      <c r="F220" s="1004"/>
      <c r="G220" s="1004"/>
      <c r="H220" s="1004"/>
    </row>
    <row r="221" spans="1:8" ht="13">
      <c r="A221" s="608" t="s">
        <v>2914</v>
      </c>
      <c r="B221" s="625" t="str">
        <f>IF('Part V-Revenues &amp; Expenses'!$M$60=0,"",'Part V-Revenues &amp; Expenses'!$M$60)</f>
        <v/>
      </c>
      <c r="C221" s="608" t="s">
        <v>2916</v>
      </c>
      <c r="D221" s="626" t="s">
        <v>3041</v>
      </c>
    </row>
    <row r="222" spans="1:8" ht="1.9" customHeight="1"/>
    <row r="223" spans="1:8" ht="12.75" customHeight="1">
      <c r="C223" s="605" t="s">
        <v>2879</v>
      </c>
      <c r="D223" s="627" t="s">
        <v>1839</v>
      </c>
      <c r="E223" s="628"/>
      <c r="F223" s="624" t="s">
        <v>2880</v>
      </c>
      <c r="G223" s="624"/>
      <c r="H223" s="624"/>
    </row>
    <row r="224" spans="1:8" ht="12.75" customHeight="1">
      <c r="C224" s="629" t="s">
        <v>1273</v>
      </c>
      <c r="D224" s="627" t="s">
        <v>1841</v>
      </c>
      <c r="E224" s="4737" t="s">
        <v>2919</v>
      </c>
      <c r="F224" s="4737"/>
      <c r="G224" s="4737"/>
      <c r="H224" s="4737"/>
    </row>
    <row r="225" spans="1:8" ht="12.75" customHeight="1">
      <c r="C225" s="1385" t="s">
        <v>3957</v>
      </c>
      <c r="E225" s="4737" t="s">
        <v>3038</v>
      </c>
      <c r="F225" s="4737"/>
      <c r="G225" s="4737"/>
      <c r="H225" s="4737"/>
    </row>
    <row r="226" spans="1:8" ht="12.75" customHeight="1">
      <c r="C226" s="1386"/>
      <c r="D226" s="630" t="s">
        <v>2918</v>
      </c>
      <c r="E226" s="4737" t="s">
        <v>3039</v>
      </c>
      <c r="F226" s="4737"/>
      <c r="G226" s="4737"/>
      <c r="H226" s="4737"/>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37" t="s">
        <v>2919</v>
      </c>
      <c r="F229" s="4737"/>
      <c r="G229" s="4737"/>
      <c r="H229" s="4737"/>
    </row>
    <row r="230" spans="1:8" ht="12.75" customHeight="1">
      <c r="C230" s="1385" t="s">
        <v>3957</v>
      </c>
      <c r="E230" s="4737" t="s">
        <v>3038</v>
      </c>
      <c r="F230" s="4737"/>
      <c r="G230" s="4737"/>
      <c r="H230" s="4737"/>
    </row>
    <row r="231" spans="1:8" ht="12.75" customHeight="1">
      <c r="C231" s="1386"/>
      <c r="D231" s="1384" t="s">
        <v>2918</v>
      </c>
      <c r="E231" s="4740" t="s">
        <v>3039</v>
      </c>
      <c r="F231" s="4740"/>
      <c r="G231" s="4740"/>
      <c r="H231" s="4740"/>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37" t="s">
        <v>2919</v>
      </c>
      <c r="F234" s="4737"/>
      <c r="G234" s="4737"/>
      <c r="H234" s="4737"/>
    </row>
    <row r="235" spans="1:8" ht="12.75" customHeight="1">
      <c r="C235" s="1385" t="s">
        <v>3957</v>
      </c>
      <c r="E235" s="4737" t="s">
        <v>3038</v>
      </c>
      <c r="F235" s="4737"/>
      <c r="G235" s="4737"/>
      <c r="H235" s="4737"/>
    </row>
    <row r="236" spans="1:8" ht="12.75" customHeight="1">
      <c r="C236" s="1386"/>
      <c r="D236" s="1384" t="s">
        <v>2918</v>
      </c>
      <c r="E236" s="4740" t="s">
        <v>3039</v>
      </c>
      <c r="F236" s="4740"/>
      <c r="G236" s="4740"/>
      <c r="H236" s="4740"/>
    </row>
    <row r="237" spans="1:8" ht="6" customHeight="1">
      <c r="D237" s="627"/>
      <c r="E237" s="1004"/>
      <c r="F237" s="1004"/>
      <c r="G237" s="1004"/>
      <c r="H237" s="1004"/>
    </row>
    <row r="238" spans="1:8" ht="13">
      <c r="A238" s="608" t="s">
        <v>2914</v>
      </c>
      <c r="B238" s="625" t="str">
        <f>IF('Part V-Revenues &amp; Expenses'!$N$60=0,"",'Part V-Revenues &amp; Expenses'!$N$60)</f>
        <v/>
      </c>
      <c r="C238" s="608" t="s">
        <v>2917</v>
      </c>
      <c r="D238" s="626" t="s">
        <v>3042</v>
      </c>
    </row>
    <row r="239" spans="1:8" ht="1.9" customHeight="1"/>
    <row r="240" spans="1:8" ht="12.75" customHeight="1">
      <c r="C240" s="605" t="s">
        <v>2879</v>
      </c>
      <c r="D240" s="627" t="s">
        <v>1839</v>
      </c>
      <c r="E240" s="628"/>
      <c r="F240" s="624" t="s">
        <v>2880</v>
      </c>
      <c r="G240" s="624"/>
      <c r="H240" s="624"/>
    </row>
    <row r="241" spans="1:8" ht="12.75" customHeight="1">
      <c r="C241" s="629" t="s">
        <v>1273</v>
      </c>
      <c r="D241" s="627" t="s">
        <v>1841</v>
      </c>
      <c r="E241" s="4737" t="s">
        <v>2919</v>
      </c>
      <c r="F241" s="4737"/>
      <c r="G241" s="4737"/>
      <c r="H241" s="4737"/>
    </row>
    <row r="242" spans="1:8" ht="12.75" customHeight="1">
      <c r="C242" s="1385" t="s">
        <v>3957</v>
      </c>
      <c r="E242" s="4737" t="s">
        <v>3038</v>
      </c>
      <c r="F242" s="4737"/>
      <c r="G242" s="4737"/>
      <c r="H242" s="4737"/>
    </row>
    <row r="243" spans="1:8" ht="12.75" customHeight="1">
      <c r="C243" s="1386"/>
      <c r="D243" s="630" t="s">
        <v>2918</v>
      </c>
      <c r="E243" s="4737" t="s">
        <v>3039</v>
      </c>
      <c r="F243" s="4737"/>
      <c r="G243" s="4737"/>
      <c r="H243" s="4737"/>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37" t="s">
        <v>2919</v>
      </c>
      <c r="F246" s="4737"/>
      <c r="G246" s="4737"/>
      <c r="H246" s="4737"/>
    </row>
    <row r="247" spans="1:8" ht="12.75" customHeight="1">
      <c r="C247" s="1385" t="s">
        <v>3957</v>
      </c>
      <c r="E247" s="4737" t="s">
        <v>3038</v>
      </c>
      <c r="F247" s="4737"/>
      <c r="G247" s="4737"/>
      <c r="H247" s="4737"/>
    </row>
    <row r="248" spans="1:8" ht="12.75" customHeight="1">
      <c r="C248" s="1386"/>
      <c r="D248" s="1384" t="s">
        <v>2918</v>
      </c>
      <c r="E248" s="4740" t="s">
        <v>3039</v>
      </c>
      <c r="F248" s="4740"/>
      <c r="G248" s="4740"/>
      <c r="H248" s="4740"/>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37" t="s">
        <v>2919</v>
      </c>
      <c r="F251" s="4737"/>
      <c r="G251" s="4737"/>
      <c r="H251" s="4737"/>
    </row>
    <row r="252" spans="1:8" ht="12.75" customHeight="1">
      <c r="C252" s="1385" t="s">
        <v>3957</v>
      </c>
      <c r="E252" s="4737" t="s">
        <v>3038</v>
      </c>
      <c r="F252" s="4737"/>
      <c r="G252" s="4737"/>
      <c r="H252" s="4737"/>
    </row>
    <row r="253" spans="1:8" ht="12.75" customHeight="1">
      <c r="C253" s="1386"/>
      <c r="D253" s="1384" t="s">
        <v>2918</v>
      </c>
      <c r="E253" s="4740" t="s">
        <v>3039</v>
      </c>
      <c r="F253" s="4740"/>
      <c r="G253" s="4740"/>
      <c r="H253" s="4740"/>
    </row>
    <row r="254" spans="1:8" ht="6" customHeight="1">
      <c r="D254" s="627"/>
      <c r="E254" s="1004"/>
      <c r="F254" s="1004"/>
      <c r="G254" s="1004"/>
      <c r="H254" s="1004"/>
    </row>
    <row r="255" spans="1:8" ht="13">
      <c r="A255" s="608" t="s">
        <v>2914</v>
      </c>
      <c r="B255" s="625" t="str">
        <f>IF('Part V-Revenues &amp; Expenses'!$O$60=0,"",'Part V-Revenues &amp; Expenses'!$O$60)</f>
        <v/>
      </c>
      <c r="C255" s="608" t="s">
        <v>3955</v>
      </c>
      <c r="D255" s="626" t="s">
        <v>3956</v>
      </c>
    </row>
    <row r="256" spans="1:8" ht="1.9" customHeight="1"/>
    <row r="257" spans="1:11" ht="12.75" customHeight="1">
      <c r="C257" s="605" t="s">
        <v>2879</v>
      </c>
      <c r="D257" s="627" t="s">
        <v>1839</v>
      </c>
      <c r="E257" s="628"/>
      <c r="F257" s="4737" t="s">
        <v>2880</v>
      </c>
      <c r="G257" s="4737"/>
      <c r="H257" s="4737"/>
      <c r="K257" s="431" t="s">
        <v>233</v>
      </c>
    </row>
    <row r="258" spans="1:11" ht="12.75" customHeight="1">
      <c r="C258" s="629" t="s">
        <v>1273</v>
      </c>
      <c r="D258" s="627" t="s">
        <v>1841</v>
      </c>
      <c r="E258" s="4737" t="s">
        <v>2920</v>
      </c>
      <c r="F258" s="4737"/>
      <c r="G258" s="4737"/>
      <c r="H258" s="4737"/>
    </row>
    <row r="259" spans="1:11" ht="12.75" customHeight="1">
      <c r="E259" s="4737" t="s">
        <v>3038</v>
      </c>
      <c r="F259" s="4737"/>
      <c r="G259" s="4737"/>
      <c r="H259" s="4737"/>
    </row>
    <row r="260" spans="1:11" ht="12.75" customHeight="1">
      <c r="D260" s="630" t="s">
        <v>2918</v>
      </c>
      <c r="E260" s="4737" t="s">
        <v>3039</v>
      </c>
      <c r="F260" s="4737"/>
      <c r="G260" s="4737"/>
      <c r="H260" s="4737"/>
    </row>
    <row r="261" spans="1:11" ht="9" customHeight="1" thickBot="1"/>
    <row r="262" spans="1:11" ht="16.149999999999999" customHeight="1" thickBot="1">
      <c r="A262" s="4738">
        <v>50</v>
      </c>
      <c r="B262" s="4739"/>
      <c r="C262" s="1387" t="s">
        <v>974</v>
      </c>
    </row>
    <row r="263" spans="1:11" ht="9" customHeight="1">
      <c r="A263" s="600"/>
    </row>
    <row r="264" spans="1:11" ht="28.15" customHeight="1">
      <c r="A264" s="4737" t="s">
        <v>3958</v>
      </c>
      <c r="B264" s="4737"/>
      <c r="C264" s="4737"/>
      <c r="D264" s="4737"/>
      <c r="E264" s="4737"/>
      <c r="F264" s="4737"/>
      <c r="G264" s="4737"/>
      <c r="H264" s="4737"/>
    </row>
    <row r="265" spans="1:11" ht="9" customHeight="1">
      <c r="A265" s="600"/>
    </row>
    <row r="266" spans="1:11" ht="13">
      <c r="A266" s="608" t="s">
        <v>2914</v>
      </c>
      <c r="B266" s="625" t="str">
        <f>IF('Part V-Revenues &amp; Expenses'!$K$59=0,"",'Part V-Revenues &amp; Expenses'!$K$59)</f>
        <v/>
      </c>
      <c r="C266" s="608" t="s">
        <v>3952</v>
      </c>
      <c r="D266" s="626" t="s">
        <v>3953</v>
      </c>
    </row>
    <row r="267" spans="1:11" ht="1.9" customHeight="1"/>
    <row r="268" spans="1:11" ht="12.75" customHeight="1">
      <c r="C268" s="605" t="s">
        <v>2879</v>
      </c>
      <c r="D268" s="627" t="s">
        <v>1839</v>
      </c>
      <c r="E268" s="628"/>
      <c r="F268" s="4737" t="s">
        <v>2880</v>
      </c>
      <c r="G268" s="4737"/>
      <c r="H268" s="4737"/>
    </row>
    <row r="269" spans="1:11" ht="12.75" customHeight="1">
      <c r="C269" s="629" t="s">
        <v>1273</v>
      </c>
      <c r="D269" s="627" t="s">
        <v>1841</v>
      </c>
      <c r="E269" s="4737" t="s">
        <v>2919</v>
      </c>
      <c r="F269" s="4737"/>
      <c r="G269" s="4737"/>
      <c r="H269" s="4737"/>
    </row>
    <row r="270" spans="1:11" ht="12.75" customHeight="1">
      <c r="C270" s="1385" t="s">
        <v>3957</v>
      </c>
      <c r="E270" s="4737" t="s">
        <v>3038</v>
      </c>
      <c r="F270" s="4737"/>
      <c r="G270" s="4737"/>
      <c r="H270" s="4737"/>
    </row>
    <row r="271" spans="1:11" ht="12.75" customHeight="1">
      <c r="C271" s="1386"/>
      <c r="D271" s="1384" t="s">
        <v>2918</v>
      </c>
      <c r="E271" s="4740" t="s">
        <v>3039</v>
      </c>
      <c r="F271" s="4740"/>
      <c r="G271" s="4740"/>
      <c r="H271" s="4740"/>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37" t="s">
        <v>2919</v>
      </c>
      <c r="F274" s="4737"/>
      <c r="G274" s="4737"/>
      <c r="H274" s="4737"/>
    </row>
    <row r="275" spans="1:8" ht="12.75" customHeight="1">
      <c r="C275" s="1385" t="s">
        <v>3957</v>
      </c>
      <c r="E275" s="4737" t="s">
        <v>3038</v>
      </c>
      <c r="F275" s="4737"/>
      <c r="G275" s="4737"/>
      <c r="H275" s="4737"/>
    </row>
    <row r="276" spans="1:8" ht="12.75" customHeight="1">
      <c r="C276" s="1386"/>
      <c r="D276" s="1384" t="s">
        <v>2918</v>
      </c>
      <c r="E276" s="4740" t="s">
        <v>3039</v>
      </c>
      <c r="F276" s="4740"/>
      <c r="G276" s="4740"/>
      <c r="H276" s="4740"/>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37" t="s">
        <v>2919</v>
      </c>
      <c r="F279" s="4737"/>
      <c r="G279" s="4737"/>
      <c r="H279" s="4737"/>
    </row>
    <row r="280" spans="1:8" ht="12.75" customHeight="1">
      <c r="C280" s="1385" t="s">
        <v>3957</v>
      </c>
      <c r="E280" s="4737" t="s">
        <v>3038</v>
      </c>
      <c r="F280" s="4737"/>
      <c r="G280" s="4737"/>
      <c r="H280" s="4737"/>
    </row>
    <row r="281" spans="1:8" ht="12.75" customHeight="1">
      <c r="C281" s="1386"/>
      <c r="D281" s="1384" t="s">
        <v>2918</v>
      </c>
      <c r="E281" s="4740" t="s">
        <v>3039</v>
      </c>
      <c r="F281" s="4740"/>
      <c r="G281" s="4740"/>
      <c r="H281" s="4740"/>
    </row>
    <row r="282" spans="1:8" ht="6" customHeight="1">
      <c r="D282" s="627"/>
      <c r="E282" s="1004"/>
      <c r="F282" s="1004"/>
      <c r="G282" s="1004"/>
      <c r="H282" s="1004"/>
    </row>
    <row r="283" spans="1:8" ht="13">
      <c r="A283" s="608" t="s">
        <v>2914</v>
      </c>
      <c r="B283" s="625" t="str">
        <f>IF('Part V-Revenues &amp; Expenses'!$L$59=0,"",'Part V-Revenues &amp; Expenses'!$L$59)</f>
        <v/>
      </c>
      <c r="C283" s="608" t="s">
        <v>2915</v>
      </c>
      <c r="D283" s="626" t="s">
        <v>3040</v>
      </c>
    </row>
    <row r="284" spans="1:8" ht="1.9" customHeight="1"/>
    <row r="285" spans="1:8" ht="12.75" customHeight="1">
      <c r="C285" s="605" t="s">
        <v>2879</v>
      </c>
      <c r="D285" s="627" t="s">
        <v>1839</v>
      </c>
      <c r="E285" s="628"/>
      <c r="F285" s="624" t="s">
        <v>2880</v>
      </c>
      <c r="G285" s="624"/>
      <c r="H285" s="624"/>
    </row>
    <row r="286" spans="1:8" ht="12.75" customHeight="1">
      <c r="C286" s="629" t="s">
        <v>1273</v>
      </c>
      <c r="D286" s="627" t="s">
        <v>1841</v>
      </c>
      <c r="E286" s="4737" t="s">
        <v>2919</v>
      </c>
      <c r="F286" s="4737"/>
      <c r="G286" s="4737"/>
      <c r="H286" s="4737"/>
    </row>
    <row r="287" spans="1:8" ht="12.75" customHeight="1">
      <c r="C287" s="1385" t="s">
        <v>3957</v>
      </c>
      <c r="E287" s="4737" t="s">
        <v>3038</v>
      </c>
      <c r="F287" s="4737"/>
      <c r="G287" s="4737"/>
      <c r="H287" s="4737"/>
    </row>
    <row r="288" spans="1:8" ht="12.75" customHeight="1">
      <c r="C288" s="1386"/>
      <c r="D288" s="630" t="s">
        <v>2918</v>
      </c>
      <c r="E288" s="4737" t="s">
        <v>3039</v>
      </c>
      <c r="F288" s="4737"/>
      <c r="G288" s="4737"/>
      <c r="H288" s="4737"/>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37" t="s">
        <v>2919</v>
      </c>
      <c r="F291" s="4737"/>
      <c r="G291" s="4737"/>
      <c r="H291" s="4737"/>
    </row>
    <row r="292" spans="1:8" ht="12.75" customHeight="1">
      <c r="C292" s="1385" t="s">
        <v>3957</v>
      </c>
      <c r="E292" s="4737" t="s">
        <v>3038</v>
      </c>
      <c r="F292" s="4737"/>
      <c r="G292" s="4737"/>
      <c r="H292" s="4737"/>
    </row>
    <row r="293" spans="1:8" ht="12.75" customHeight="1">
      <c r="C293" s="1386"/>
      <c r="D293" s="1384" t="s">
        <v>2918</v>
      </c>
      <c r="E293" s="4740" t="s">
        <v>3039</v>
      </c>
      <c r="F293" s="4740"/>
      <c r="G293" s="4740"/>
      <c r="H293" s="4740"/>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37" t="s">
        <v>2919</v>
      </c>
      <c r="F296" s="4737"/>
      <c r="G296" s="4737"/>
      <c r="H296" s="4737"/>
    </row>
    <row r="297" spans="1:8" ht="12.75" customHeight="1">
      <c r="C297" s="1385" t="s">
        <v>3957</v>
      </c>
      <c r="E297" s="4737" t="s">
        <v>3038</v>
      </c>
      <c r="F297" s="4737"/>
      <c r="G297" s="4737"/>
      <c r="H297" s="4737"/>
    </row>
    <row r="298" spans="1:8" ht="12.75" customHeight="1">
      <c r="C298" s="1386"/>
      <c r="D298" s="1384" t="s">
        <v>2918</v>
      </c>
      <c r="E298" s="4740" t="s">
        <v>3039</v>
      </c>
      <c r="F298" s="4740"/>
      <c r="G298" s="4740"/>
      <c r="H298" s="4740"/>
    </row>
    <row r="299" spans="1:8" ht="6" customHeight="1">
      <c r="D299" s="627"/>
      <c r="E299" s="1004"/>
      <c r="F299" s="1004"/>
      <c r="G299" s="1004"/>
      <c r="H299" s="1004"/>
    </row>
    <row r="300" spans="1:8" ht="13">
      <c r="A300" s="608" t="s">
        <v>2914</v>
      </c>
      <c r="B300" s="625" t="str">
        <f>IF('Part V-Revenues &amp; Expenses'!$M$59=0,"",'Part V-Revenues &amp; Expenses'!$M$59)</f>
        <v/>
      </c>
      <c r="C300" s="608" t="s">
        <v>2916</v>
      </c>
      <c r="D300" s="626" t="s">
        <v>3041</v>
      </c>
    </row>
    <row r="301" spans="1:8" ht="1.9" customHeight="1"/>
    <row r="302" spans="1:8" ht="12.75" customHeight="1">
      <c r="C302" s="605" t="s">
        <v>2879</v>
      </c>
      <c r="D302" s="627" t="s">
        <v>1839</v>
      </c>
      <c r="E302" s="628"/>
      <c r="F302" s="624" t="s">
        <v>2880</v>
      </c>
      <c r="G302" s="624"/>
      <c r="H302" s="624"/>
    </row>
    <row r="303" spans="1:8" ht="12.75" customHeight="1">
      <c r="C303" s="629" t="s">
        <v>1273</v>
      </c>
      <c r="D303" s="627" t="s">
        <v>1841</v>
      </c>
      <c r="E303" s="4737" t="s">
        <v>2919</v>
      </c>
      <c r="F303" s="4737"/>
      <c r="G303" s="4737"/>
      <c r="H303" s="4737"/>
    </row>
    <row r="304" spans="1:8" ht="12.75" customHeight="1">
      <c r="C304" s="1385" t="s">
        <v>3957</v>
      </c>
      <c r="E304" s="4737" t="s">
        <v>3038</v>
      </c>
      <c r="F304" s="4737"/>
      <c r="G304" s="4737"/>
      <c r="H304" s="4737"/>
    </row>
    <row r="305" spans="1:8" ht="12.75" customHeight="1">
      <c r="C305" s="1386"/>
      <c r="D305" s="630" t="s">
        <v>2918</v>
      </c>
      <c r="E305" s="4737" t="s">
        <v>3039</v>
      </c>
      <c r="F305" s="4737"/>
      <c r="G305" s="4737"/>
      <c r="H305" s="4737"/>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37" t="s">
        <v>2919</v>
      </c>
      <c r="F308" s="4737"/>
      <c r="G308" s="4737"/>
      <c r="H308" s="4737"/>
    </row>
    <row r="309" spans="1:8" ht="12.75" customHeight="1">
      <c r="C309" s="1385" t="s">
        <v>3957</v>
      </c>
      <c r="E309" s="4737" t="s">
        <v>3038</v>
      </c>
      <c r="F309" s="4737"/>
      <c r="G309" s="4737"/>
      <c r="H309" s="4737"/>
    </row>
    <row r="310" spans="1:8" ht="12.75" customHeight="1">
      <c r="C310" s="1386"/>
      <c r="D310" s="1384" t="s">
        <v>2918</v>
      </c>
      <c r="E310" s="4740" t="s">
        <v>3039</v>
      </c>
      <c r="F310" s="4740"/>
      <c r="G310" s="4740"/>
      <c r="H310" s="4740"/>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37" t="s">
        <v>2919</v>
      </c>
      <c r="F313" s="4737"/>
      <c r="G313" s="4737"/>
      <c r="H313" s="4737"/>
    </row>
    <row r="314" spans="1:8" ht="12.75" customHeight="1">
      <c r="C314" s="1385" t="s">
        <v>3957</v>
      </c>
      <c r="E314" s="4737" t="s">
        <v>3038</v>
      </c>
      <c r="F314" s="4737"/>
      <c r="G314" s="4737"/>
      <c r="H314" s="4737"/>
    </row>
    <row r="315" spans="1:8" ht="12.75" customHeight="1">
      <c r="C315" s="1386"/>
      <c r="D315" s="1384" t="s">
        <v>2918</v>
      </c>
      <c r="E315" s="4740" t="s">
        <v>3039</v>
      </c>
      <c r="F315" s="4740"/>
      <c r="G315" s="4740"/>
      <c r="H315" s="4740"/>
    </row>
    <row r="316" spans="1:8" ht="6" customHeight="1">
      <c r="D316" s="627"/>
      <c r="E316" s="1004"/>
      <c r="F316" s="1004"/>
      <c r="G316" s="1004"/>
      <c r="H316" s="1004"/>
    </row>
    <row r="317" spans="1:8" ht="13">
      <c r="A317" s="608" t="s">
        <v>2914</v>
      </c>
      <c r="B317" s="625" t="str">
        <f>IF('Part V-Revenues &amp; Expenses'!$N$59=0,"",'Part V-Revenues &amp; Expenses'!$N$59)</f>
        <v/>
      </c>
      <c r="C317" s="608" t="s">
        <v>2917</v>
      </c>
      <c r="D317" s="626" t="s">
        <v>3042</v>
      </c>
    </row>
    <row r="318" spans="1:8" ht="1.9" customHeight="1"/>
    <row r="319" spans="1:8" ht="12.75" customHeight="1">
      <c r="C319" s="605" t="s">
        <v>2879</v>
      </c>
      <c r="D319" s="627" t="s">
        <v>1839</v>
      </c>
      <c r="E319" s="628"/>
      <c r="F319" s="624" t="s">
        <v>2880</v>
      </c>
      <c r="G319" s="624"/>
      <c r="H319" s="624"/>
    </row>
    <row r="320" spans="1:8" ht="12.75" customHeight="1">
      <c r="C320" s="629" t="s">
        <v>1273</v>
      </c>
      <c r="D320" s="627" t="s">
        <v>1841</v>
      </c>
      <c r="E320" s="4737" t="s">
        <v>2919</v>
      </c>
      <c r="F320" s="4737"/>
      <c r="G320" s="4737"/>
      <c r="H320" s="4737"/>
    </row>
    <row r="321" spans="1:11" ht="12.75" customHeight="1">
      <c r="C321" s="1385" t="s">
        <v>3957</v>
      </c>
      <c r="E321" s="4737" t="s">
        <v>3038</v>
      </c>
      <c r="F321" s="4737"/>
      <c r="G321" s="4737"/>
      <c r="H321" s="4737"/>
    </row>
    <row r="322" spans="1:11" ht="12.75" customHeight="1">
      <c r="C322" s="1386"/>
      <c r="D322" s="630" t="s">
        <v>2918</v>
      </c>
      <c r="E322" s="4737" t="s">
        <v>3039</v>
      </c>
      <c r="F322" s="4737"/>
      <c r="G322" s="4737"/>
      <c r="H322" s="4737"/>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37" t="s">
        <v>2919</v>
      </c>
      <c r="F325" s="4737"/>
      <c r="G325" s="4737"/>
      <c r="H325" s="4737"/>
    </row>
    <row r="326" spans="1:11" ht="12.75" customHeight="1">
      <c r="C326" s="1385" t="s">
        <v>3957</v>
      </c>
      <c r="E326" s="4737" t="s">
        <v>3038</v>
      </c>
      <c r="F326" s="4737"/>
      <c r="G326" s="4737"/>
      <c r="H326" s="4737"/>
    </row>
    <row r="327" spans="1:11" ht="12.75" customHeight="1">
      <c r="C327" s="1386"/>
      <c r="D327" s="1384" t="s">
        <v>2918</v>
      </c>
      <c r="E327" s="4740" t="s">
        <v>3039</v>
      </c>
      <c r="F327" s="4740"/>
      <c r="G327" s="4740"/>
      <c r="H327" s="4740"/>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37" t="s">
        <v>2919</v>
      </c>
      <c r="F330" s="4737"/>
      <c r="G330" s="4737"/>
      <c r="H330" s="4737"/>
    </row>
    <row r="331" spans="1:11" ht="12.75" customHeight="1">
      <c r="C331" s="1385" t="s">
        <v>3957</v>
      </c>
      <c r="E331" s="4737" t="s">
        <v>3038</v>
      </c>
      <c r="F331" s="4737"/>
      <c r="G331" s="4737"/>
      <c r="H331" s="4737"/>
    </row>
    <row r="332" spans="1:11" ht="12.75" customHeight="1">
      <c r="C332" s="1386"/>
      <c r="D332" s="1384" t="s">
        <v>2918</v>
      </c>
      <c r="E332" s="4740" t="s">
        <v>3039</v>
      </c>
      <c r="F332" s="4740"/>
      <c r="G332" s="4740"/>
      <c r="H332" s="4740"/>
    </row>
    <row r="333" spans="1:11" ht="6" customHeight="1">
      <c r="D333" s="627"/>
      <c r="E333" s="1004"/>
      <c r="F333" s="1004"/>
      <c r="G333" s="1004"/>
      <c r="H333" s="1004"/>
    </row>
    <row r="334" spans="1:11" ht="13">
      <c r="A334" s="608" t="s">
        <v>2914</v>
      </c>
      <c r="B334" s="625" t="str">
        <f>IF('Part V-Revenues &amp; Expenses'!$O$59=0,"",'Part V-Revenues &amp; Expenses'!$O$59)</f>
        <v/>
      </c>
      <c r="C334" s="608" t="s">
        <v>3955</v>
      </c>
      <c r="D334" s="626" t="s">
        <v>3956</v>
      </c>
    </row>
    <row r="335" spans="1:11" ht="1.9" customHeight="1"/>
    <row r="336" spans="1:11" ht="12.75" customHeight="1">
      <c r="C336" s="605" t="s">
        <v>2879</v>
      </c>
      <c r="D336" s="627" t="s">
        <v>1839</v>
      </c>
      <c r="E336" s="628"/>
      <c r="F336" s="4737" t="s">
        <v>2880</v>
      </c>
      <c r="G336" s="4737"/>
      <c r="H336" s="4737"/>
      <c r="K336" s="431" t="s">
        <v>233</v>
      </c>
    </row>
    <row r="337" spans="1:8" ht="12.75" customHeight="1">
      <c r="C337" s="629" t="s">
        <v>1273</v>
      </c>
      <c r="D337" s="627" t="s">
        <v>1841</v>
      </c>
      <c r="E337" s="4737" t="s">
        <v>2920</v>
      </c>
      <c r="F337" s="4737"/>
      <c r="G337" s="4737"/>
      <c r="H337" s="4737"/>
    </row>
    <row r="338" spans="1:8" ht="12.75" customHeight="1">
      <c r="E338" s="4737" t="s">
        <v>3038</v>
      </c>
      <c r="F338" s="4737"/>
      <c r="G338" s="4737"/>
      <c r="H338" s="4737"/>
    </row>
    <row r="339" spans="1:8" ht="12.75" customHeight="1">
      <c r="D339" s="630" t="s">
        <v>2918</v>
      </c>
      <c r="E339" s="4737" t="s">
        <v>3039</v>
      </c>
      <c r="F339" s="4737"/>
      <c r="G339" s="4737"/>
      <c r="H339" s="4737"/>
    </row>
    <row r="340" spans="1:8" ht="9" customHeight="1"/>
    <row r="341" spans="1:8" ht="7.5" customHeight="1" thickBot="1">
      <c r="E341" s="4737"/>
      <c r="F341" s="4737"/>
      <c r="G341" s="4737"/>
      <c r="H341" s="4737"/>
    </row>
    <row r="342" spans="1:8" ht="16.149999999999999" customHeight="1" thickBot="1">
      <c r="A342" s="4738">
        <v>60</v>
      </c>
      <c r="B342" s="4739"/>
      <c r="C342" s="1387" t="s">
        <v>974</v>
      </c>
    </row>
    <row r="343" spans="1:8" ht="9" customHeight="1">
      <c r="A343" s="600"/>
    </row>
    <row r="344" spans="1:8" ht="28.15" customHeight="1">
      <c r="A344" s="4737" t="s">
        <v>3962</v>
      </c>
      <c r="B344" s="4737"/>
      <c r="C344" s="4737"/>
      <c r="D344" s="4737"/>
      <c r="E344" s="4737"/>
      <c r="F344" s="4737"/>
      <c r="G344" s="4737"/>
      <c r="H344" s="4737"/>
    </row>
    <row r="345" spans="1:8" ht="9" customHeight="1">
      <c r="A345" s="600"/>
    </row>
    <row r="346" spans="1:8" ht="13">
      <c r="A346" s="608" t="s">
        <v>2914</v>
      </c>
      <c r="B346" s="625" t="str">
        <f>IF('Part V-Revenues &amp; Expenses'!$K$58=0,"",'Part V-Revenues &amp; Expenses'!$K$58)</f>
        <v/>
      </c>
      <c r="C346" s="608" t="s">
        <v>3952</v>
      </c>
      <c r="D346" s="626" t="s">
        <v>3953</v>
      </c>
    </row>
    <row r="347" spans="1:8" ht="1.9" customHeight="1"/>
    <row r="348" spans="1:8" ht="12.75" customHeight="1">
      <c r="C348" s="605" t="s">
        <v>2879</v>
      </c>
      <c r="D348" s="627" t="s">
        <v>1839</v>
      </c>
      <c r="E348" s="628"/>
      <c r="F348" s="4737" t="s">
        <v>2880</v>
      </c>
      <c r="G348" s="4737"/>
      <c r="H348" s="4737"/>
    </row>
    <row r="349" spans="1:8" ht="12.75" customHeight="1">
      <c r="C349" s="629" t="s">
        <v>1273</v>
      </c>
      <c r="D349" s="627" t="s">
        <v>1841</v>
      </c>
      <c r="E349" s="4737" t="s">
        <v>2919</v>
      </c>
      <c r="F349" s="4737"/>
      <c r="G349" s="4737"/>
      <c r="H349" s="4737"/>
    </row>
    <row r="350" spans="1:8" ht="12.75" customHeight="1">
      <c r="C350" s="1385" t="s">
        <v>3957</v>
      </c>
      <c r="E350" s="4737" t="s">
        <v>3038</v>
      </c>
      <c r="F350" s="4737"/>
      <c r="G350" s="4737"/>
      <c r="H350" s="4737"/>
    </row>
    <row r="351" spans="1:8" ht="12.75" customHeight="1">
      <c r="C351" s="1386"/>
      <c r="D351" s="1384" t="s">
        <v>2918</v>
      </c>
      <c r="E351" s="4740" t="s">
        <v>3039</v>
      </c>
      <c r="F351" s="4740"/>
      <c r="G351" s="4740"/>
      <c r="H351" s="4740"/>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37" t="s">
        <v>2919</v>
      </c>
      <c r="F354" s="4737"/>
      <c r="G354" s="4737"/>
      <c r="H354" s="4737"/>
    </row>
    <row r="355" spans="1:8" ht="12.75" customHeight="1">
      <c r="C355" s="1385" t="s">
        <v>3957</v>
      </c>
      <c r="E355" s="4737" t="s">
        <v>3038</v>
      </c>
      <c r="F355" s="4737"/>
      <c r="G355" s="4737"/>
      <c r="H355" s="4737"/>
    </row>
    <row r="356" spans="1:8" ht="12.75" customHeight="1">
      <c r="C356" s="1386"/>
      <c r="D356" s="1384" t="s">
        <v>2918</v>
      </c>
      <c r="E356" s="4740" t="s">
        <v>3039</v>
      </c>
      <c r="F356" s="4740"/>
      <c r="G356" s="4740"/>
      <c r="H356" s="4740"/>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37" t="s">
        <v>2919</v>
      </c>
      <c r="F359" s="4737"/>
      <c r="G359" s="4737"/>
      <c r="H359" s="4737"/>
    </row>
    <row r="360" spans="1:8" ht="12.75" customHeight="1">
      <c r="C360" s="1385" t="s">
        <v>3957</v>
      </c>
      <c r="E360" s="4737" t="s">
        <v>3038</v>
      </c>
      <c r="F360" s="4737"/>
      <c r="G360" s="4737"/>
      <c r="H360" s="4737"/>
    </row>
    <row r="361" spans="1:8" ht="12.75" customHeight="1">
      <c r="C361" s="1386"/>
      <c r="D361" s="1384" t="s">
        <v>2918</v>
      </c>
      <c r="E361" s="4740" t="s">
        <v>3039</v>
      </c>
      <c r="F361" s="4740"/>
      <c r="G361" s="4740"/>
      <c r="H361" s="4740"/>
    </row>
    <row r="362" spans="1:8" ht="6" customHeight="1">
      <c r="D362" s="627"/>
      <c r="E362" s="1004"/>
      <c r="F362" s="1004"/>
      <c r="G362" s="1004"/>
      <c r="H362" s="1004"/>
    </row>
    <row r="363" spans="1:8" ht="13">
      <c r="A363" s="608" t="s">
        <v>2914</v>
      </c>
      <c r="B363" s="625" t="str">
        <f>IF('Part V-Revenues &amp; Expenses'!$L$58=0,"",'Part V-Revenues &amp; Expenses'!$L$58)</f>
        <v/>
      </c>
      <c r="C363" s="608" t="s">
        <v>2915</v>
      </c>
      <c r="D363" s="626" t="s">
        <v>3040</v>
      </c>
    </row>
    <row r="364" spans="1:8" ht="1.9" customHeight="1"/>
    <row r="365" spans="1:8" ht="12.75" customHeight="1">
      <c r="C365" s="605" t="s">
        <v>2879</v>
      </c>
      <c r="D365" s="627" t="s">
        <v>1839</v>
      </c>
      <c r="E365" s="628"/>
      <c r="F365" s="624" t="s">
        <v>2880</v>
      </c>
      <c r="G365" s="624"/>
      <c r="H365" s="624"/>
    </row>
    <row r="366" spans="1:8" ht="12.75" customHeight="1">
      <c r="C366" s="629" t="s">
        <v>1273</v>
      </c>
      <c r="D366" s="627" t="s">
        <v>1841</v>
      </c>
      <c r="E366" s="4737" t="s">
        <v>2919</v>
      </c>
      <c r="F366" s="4737"/>
      <c r="G366" s="4737"/>
      <c r="H366" s="4737"/>
    </row>
    <row r="367" spans="1:8" ht="12.75" customHeight="1">
      <c r="C367" s="1385" t="s">
        <v>3957</v>
      </c>
      <c r="E367" s="4737" t="s">
        <v>3038</v>
      </c>
      <c r="F367" s="4737"/>
      <c r="G367" s="4737"/>
      <c r="H367" s="4737"/>
    </row>
    <row r="368" spans="1:8" ht="12.75" customHeight="1">
      <c r="C368" s="1386"/>
      <c r="D368" s="630" t="s">
        <v>2918</v>
      </c>
      <c r="E368" s="4737" t="s">
        <v>3039</v>
      </c>
      <c r="F368" s="4737"/>
      <c r="G368" s="4737"/>
      <c r="H368" s="4737"/>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37" t="s">
        <v>2919</v>
      </c>
      <c r="F371" s="4737"/>
      <c r="G371" s="4737"/>
      <c r="H371" s="4737"/>
    </row>
    <row r="372" spans="1:8" ht="12.75" customHeight="1">
      <c r="C372" s="1385" t="s">
        <v>3957</v>
      </c>
      <c r="E372" s="4737" t="s">
        <v>3038</v>
      </c>
      <c r="F372" s="4737"/>
      <c r="G372" s="4737"/>
      <c r="H372" s="4737"/>
    </row>
    <row r="373" spans="1:8" ht="12.75" customHeight="1">
      <c r="C373" s="1386"/>
      <c r="D373" s="1384" t="s">
        <v>2918</v>
      </c>
      <c r="E373" s="4740" t="s">
        <v>3039</v>
      </c>
      <c r="F373" s="4740"/>
      <c r="G373" s="4740"/>
      <c r="H373" s="4740"/>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37" t="s">
        <v>2919</v>
      </c>
      <c r="F376" s="4737"/>
      <c r="G376" s="4737"/>
      <c r="H376" s="4737"/>
    </row>
    <row r="377" spans="1:8" ht="12.75" customHeight="1">
      <c r="C377" s="1385" t="s">
        <v>3957</v>
      </c>
      <c r="E377" s="4737" t="s">
        <v>3038</v>
      </c>
      <c r="F377" s="4737"/>
      <c r="G377" s="4737"/>
      <c r="H377" s="4737"/>
    </row>
    <row r="378" spans="1:8" ht="12.75" customHeight="1">
      <c r="C378" s="1386"/>
      <c r="D378" s="1384" t="s">
        <v>2918</v>
      </c>
      <c r="E378" s="4740" t="s">
        <v>3039</v>
      </c>
      <c r="F378" s="4740"/>
      <c r="G378" s="4740"/>
      <c r="H378" s="4740"/>
    </row>
    <row r="379" spans="1:8" ht="6" customHeight="1">
      <c r="D379" s="627"/>
      <c r="E379" s="1004"/>
      <c r="F379" s="1004"/>
      <c r="G379" s="1004"/>
      <c r="H379" s="1004"/>
    </row>
    <row r="380" spans="1:8" ht="13">
      <c r="A380" s="608" t="s">
        <v>2914</v>
      </c>
      <c r="B380" s="625" t="str">
        <f>IF('Part V-Revenues &amp; Expenses'!$M$58=0,"",'Part V-Revenues &amp; Expenses'!$M$58)</f>
        <v/>
      </c>
      <c r="C380" s="608" t="s">
        <v>2916</v>
      </c>
      <c r="D380" s="626" t="s">
        <v>3041</v>
      </c>
    </row>
    <row r="381" spans="1:8" ht="1.9" customHeight="1"/>
    <row r="382" spans="1:8" ht="12.75" customHeight="1">
      <c r="C382" s="605" t="s">
        <v>2879</v>
      </c>
      <c r="D382" s="627" t="s">
        <v>1839</v>
      </c>
      <c r="E382" s="628"/>
      <c r="F382" s="624" t="s">
        <v>2880</v>
      </c>
      <c r="G382" s="624"/>
      <c r="H382" s="624"/>
    </row>
    <row r="383" spans="1:8" ht="12.75" customHeight="1">
      <c r="C383" s="629" t="s">
        <v>1273</v>
      </c>
      <c r="D383" s="627" t="s">
        <v>1841</v>
      </c>
      <c r="E383" s="4737" t="s">
        <v>2919</v>
      </c>
      <c r="F383" s="4737"/>
      <c r="G383" s="4737"/>
      <c r="H383" s="4737"/>
    </row>
    <row r="384" spans="1:8" ht="12.75" customHeight="1">
      <c r="C384" s="1385" t="s">
        <v>3957</v>
      </c>
      <c r="E384" s="4737" t="s">
        <v>3038</v>
      </c>
      <c r="F384" s="4737"/>
      <c r="G384" s="4737"/>
      <c r="H384" s="4737"/>
    </row>
    <row r="385" spans="1:8" ht="12.75" customHeight="1">
      <c r="C385" s="1386"/>
      <c r="D385" s="630" t="s">
        <v>2918</v>
      </c>
      <c r="E385" s="4737" t="s">
        <v>3039</v>
      </c>
      <c r="F385" s="4737"/>
      <c r="G385" s="4737"/>
      <c r="H385" s="4737"/>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37" t="s">
        <v>2919</v>
      </c>
      <c r="F388" s="4737"/>
      <c r="G388" s="4737"/>
      <c r="H388" s="4737"/>
    </row>
    <row r="389" spans="1:8" ht="12.75" customHeight="1">
      <c r="C389" s="1385" t="s">
        <v>3957</v>
      </c>
      <c r="E389" s="4737" t="s">
        <v>3038</v>
      </c>
      <c r="F389" s="4737"/>
      <c r="G389" s="4737"/>
      <c r="H389" s="4737"/>
    </row>
    <row r="390" spans="1:8" ht="12.75" customHeight="1">
      <c r="C390" s="1386"/>
      <c r="D390" s="1384" t="s">
        <v>2918</v>
      </c>
      <c r="E390" s="4740" t="s">
        <v>3039</v>
      </c>
      <c r="F390" s="4740"/>
      <c r="G390" s="4740"/>
      <c r="H390" s="4740"/>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37" t="s">
        <v>2919</v>
      </c>
      <c r="F393" s="4737"/>
      <c r="G393" s="4737"/>
      <c r="H393" s="4737"/>
    </row>
    <row r="394" spans="1:8" ht="12.75" customHeight="1">
      <c r="C394" s="1385" t="s">
        <v>3957</v>
      </c>
      <c r="E394" s="4737" t="s">
        <v>3038</v>
      </c>
      <c r="F394" s="4737"/>
      <c r="G394" s="4737"/>
      <c r="H394" s="4737"/>
    </row>
    <row r="395" spans="1:8" ht="12.75" customHeight="1">
      <c r="C395" s="1386"/>
      <c r="D395" s="1384" t="s">
        <v>2918</v>
      </c>
      <c r="E395" s="4740" t="s">
        <v>3039</v>
      </c>
      <c r="F395" s="4740"/>
      <c r="G395" s="4740"/>
      <c r="H395" s="4740"/>
    </row>
    <row r="396" spans="1:8" ht="6" customHeight="1">
      <c r="D396" s="627"/>
      <c r="E396" s="1004"/>
      <c r="F396" s="1004"/>
      <c r="G396" s="1004"/>
      <c r="H396" s="1004"/>
    </row>
    <row r="397" spans="1:8" ht="13">
      <c r="A397" s="608" t="s">
        <v>2914</v>
      </c>
      <c r="B397" s="625" t="str">
        <f>IF('Part V-Revenues &amp; Expenses'!$N$58=0,"",'Part V-Revenues &amp; Expenses'!$N$58)</f>
        <v/>
      </c>
      <c r="C397" s="608" t="s">
        <v>2917</v>
      </c>
      <c r="D397" s="626" t="s">
        <v>3042</v>
      </c>
    </row>
    <row r="398" spans="1:8" ht="1.9" customHeight="1"/>
    <row r="399" spans="1:8" ht="12.75" customHeight="1">
      <c r="C399" s="605" t="s">
        <v>2879</v>
      </c>
      <c r="D399" s="627" t="s">
        <v>1839</v>
      </c>
      <c r="E399" s="628"/>
      <c r="F399" s="624" t="s">
        <v>2880</v>
      </c>
      <c r="G399" s="624"/>
      <c r="H399" s="624"/>
    </row>
    <row r="400" spans="1:8" ht="12.75" customHeight="1">
      <c r="C400" s="629" t="s">
        <v>1273</v>
      </c>
      <c r="D400" s="627" t="s">
        <v>1841</v>
      </c>
      <c r="E400" s="4737" t="s">
        <v>2919</v>
      </c>
      <c r="F400" s="4737"/>
      <c r="G400" s="4737"/>
      <c r="H400" s="4737"/>
    </row>
    <row r="401" spans="1:11" ht="12.75" customHeight="1">
      <c r="C401" s="1385" t="s">
        <v>3957</v>
      </c>
      <c r="E401" s="4737" t="s">
        <v>3038</v>
      </c>
      <c r="F401" s="4737"/>
      <c r="G401" s="4737"/>
      <c r="H401" s="4737"/>
    </row>
    <row r="402" spans="1:11" ht="12.75" customHeight="1">
      <c r="C402" s="1386"/>
      <c r="D402" s="630" t="s">
        <v>2918</v>
      </c>
      <c r="E402" s="4737" t="s">
        <v>3039</v>
      </c>
      <c r="F402" s="4737"/>
      <c r="G402" s="4737"/>
      <c r="H402" s="4737"/>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37" t="s">
        <v>2919</v>
      </c>
      <c r="F405" s="4737"/>
      <c r="G405" s="4737"/>
      <c r="H405" s="4737"/>
    </row>
    <row r="406" spans="1:11" ht="12.75" customHeight="1">
      <c r="C406" s="1385" t="s">
        <v>3957</v>
      </c>
      <c r="E406" s="4737" t="s">
        <v>3038</v>
      </c>
      <c r="F406" s="4737"/>
      <c r="G406" s="4737"/>
      <c r="H406" s="4737"/>
    </row>
    <row r="407" spans="1:11" ht="12.75" customHeight="1">
      <c r="C407" s="1386"/>
      <c r="D407" s="1384" t="s">
        <v>2918</v>
      </c>
      <c r="E407" s="4740" t="s">
        <v>3039</v>
      </c>
      <c r="F407" s="4740"/>
      <c r="G407" s="4740"/>
      <c r="H407" s="4740"/>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37" t="s">
        <v>2919</v>
      </c>
      <c r="F410" s="4737"/>
      <c r="G410" s="4737"/>
      <c r="H410" s="4737"/>
    </row>
    <row r="411" spans="1:11" ht="12.75" customHeight="1">
      <c r="C411" s="1385" t="s">
        <v>3957</v>
      </c>
      <c r="E411" s="4737" t="s">
        <v>3038</v>
      </c>
      <c r="F411" s="4737"/>
      <c r="G411" s="4737"/>
      <c r="H411" s="4737"/>
    </row>
    <row r="412" spans="1:11" ht="12.75" customHeight="1">
      <c r="C412" s="1386"/>
      <c r="D412" s="1384" t="s">
        <v>2918</v>
      </c>
      <c r="E412" s="4740" t="s">
        <v>3039</v>
      </c>
      <c r="F412" s="4740"/>
      <c r="G412" s="4740"/>
      <c r="H412" s="4740"/>
    </row>
    <row r="413" spans="1:11" ht="6" customHeight="1">
      <c r="D413" s="627"/>
      <c r="E413" s="1004"/>
      <c r="F413" s="1004"/>
      <c r="G413" s="1004"/>
      <c r="H413" s="1004"/>
    </row>
    <row r="414" spans="1:11" ht="13">
      <c r="A414" s="608" t="s">
        <v>2914</v>
      </c>
      <c r="B414" s="625" t="str">
        <f>IF('Part V-Revenues &amp; Expenses'!$O$58=0,"",'Part V-Revenues &amp; Expenses'!$O$58)</f>
        <v/>
      </c>
      <c r="C414" s="608" t="s">
        <v>3955</v>
      </c>
      <c r="D414" s="626" t="s">
        <v>3956</v>
      </c>
    </row>
    <row r="415" spans="1:11" ht="1.9" customHeight="1"/>
    <row r="416" spans="1:11" ht="12.75" customHeight="1">
      <c r="C416" s="605" t="s">
        <v>2879</v>
      </c>
      <c r="D416" s="627" t="s">
        <v>1839</v>
      </c>
      <c r="E416" s="628"/>
      <c r="F416" s="4737" t="s">
        <v>2880</v>
      </c>
      <c r="G416" s="4737"/>
      <c r="H416" s="4737"/>
      <c r="K416" s="431" t="s">
        <v>233</v>
      </c>
    </row>
    <row r="417" spans="1:8" ht="12.75" customHeight="1">
      <c r="C417" s="629" t="s">
        <v>1273</v>
      </c>
      <c r="D417" s="627" t="s">
        <v>1841</v>
      </c>
      <c r="E417" s="4737" t="s">
        <v>2920</v>
      </c>
      <c r="F417" s="4737"/>
      <c r="G417" s="4737"/>
      <c r="H417" s="4737"/>
    </row>
    <row r="418" spans="1:8" ht="12.75" customHeight="1">
      <c r="E418" s="4737" t="s">
        <v>3038</v>
      </c>
      <c r="F418" s="4737"/>
      <c r="G418" s="4737"/>
      <c r="H418" s="4737"/>
    </row>
    <row r="419" spans="1:8" ht="12.75" customHeight="1">
      <c r="D419" s="630" t="s">
        <v>2918</v>
      </c>
      <c r="E419" s="4737" t="s">
        <v>3039</v>
      </c>
      <c r="F419" s="4737"/>
      <c r="G419" s="4737"/>
      <c r="H419" s="4737"/>
    </row>
    <row r="420" spans="1:8" ht="9" customHeight="1" thickBot="1"/>
    <row r="421" spans="1:8" ht="16.149999999999999" customHeight="1" thickBot="1">
      <c r="A421" s="4738">
        <v>70</v>
      </c>
      <c r="B421" s="4739"/>
      <c r="C421" s="1387" t="s">
        <v>974</v>
      </c>
    </row>
    <row r="422" spans="1:8" ht="9" customHeight="1">
      <c r="A422" s="600"/>
    </row>
    <row r="423" spans="1:8" ht="28.15" customHeight="1">
      <c r="A423" s="4737" t="s">
        <v>3963</v>
      </c>
      <c r="B423" s="4737"/>
      <c r="C423" s="4737"/>
      <c r="D423" s="4737"/>
      <c r="E423" s="4737"/>
      <c r="F423" s="4737"/>
      <c r="G423" s="4737"/>
      <c r="H423" s="4737"/>
    </row>
    <row r="424" spans="1:8" ht="9" customHeight="1">
      <c r="A424" s="600"/>
    </row>
    <row r="425" spans="1:8" ht="13">
      <c r="A425" s="608" t="s">
        <v>2914</v>
      </c>
      <c r="B425" s="625" t="str">
        <f>IF('Part V-Revenues &amp; Expenses'!$K$57=0,"",'Part V-Revenues &amp; Expenses'!$K$57)</f>
        <v/>
      </c>
      <c r="C425" s="608" t="s">
        <v>3952</v>
      </c>
      <c r="D425" s="626" t="s">
        <v>3953</v>
      </c>
    </row>
    <row r="426" spans="1:8" ht="1.9" customHeight="1"/>
    <row r="427" spans="1:8" ht="12.75" customHeight="1">
      <c r="C427" s="605" t="s">
        <v>2879</v>
      </c>
      <c r="D427" s="627" t="s">
        <v>1839</v>
      </c>
      <c r="E427" s="628"/>
      <c r="F427" s="4737" t="s">
        <v>2880</v>
      </c>
      <c r="G427" s="4737"/>
      <c r="H427" s="4737"/>
    </row>
    <row r="428" spans="1:8" ht="12.75" customHeight="1">
      <c r="C428" s="629" t="s">
        <v>1273</v>
      </c>
      <c r="D428" s="627" t="s">
        <v>1841</v>
      </c>
      <c r="E428" s="4737" t="s">
        <v>2919</v>
      </c>
      <c r="F428" s="4737"/>
      <c r="G428" s="4737"/>
      <c r="H428" s="4737"/>
    </row>
    <row r="429" spans="1:8" ht="12.75" customHeight="1">
      <c r="C429" s="1385" t="s">
        <v>3957</v>
      </c>
      <c r="E429" s="4737" t="s">
        <v>3038</v>
      </c>
      <c r="F429" s="4737"/>
      <c r="G429" s="4737"/>
      <c r="H429" s="4737"/>
    </row>
    <row r="430" spans="1:8" ht="12.75" customHeight="1">
      <c r="C430" s="1386"/>
      <c r="D430" s="1384" t="s">
        <v>2918</v>
      </c>
      <c r="E430" s="4740" t="s">
        <v>3039</v>
      </c>
      <c r="F430" s="4740"/>
      <c r="G430" s="4740"/>
      <c r="H430" s="4740"/>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37" t="s">
        <v>2919</v>
      </c>
      <c r="F433" s="4737"/>
      <c r="G433" s="4737"/>
      <c r="H433" s="4737"/>
    </row>
    <row r="434" spans="1:8" ht="12.75" customHeight="1">
      <c r="C434" s="1385" t="s">
        <v>3957</v>
      </c>
      <c r="E434" s="4737" t="s">
        <v>3038</v>
      </c>
      <c r="F434" s="4737"/>
      <c r="G434" s="4737"/>
      <c r="H434" s="4737"/>
    </row>
    <row r="435" spans="1:8" ht="12.75" customHeight="1">
      <c r="C435" s="1386"/>
      <c r="D435" s="1384" t="s">
        <v>2918</v>
      </c>
      <c r="E435" s="4740" t="s">
        <v>3039</v>
      </c>
      <c r="F435" s="4740"/>
      <c r="G435" s="4740"/>
      <c r="H435" s="4740"/>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37" t="s">
        <v>2919</v>
      </c>
      <c r="F438" s="4737"/>
      <c r="G438" s="4737"/>
      <c r="H438" s="4737"/>
    </row>
    <row r="439" spans="1:8" ht="12.75" customHeight="1">
      <c r="C439" s="1385" t="s">
        <v>3957</v>
      </c>
      <c r="E439" s="4737" t="s">
        <v>3038</v>
      </c>
      <c r="F439" s="4737"/>
      <c r="G439" s="4737"/>
      <c r="H439" s="4737"/>
    </row>
    <row r="440" spans="1:8" ht="12.75" customHeight="1">
      <c r="C440" s="1386"/>
      <c r="D440" s="1384" t="s">
        <v>2918</v>
      </c>
      <c r="E440" s="4740" t="s">
        <v>3039</v>
      </c>
      <c r="F440" s="4740"/>
      <c r="G440" s="4740"/>
      <c r="H440" s="4740"/>
    </row>
    <row r="441" spans="1:8" ht="6" customHeight="1">
      <c r="D441" s="627"/>
      <c r="E441" s="1004"/>
      <c r="F441" s="1004"/>
      <c r="G441" s="1004"/>
      <c r="H441" s="1004"/>
    </row>
    <row r="442" spans="1:8" ht="13">
      <c r="A442" s="608" t="s">
        <v>2914</v>
      </c>
      <c r="B442" s="625" t="str">
        <f>IF('Part V-Revenues &amp; Expenses'!$L$57=0,"",'Part V-Revenues &amp; Expenses'!$L$57)</f>
        <v/>
      </c>
      <c r="C442" s="608" t="s">
        <v>2915</v>
      </c>
      <c r="D442" s="626" t="s">
        <v>3040</v>
      </c>
    </row>
    <row r="443" spans="1:8" ht="1.9" customHeight="1"/>
    <row r="444" spans="1:8" ht="12.75" customHeight="1">
      <c r="C444" s="605" t="s">
        <v>2879</v>
      </c>
      <c r="D444" s="627" t="s">
        <v>1839</v>
      </c>
      <c r="E444" s="628"/>
      <c r="F444" s="624" t="s">
        <v>2880</v>
      </c>
      <c r="G444" s="624"/>
      <c r="H444" s="624"/>
    </row>
    <row r="445" spans="1:8" ht="12.75" customHeight="1">
      <c r="C445" s="629" t="s">
        <v>1273</v>
      </c>
      <c r="D445" s="627" t="s">
        <v>1841</v>
      </c>
      <c r="E445" s="4737" t="s">
        <v>2919</v>
      </c>
      <c r="F445" s="4737"/>
      <c r="G445" s="4737"/>
      <c r="H445" s="4737"/>
    </row>
    <row r="446" spans="1:8" ht="12.75" customHeight="1">
      <c r="C446" s="1385" t="s">
        <v>3957</v>
      </c>
      <c r="E446" s="4737" t="s">
        <v>3038</v>
      </c>
      <c r="F446" s="4737"/>
      <c r="G446" s="4737"/>
      <c r="H446" s="4737"/>
    </row>
    <row r="447" spans="1:8" ht="12.75" customHeight="1">
      <c r="C447" s="1386"/>
      <c r="D447" s="630" t="s">
        <v>2918</v>
      </c>
      <c r="E447" s="4737" t="s">
        <v>3039</v>
      </c>
      <c r="F447" s="4737"/>
      <c r="G447" s="4737"/>
      <c r="H447" s="4737"/>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37" t="s">
        <v>2919</v>
      </c>
      <c r="F450" s="4737"/>
      <c r="G450" s="4737"/>
      <c r="H450" s="4737"/>
    </row>
    <row r="451" spans="1:8" ht="12.75" customHeight="1">
      <c r="C451" s="1385" t="s">
        <v>3957</v>
      </c>
      <c r="E451" s="4737" t="s">
        <v>3038</v>
      </c>
      <c r="F451" s="4737"/>
      <c r="G451" s="4737"/>
      <c r="H451" s="4737"/>
    </row>
    <row r="452" spans="1:8" ht="12.75" customHeight="1">
      <c r="C452" s="1386"/>
      <c r="D452" s="1384" t="s">
        <v>2918</v>
      </c>
      <c r="E452" s="4740" t="s">
        <v>3039</v>
      </c>
      <c r="F452" s="4740"/>
      <c r="G452" s="4740"/>
      <c r="H452" s="4740"/>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37" t="s">
        <v>2919</v>
      </c>
      <c r="F455" s="4737"/>
      <c r="G455" s="4737"/>
      <c r="H455" s="4737"/>
    </row>
    <row r="456" spans="1:8" ht="12.75" customHeight="1">
      <c r="C456" s="1385" t="s">
        <v>3957</v>
      </c>
      <c r="E456" s="4737" t="s">
        <v>3038</v>
      </c>
      <c r="F456" s="4737"/>
      <c r="G456" s="4737"/>
      <c r="H456" s="4737"/>
    </row>
    <row r="457" spans="1:8" ht="12.75" customHeight="1">
      <c r="C457" s="1386"/>
      <c r="D457" s="1384" t="s">
        <v>2918</v>
      </c>
      <c r="E457" s="4740" t="s">
        <v>3039</v>
      </c>
      <c r="F457" s="4740"/>
      <c r="G457" s="4740"/>
      <c r="H457" s="4740"/>
    </row>
    <row r="458" spans="1:8" ht="6" customHeight="1">
      <c r="D458" s="627"/>
      <c r="E458" s="1004"/>
      <c r="F458" s="1004"/>
      <c r="G458" s="1004"/>
      <c r="H458" s="1004"/>
    </row>
    <row r="459" spans="1:8" ht="13">
      <c r="A459" s="608" t="s">
        <v>2914</v>
      </c>
      <c r="B459" s="625" t="str">
        <f>IF('Part V-Revenues &amp; Expenses'!$M$57=0,"",'Part V-Revenues &amp; Expenses'!$M$57)</f>
        <v/>
      </c>
      <c r="C459" s="608" t="s">
        <v>2916</v>
      </c>
      <c r="D459" s="626" t="s">
        <v>3041</v>
      </c>
    </row>
    <row r="460" spans="1:8" ht="1.9" customHeight="1"/>
    <row r="461" spans="1:8" ht="12.75" customHeight="1">
      <c r="C461" s="605" t="s">
        <v>2879</v>
      </c>
      <c r="D461" s="627" t="s">
        <v>1839</v>
      </c>
      <c r="E461" s="628"/>
      <c r="F461" s="624" t="s">
        <v>2880</v>
      </c>
      <c r="G461" s="624"/>
      <c r="H461" s="624"/>
    </row>
    <row r="462" spans="1:8" ht="12.75" customHeight="1">
      <c r="C462" s="629" t="s">
        <v>1273</v>
      </c>
      <c r="D462" s="627" t="s">
        <v>1841</v>
      </c>
      <c r="E462" s="4737" t="s">
        <v>2919</v>
      </c>
      <c r="F462" s="4737"/>
      <c r="G462" s="4737"/>
      <c r="H462" s="4737"/>
    </row>
    <row r="463" spans="1:8" ht="12.75" customHeight="1">
      <c r="C463" s="1385" t="s">
        <v>3957</v>
      </c>
      <c r="E463" s="4737" t="s">
        <v>3038</v>
      </c>
      <c r="F463" s="4737"/>
      <c r="G463" s="4737"/>
      <c r="H463" s="4737"/>
    </row>
    <row r="464" spans="1:8" ht="12.75" customHeight="1">
      <c r="C464" s="1386"/>
      <c r="D464" s="630" t="s">
        <v>2918</v>
      </c>
      <c r="E464" s="4737" t="s">
        <v>3039</v>
      </c>
      <c r="F464" s="4737"/>
      <c r="G464" s="4737"/>
      <c r="H464" s="4737"/>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37" t="s">
        <v>2919</v>
      </c>
      <c r="F467" s="4737"/>
      <c r="G467" s="4737"/>
      <c r="H467" s="4737"/>
    </row>
    <row r="468" spans="1:8" ht="12.75" customHeight="1">
      <c r="C468" s="1385" t="s">
        <v>3957</v>
      </c>
      <c r="E468" s="4737" t="s">
        <v>3038</v>
      </c>
      <c r="F468" s="4737"/>
      <c r="G468" s="4737"/>
      <c r="H468" s="4737"/>
    </row>
    <row r="469" spans="1:8" ht="12.75" customHeight="1">
      <c r="C469" s="1386"/>
      <c r="D469" s="1384" t="s">
        <v>2918</v>
      </c>
      <c r="E469" s="4740" t="s">
        <v>3039</v>
      </c>
      <c r="F469" s="4740"/>
      <c r="G469" s="4740"/>
      <c r="H469" s="4740"/>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37" t="s">
        <v>2919</v>
      </c>
      <c r="F472" s="4737"/>
      <c r="G472" s="4737"/>
      <c r="H472" s="4737"/>
    </row>
    <row r="473" spans="1:8" ht="12.75" customHeight="1">
      <c r="C473" s="1385" t="s">
        <v>3957</v>
      </c>
      <c r="E473" s="4737" t="s">
        <v>3038</v>
      </c>
      <c r="F473" s="4737"/>
      <c r="G473" s="4737"/>
      <c r="H473" s="4737"/>
    </row>
    <row r="474" spans="1:8" ht="12.75" customHeight="1">
      <c r="C474" s="1386"/>
      <c r="D474" s="1384" t="s">
        <v>2918</v>
      </c>
      <c r="E474" s="4740" t="s">
        <v>3039</v>
      </c>
      <c r="F474" s="4740"/>
      <c r="G474" s="4740"/>
      <c r="H474" s="4740"/>
    </row>
    <row r="475" spans="1:8" ht="6" customHeight="1">
      <c r="D475" s="627"/>
      <c r="E475" s="1004"/>
      <c r="F475" s="1004"/>
      <c r="G475" s="1004"/>
      <c r="H475" s="1004"/>
    </row>
    <row r="476" spans="1:8" ht="13">
      <c r="A476" s="608" t="s">
        <v>2914</v>
      </c>
      <c r="B476" s="625" t="str">
        <f>IF('Part V-Revenues &amp; Expenses'!$N$57=0,"",'Part V-Revenues &amp; Expenses'!$N$57)</f>
        <v/>
      </c>
      <c r="C476" s="608" t="s">
        <v>2917</v>
      </c>
      <c r="D476" s="626" t="s">
        <v>3042</v>
      </c>
    </row>
    <row r="477" spans="1:8" ht="1.9" customHeight="1"/>
    <row r="478" spans="1:8" ht="12.75" customHeight="1">
      <c r="C478" s="605" t="s">
        <v>2879</v>
      </c>
      <c r="D478" s="627" t="s">
        <v>1839</v>
      </c>
      <c r="E478" s="628"/>
      <c r="F478" s="624" t="s">
        <v>2880</v>
      </c>
      <c r="G478" s="624"/>
      <c r="H478" s="624"/>
    </row>
    <row r="479" spans="1:8" ht="12.75" customHeight="1">
      <c r="C479" s="629" t="s">
        <v>1273</v>
      </c>
      <c r="D479" s="627" t="s">
        <v>1841</v>
      </c>
      <c r="E479" s="4737" t="s">
        <v>2919</v>
      </c>
      <c r="F479" s="4737"/>
      <c r="G479" s="4737"/>
      <c r="H479" s="4737"/>
    </row>
    <row r="480" spans="1:8" ht="12.75" customHeight="1">
      <c r="C480" s="1385" t="s">
        <v>3957</v>
      </c>
      <c r="E480" s="4737" t="s">
        <v>3038</v>
      </c>
      <c r="F480" s="4737"/>
      <c r="G480" s="4737"/>
      <c r="H480" s="4737"/>
    </row>
    <row r="481" spans="1:11" ht="12.75" customHeight="1">
      <c r="C481" s="1386"/>
      <c r="D481" s="630" t="s">
        <v>2918</v>
      </c>
      <c r="E481" s="4737" t="s">
        <v>3039</v>
      </c>
      <c r="F481" s="4737"/>
      <c r="G481" s="4737"/>
      <c r="H481" s="4737"/>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37" t="s">
        <v>2919</v>
      </c>
      <c r="F484" s="4737"/>
      <c r="G484" s="4737"/>
      <c r="H484" s="4737"/>
    </row>
    <row r="485" spans="1:11" ht="12.75" customHeight="1">
      <c r="C485" s="1385" t="s">
        <v>3957</v>
      </c>
      <c r="E485" s="4737" t="s">
        <v>3038</v>
      </c>
      <c r="F485" s="4737"/>
      <c r="G485" s="4737"/>
      <c r="H485" s="4737"/>
    </row>
    <row r="486" spans="1:11" ht="12.75" customHeight="1">
      <c r="C486" s="1386"/>
      <c r="D486" s="1384" t="s">
        <v>2918</v>
      </c>
      <c r="E486" s="4740" t="s">
        <v>3039</v>
      </c>
      <c r="F486" s="4740"/>
      <c r="G486" s="4740"/>
      <c r="H486" s="4740"/>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37" t="s">
        <v>2919</v>
      </c>
      <c r="F489" s="4737"/>
      <c r="G489" s="4737"/>
      <c r="H489" s="4737"/>
    </row>
    <row r="490" spans="1:11" ht="12.75" customHeight="1">
      <c r="C490" s="1385" t="s">
        <v>3957</v>
      </c>
      <c r="E490" s="4737" t="s">
        <v>3038</v>
      </c>
      <c r="F490" s="4737"/>
      <c r="G490" s="4737"/>
      <c r="H490" s="4737"/>
    </row>
    <row r="491" spans="1:11" ht="12.75" customHeight="1">
      <c r="C491" s="1386"/>
      <c r="D491" s="1384" t="s">
        <v>2918</v>
      </c>
      <c r="E491" s="4740" t="s">
        <v>3039</v>
      </c>
      <c r="F491" s="4740"/>
      <c r="G491" s="4740"/>
      <c r="H491" s="4740"/>
    </row>
    <row r="492" spans="1:11" ht="6" customHeight="1">
      <c r="D492" s="627"/>
      <c r="E492" s="1004"/>
      <c r="F492" s="1004"/>
      <c r="G492" s="1004"/>
      <c r="H492" s="1004"/>
    </row>
    <row r="493" spans="1:11" ht="13">
      <c r="A493" s="608" t="s">
        <v>2914</v>
      </c>
      <c r="B493" s="625" t="str">
        <f>IF('Part V-Revenues &amp; Expenses'!$O$57=0,"",'Part V-Revenues &amp; Expenses'!$O$57)</f>
        <v/>
      </c>
      <c r="C493" s="608" t="s">
        <v>3955</v>
      </c>
      <c r="D493" s="626" t="s">
        <v>3956</v>
      </c>
    </row>
    <row r="494" spans="1:11" ht="1.9" customHeight="1"/>
    <row r="495" spans="1:11" ht="12.75" customHeight="1">
      <c r="C495" s="605" t="s">
        <v>2879</v>
      </c>
      <c r="D495" s="627" t="s">
        <v>1839</v>
      </c>
      <c r="E495" s="628"/>
      <c r="F495" s="4737" t="s">
        <v>2880</v>
      </c>
      <c r="G495" s="4737"/>
      <c r="H495" s="4737"/>
      <c r="K495" s="431" t="s">
        <v>233</v>
      </c>
    </row>
    <row r="496" spans="1:11" ht="12.75" customHeight="1">
      <c r="C496" s="629" t="s">
        <v>1273</v>
      </c>
      <c r="D496" s="627" t="s">
        <v>1841</v>
      </c>
      <c r="E496" s="4737" t="s">
        <v>2920</v>
      </c>
      <c r="F496" s="4737"/>
      <c r="G496" s="4737"/>
      <c r="H496" s="4737"/>
    </row>
    <row r="497" spans="1:8" ht="12.75" customHeight="1">
      <c r="E497" s="4737" t="s">
        <v>3038</v>
      </c>
      <c r="F497" s="4737"/>
      <c r="G497" s="4737"/>
      <c r="H497" s="4737"/>
    </row>
    <row r="498" spans="1:8" ht="12.75" customHeight="1">
      <c r="D498" s="630" t="s">
        <v>2918</v>
      </c>
      <c r="E498" s="4737" t="s">
        <v>3039</v>
      </c>
      <c r="F498" s="4737"/>
      <c r="G498" s="4737"/>
      <c r="H498" s="4737"/>
    </row>
    <row r="499" spans="1:8" ht="9" customHeight="1" thickBot="1"/>
    <row r="500" spans="1:8" ht="16.149999999999999" customHeight="1" thickBot="1">
      <c r="A500" s="4738">
        <v>80</v>
      </c>
      <c r="B500" s="4739"/>
      <c r="C500" s="1387" t="s">
        <v>974</v>
      </c>
    </row>
    <row r="501" spans="1:8" ht="9" customHeight="1">
      <c r="A501" s="600"/>
    </row>
    <row r="502" spans="1:8" ht="28.15" customHeight="1">
      <c r="A502" s="4737" t="s">
        <v>3964</v>
      </c>
      <c r="B502" s="4737"/>
      <c r="C502" s="4737"/>
      <c r="D502" s="4737"/>
      <c r="E502" s="4737"/>
      <c r="F502" s="4737"/>
      <c r="G502" s="4737"/>
      <c r="H502" s="4737"/>
    </row>
    <row r="503" spans="1:8" ht="9" customHeight="1">
      <c r="A503" s="600"/>
    </row>
    <row r="504" spans="1:8" ht="13">
      <c r="A504" s="608" t="s">
        <v>2914</v>
      </c>
      <c r="B504" s="625" t="str">
        <f>IF('Part V-Revenues &amp; Expenses'!$K$56=0,"",'Part V-Revenues &amp; Expenses'!$K$56)</f>
        <v/>
      </c>
      <c r="C504" s="608" t="s">
        <v>3952</v>
      </c>
      <c r="D504" s="626" t="s">
        <v>3953</v>
      </c>
    </row>
    <row r="505" spans="1:8" ht="1.9" customHeight="1"/>
    <row r="506" spans="1:8" ht="12.75" customHeight="1">
      <c r="C506" s="605" t="s">
        <v>2879</v>
      </c>
      <c r="D506" s="627" t="s">
        <v>1839</v>
      </c>
      <c r="E506" s="628"/>
      <c r="F506" s="4737" t="s">
        <v>2880</v>
      </c>
      <c r="G506" s="4737"/>
      <c r="H506" s="4737"/>
    </row>
    <row r="507" spans="1:8" ht="12.75" customHeight="1">
      <c r="C507" s="629" t="s">
        <v>1273</v>
      </c>
      <c r="D507" s="627" t="s">
        <v>1841</v>
      </c>
      <c r="E507" s="4737" t="s">
        <v>2919</v>
      </c>
      <c r="F507" s="4737"/>
      <c r="G507" s="4737"/>
      <c r="H507" s="4737"/>
    </row>
    <row r="508" spans="1:8" ht="12.75" customHeight="1">
      <c r="C508" s="1385" t="s">
        <v>3957</v>
      </c>
      <c r="E508" s="4737" t="s">
        <v>3038</v>
      </c>
      <c r="F508" s="4737"/>
      <c r="G508" s="4737"/>
      <c r="H508" s="4737"/>
    </row>
    <row r="509" spans="1:8" ht="12.75" customHeight="1">
      <c r="C509" s="1386"/>
      <c r="D509" s="1384" t="s">
        <v>2918</v>
      </c>
      <c r="E509" s="4740" t="s">
        <v>3039</v>
      </c>
      <c r="F509" s="4740"/>
      <c r="G509" s="4740"/>
      <c r="H509" s="4740"/>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37" t="s">
        <v>2919</v>
      </c>
      <c r="F512" s="4737"/>
      <c r="G512" s="4737"/>
      <c r="H512" s="4737"/>
    </row>
    <row r="513" spans="1:8" ht="12.75" customHeight="1">
      <c r="C513" s="1385" t="s">
        <v>3957</v>
      </c>
      <c r="E513" s="4737" t="s">
        <v>3038</v>
      </c>
      <c r="F513" s="4737"/>
      <c r="G513" s="4737"/>
      <c r="H513" s="4737"/>
    </row>
    <row r="514" spans="1:8" ht="12.75" customHeight="1">
      <c r="C514" s="1386"/>
      <c r="D514" s="1384" t="s">
        <v>2918</v>
      </c>
      <c r="E514" s="4740" t="s">
        <v>3039</v>
      </c>
      <c r="F514" s="4740"/>
      <c r="G514" s="4740"/>
      <c r="H514" s="4740"/>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37" t="s">
        <v>2919</v>
      </c>
      <c r="F517" s="4737"/>
      <c r="G517" s="4737"/>
      <c r="H517" s="4737"/>
    </row>
    <row r="518" spans="1:8" ht="12.75" customHeight="1">
      <c r="C518" s="1385" t="s">
        <v>3957</v>
      </c>
      <c r="E518" s="4737" t="s">
        <v>3038</v>
      </c>
      <c r="F518" s="4737"/>
      <c r="G518" s="4737"/>
      <c r="H518" s="4737"/>
    </row>
    <row r="519" spans="1:8" ht="12.75" customHeight="1">
      <c r="C519" s="1386"/>
      <c r="D519" s="1384" t="s">
        <v>2918</v>
      </c>
      <c r="E519" s="4740" t="s">
        <v>3039</v>
      </c>
      <c r="F519" s="4740"/>
      <c r="G519" s="4740"/>
      <c r="H519" s="4740"/>
    </row>
    <row r="520" spans="1:8" ht="6" customHeight="1">
      <c r="D520" s="627"/>
      <c r="E520" s="1004"/>
      <c r="F520" s="1004"/>
      <c r="G520" s="1004"/>
      <c r="H520" s="1004"/>
    </row>
    <row r="521" spans="1:8" ht="13">
      <c r="A521" s="608" t="s">
        <v>2914</v>
      </c>
      <c r="B521" s="625" t="str">
        <f>IF('Part V-Revenues &amp; Expenses'!$L$56=0,"",'Part V-Revenues &amp; Expenses'!$L$56)</f>
        <v/>
      </c>
      <c r="C521" s="608" t="s">
        <v>2915</v>
      </c>
      <c r="D521" s="626" t="s">
        <v>3040</v>
      </c>
    </row>
    <row r="522" spans="1:8" ht="1.9" customHeight="1"/>
    <row r="523" spans="1:8" ht="12.75" customHeight="1">
      <c r="C523" s="605" t="s">
        <v>2879</v>
      </c>
      <c r="D523" s="627" t="s">
        <v>1839</v>
      </c>
      <c r="E523" s="628"/>
      <c r="F523" s="624" t="s">
        <v>2880</v>
      </c>
      <c r="G523" s="624"/>
      <c r="H523" s="624"/>
    </row>
    <row r="524" spans="1:8" ht="12.75" customHeight="1">
      <c r="C524" s="629" t="s">
        <v>1273</v>
      </c>
      <c r="D524" s="627" t="s">
        <v>1841</v>
      </c>
      <c r="E524" s="4737" t="s">
        <v>2919</v>
      </c>
      <c r="F524" s="4737"/>
      <c r="G524" s="4737"/>
      <c r="H524" s="4737"/>
    </row>
    <row r="525" spans="1:8" ht="12.75" customHeight="1">
      <c r="C525" s="1385" t="s">
        <v>3957</v>
      </c>
      <c r="E525" s="4737" t="s">
        <v>3038</v>
      </c>
      <c r="F525" s="4737"/>
      <c r="G525" s="4737"/>
      <c r="H525" s="4737"/>
    </row>
    <row r="526" spans="1:8" ht="12.75" customHeight="1">
      <c r="C526" s="1386"/>
      <c r="D526" s="630" t="s">
        <v>2918</v>
      </c>
      <c r="E526" s="4737" t="s">
        <v>3039</v>
      </c>
      <c r="F526" s="4737"/>
      <c r="G526" s="4737"/>
      <c r="H526" s="4737"/>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37" t="s">
        <v>2919</v>
      </c>
      <c r="F529" s="4737"/>
      <c r="G529" s="4737"/>
      <c r="H529" s="4737"/>
    </row>
    <row r="530" spans="1:8" ht="12.75" customHeight="1">
      <c r="C530" s="1385" t="s">
        <v>3957</v>
      </c>
      <c r="E530" s="4737" t="s">
        <v>3038</v>
      </c>
      <c r="F530" s="4737"/>
      <c r="G530" s="4737"/>
      <c r="H530" s="4737"/>
    </row>
    <row r="531" spans="1:8" ht="12.75" customHeight="1">
      <c r="C531" s="1386"/>
      <c r="D531" s="1384" t="s">
        <v>2918</v>
      </c>
      <c r="E531" s="4740" t="s">
        <v>3039</v>
      </c>
      <c r="F531" s="4740"/>
      <c r="G531" s="4740"/>
      <c r="H531" s="4740"/>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37" t="s">
        <v>2919</v>
      </c>
      <c r="F534" s="4737"/>
      <c r="G534" s="4737"/>
      <c r="H534" s="4737"/>
    </row>
    <row r="535" spans="1:8" ht="12.75" customHeight="1">
      <c r="C535" s="1385" t="s">
        <v>3957</v>
      </c>
      <c r="E535" s="4737" t="s">
        <v>3038</v>
      </c>
      <c r="F535" s="4737"/>
      <c r="G535" s="4737"/>
      <c r="H535" s="4737"/>
    </row>
    <row r="536" spans="1:8" ht="12.75" customHeight="1">
      <c r="C536" s="1386"/>
      <c r="D536" s="1384" t="s">
        <v>2918</v>
      </c>
      <c r="E536" s="4740" t="s">
        <v>3039</v>
      </c>
      <c r="F536" s="4740"/>
      <c r="G536" s="4740"/>
      <c r="H536" s="4740"/>
    </row>
    <row r="537" spans="1:8" ht="6" customHeight="1">
      <c r="D537" s="627"/>
      <c r="E537" s="1004"/>
      <c r="F537" s="1004"/>
      <c r="G537" s="1004"/>
      <c r="H537" s="1004"/>
    </row>
    <row r="538" spans="1:8" ht="13">
      <c r="A538" s="608" t="s">
        <v>2914</v>
      </c>
      <c r="B538" s="625" t="str">
        <f>IF('Part V-Revenues &amp; Expenses'!$M$56=0,"",'Part V-Revenues &amp; Expenses'!$M$56)</f>
        <v/>
      </c>
      <c r="C538" s="608" t="s">
        <v>2916</v>
      </c>
      <c r="D538" s="626" t="s">
        <v>3041</v>
      </c>
    </row>
    <row r="539" spans="1:8" ht="1.9" customHeight="1"/>
    <row r="540" spans="1:8" ht="12.75" customHeight="1">
      <c r="C540" s="605" t="s">
        <v>2879</v>
      </c>
      <c r="D540" s="627" t="s">
        <v>1839</v>
      </c>
      <c r="E540" s="628"/>
      <c r="F540" s="624" t="s">
        <v>2880</v>
      </c>
      <c r="G540" s="624"/>
      <c r="H540" s="624"/>
    </row>
    <row r="541" spans="1:8" ht="12.75" customHeight="1">
      <c r="C541" s="629" t="s">
        <v>1273</v>
      </c>
      <c r="D541" s="627" t="s">
        <v>1841</v>
      </c>
      <c r="E541" s="4737" t="s">
        <v>2919</v>
      </c>
      <c r="F541" s="4737"/>
      <c r="G541" s="4737"/>
      <c r="H541" s="4737"/>
    </row>
    <row r="542" spans="1:8" ht="12.75" customHeight="1">
      <c r="C542" s="1385" t="s">
        <v>3957</v>
      </c>
      <c r="E542" s="4737" t="s">
        <v>3038</v>
      </c>
      <c r="F542" s="4737"/>
      <c r="G542" s="4737"/>
      <c r="H542" s="4737"/>
    </row>
    <row r="543" spans="1:8" ht="12.75" customHeight="1">
      <c r="C543" s="1386"/>
      <c r="D543" s="630" t="s">
        <v>2918</v>
      </c>
      <c r="E543" s="4737" t="s">
        <v>3039</v>
      </c>
      <c r="F543" s="4737"/>
      <c r="G543" s="4737"/>
      <c r="H543" s="4737"/>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37" t="s">
        <v>2919</v>
      </c>
      <c r="F546" s="4737"/>
      <c r="G546" s="4737"/>
      <c r="H546" s="4737"/>
    </row>
    <row r="547" spans="1:8" ht="12.75" customHeight="1">
      <c r="C547" s="1385" t="s">
        <v>3957</v>
      </c>
      <c r="E547" s="4737" t="s">
        <v>3038</v>
      </c>
      <c r="F547" s="4737"/>
      <c r="G547" s="4737"/>
      <c r="H547" s="4737"/>
    </row>
    <row r="548" spans="1:8" ht="12.75" customHeight="1">
      <c r="C548" s="1386"/>
      <c r="D548" s="1384" t="s">
        <v>2918</v>
      </c>
      <c r="E548" s="4740" t="s">
        <v>3039</v>
      </c>
      <c r="F548" s="4740"/>
      <c r="G548" s="4740"/>
      <c r="H548" s="4740"/>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37" t="s">
        <v>2919</v>
      </c>
      <c r="F551" s="4737"/>
      <c r="G551" s="4737"/>
      <c r="H551" s="4737"/>
    </row>
    <row r="552" spans="1:8" ht="12.75" customHeight="1">
      <c r="C552" s="1385" t="s">
        <v>3957</v>
      </c>
      <c r="E552" s="4737" t="s">
        <v>3038</v>
      </c>
      <c r="F552" s="4737"/>
      <c r="G552" s="4737"/>
      <c r="H552" s="4737"/>
    </row>
    <row r="553" spans="1:8" ht="12.75" customHeight="1">
      <c r="C553" s="1386"/>
      <c r="D553" s="1384" t="s">
        <v>2918</v>
      </c>
      <c r="E553" s="4740" t="s">
        <v>3039</v>
      </c>
      <c r="F553" s="4740"/>
      <c r="G553" s="4740"/>
      <c r="H553" s="4740"/>
    </row>
    <row r="554" spans="1:8" ht="6" customHeight="1">
      <c r="D554" s="627"/>
      <c r="E554" s="1004"/>
      <c r="F554" s="1004"/>
      <c r="G554" s="1004"/>
      <c r="H554" s="1004"/>
    </row>
    <row r="555" spans="1:8" ht="13">
      <c r="A555" s="608" t="s">
        <v>2914</v>
      </c>
      <c r="B555" s="625" t="str">
        <f>IF('Part V-Revenues &amp; Expenses'!$N$56=0,"",'Part V-Revenues &amp; Expenses'!$N$56)</f>
        <v/>
      </c>
      <c r="C555" s="608" t="s">
        <v>2917</v>
      </c>
      <c r="D555" s="626" t="s">
        <v>3042</v>
      </c>
    </row>
    <row r="556" spans="1:8" ht="1.9" customHeight="1"/>
    <row r="557" spans="1:8" ht="12.75" customHeight="1">
      <c r="C557" s="605" t="s">
        <v>2879</v>
      </c>
      <c r="D557" s="627" t="s">
        <v>1839</v>
      </c>
      <c r="E557" s="628"/>
      <c r="F557" s="624" t="s">
        <v>2880</v>
      </c>
      <c r="G557" s="624"/>
      <c r="H557" s="624"/>
    </row>
    <row r="558" spans="1:8" ht="12.75" customHeight="1">
      <c r="C558" s="629" t="s">
        <v>1273</v>
      </c>
      <c r="D558" s="627" t="s">
        <v>1841</v>
      </c>
      <c r="E558" s="4737" t="s">
        <v>2919</v>
      </c>
      <c r="F558" s="4737"/>
      <c r="G558" s="4737"/>
      <c r="H558" s="4737"/>
    </row>
    <row r="559" spans="1:8" ht="12.75" customHeight="1">
      <c r="C559" s="1385" t="s">
        <v>3957</v>
      </c>
      <c r="E559" s="4737" t="s">
        <v>3038</v>
      </c>
      <c r="F559" s="4737"/>
      <c r="G559" s="4737"/>
      <c r="H559" s="4737"/>
    </row>
    <row r="560" spans="1:8" ht="12.75" customHeight="1">
      <c r="C560" s="1386"/>
      <c r="D560" s="630" t="s">
        <v>2918</v>
      </c>
      <c r="E560" s="4737" t="s">
        <v>3039</v>
      </c>
      <c r="F560" s="4737"/>
      <c r="G560" s="4737"/>
      <c r="H560" s="4737"/>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37" t="s">
        <v>2919</v>
      </c>
      <c r="F563" s="4737"/>
      <c r="G563" s="4737"/>
      <c r="H563" s="4737"/>
    </row>
    <row r="564" spans="1:11" ht="12.75" customHeight="1">
      <c r="C564" s="1385" t="s">
        <v>3957</v>
      </c>
      <c r="E564" s="4737" t="s">
        <v>3038</v>
      </c>
      <c r="F564" s="4737"/>
      <c r="G564" s="4737"/>
      <c r="H564" s="4737"/>
    </row>
    <row r="565" spans="1:11" ht="12.75" customHeight="1">
      <c r="C565" s="1386"/>
      <c r="D565" s="1384" t="s">
        <v>2918</v>
      </c>
      <c r="E565" s="4740" t="s">
        <v>3039</v>
      </c>
      <c r="F565" s="4740"/>
      <c r="G565" s="4740"/>
      <c r="H565" s="4740"/>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37" t="s">
        <v>2919</v>
      </c>
      <c r="F568" s="4737"/>
      <c r="G568" s="4737"/>
      <c r="H568" s="4737"/>
    </row>
    <row r="569" spans="1:11" ht="12.75" customHeight="1">
      <c r="C569" s="1385" t="s">
        <v>3957</v>
      </c>
      <c r="E569" s="4737" t="s">
        <v>3038</v>
      </c>
      <c r="F569" s="4737"/>
      <c r="G569" s="4737"/>
      <c r="H569" s="4737"/>
    </row>
    <row r="570" spans="1:11" ht="12.75" customHeight="1">
      <c r="C570" s="1386"/>
      <c r="D570" s="1384" t="s">
        <v>2918</v>
      </c>
      <c r="E570" s="4740" t="s">
        <v>3039</v>
      </c>
      <c r="F570" s="4740"/>
      <c r="G570" s="4740"/>
      <c r="H570" s="4740"/>
    </row>
    <row r="571" spans="1:11" ht="6" customHeight="1">
      <c r="D571" s="627"/>
      <c r="E571" s="1004"/>
      <c r="F571" s="1004"/>
      <c r="G571" s="1004"/>
      <c r="H571" s="1004"/>
    </row>
    <row r="572" spans="1:11" ht="13">
      <c r="A572" s="608" t="s">
        <v>2914</v>
      </c>
      <c r="B572" s="625" t="str">
        <f>IF('Part V-Revenues &amp; Expenses'!$O$56=0,"",'Part V-Revenues &amp; Expenses'!$O$56)</f>
        <v/>
      </c>
      <c r="C572" s="608" t="s">
        <v>3955</v>
      </c>
      <c r="D572" s="626" t="s">
        <v>3956</v>
      </c>
    </row>
    <row r="573" spans="1:11" ht="1.9" customHeight="1"/>
    <row r="574" spans="1:11" ht="12.75" customHeight="1">
      <c r="C574" s="605" t="s">
        <v>2879</v>
      </c>
      <c r="D574" s="627" t="s">
        <v>1839</v>
      </c>
      <c r="E574" s="628"/>
      <c r="F574" s="4737" t="s">
        <v>2880</v>
      </c>
      <c r="G574" s="4737"/>
      <c r="H574" s="4737"/>
      <c r="K574" s="431" t="s">
        <v>233</v>
      </c>
    </row>
    <row r="575" spans="1:11" ht="12.75" customHeight="1">
      <c r="C575" s="629" t="s">
        <v>1273</v>
      </c>
      <c r="D575" s="627" t="s">
        <v>1841</v>
      </c>
      <c r="E575" s="4737" t="s">
        <v>2920</v>
      </c>
      <c r="F575" s="4737"/>
      <c r="G575" s="4737"/>
      <c r="H575" s="4737"/>
    </row>
    <row r="576" spans="1:11" ht="12.75" customHeight="1">
      <c r="E576" s="4737" t="s">
        <v>3038</v>
      </c>
      <c r="F576" s="4737"/>
      <c r="G576" s="4737"/>
      <c r="H576" s="4737"/>
    </row>
    <row r="577" spans="4:8" ht="12.75" customHeight="1">
      <c r="D577" s="630" t="s">
        <v>2918</v>
      </c>
      <c r="E577" s="4737" t="s">
        <v>3039</v>
      </c>
      <c r="F577" s="4737"/>
      <c r="G577" s="4737"/>
      <c r="H577" s="4737"/>
    </row>
    <row r="578" spans="4:8" ht="9" customHeight="1"/>
    <row r="579" spans="4:8" ht="7.5" customHeight="1">
      <c r="E579" s="4737"/>
      <c r="F579" s="4737"/>
      <c r="G579" s="4737"/>
      <c r="H579" s="473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6953125" defaultRowHeight="15.5"/>
  <cols>
    <col min="1" max="1" width="4.54296875" style="431" customWidth="1"/>
    <col min="2" max="2" width="6" style="431" customWidth="1"/>
    <col min="3" max="3" width="8.26953125" style="431" customWidth="1"/>
    <col min="4" max="4" width="7.453125" style="431" customWidth="1"/>
    <col min="5" max="5" width="7.7265625" style="431" customWidth="1"/>
    <col min="6" max="7" width="6.7265625" style="431" customWidth="1"/>
    <col min="8" max="8" width="5" style="431" customWidth="1"/>
    <col min="9" max="10" width="6.7265625" style="431" customWidth="1"/>
    <col min="11" max="11" width="3.26953125" style="1407" customWidth="1"/>
    <col min="12" max="13" width="6.7265625" style="431" customWidth="1"/>
    <col min="14" max="14" width="8.26953125" style="431" customWidth="1"/>
    <col min="15" max="15" width="9.26953125" style="431"/>
    <col min="16" max="17" width="5.54296875" style="431" customWidth="1"/>
    <col min="18" max="18" width="8.26953125" style="431" customWidth="1"/>
    <col min="19" max="19" width="5.7265625" style="598" customWidth="1"/>
    <col min="20" max="20" width="5.7265625" style="431" customWidth="1"/>
    <col min="21" max="21" width="3.7265625" style="431" customWidth="1"/>
    <col min="22" max="23" width="5.453125" style="431" customWidth="1"/>
    <col min="24" max="16384" width="9.26953125" style="431"/>
  </cols>
  <sheetData>
    <row r="1" spans="1:14">
      <c r="A1" s="507" t="s">
        <v>2873</v>
      </c>
      <c r="H1" s="603">
        <f>'Sensitivity Analysis'!C8</f>
        <v>0</v>
      </c>
    </row>
    <row r="2" spans="1:14">
      <c r="A2" s="549" t="s">
        <v>2874</v>
      </c>
      <c r="H2" s="431" t="str">
        <f>'Sensitivity Analysis'!E8</f>
        <v>2024-5</v>
      </c>
    </row>
    <row r="3" spans="1:14" ht="3" customHeight="1"/>
    <row r="4" spans="1:14" ht="69.650000000000006" customHeight="1">
      <c r="A4" s="4741" t="s">
        <v>2912</v>
      </c>
      <c r="B4" s="4741"/>
      <c r="C4" s="4741"/>
      <c r="D4" s="4741"/>
      <c r="E4" s="4741"/>
      <c r="F4" s="4741"/>
      <c r="G4" s="4741"/>
      <c r="H4" s="4741"/>
      <c r="I4" s="4741"/>
      <c r="J4" s="4741"/>
      <c r="K4" s="4741"/>
      <c r="L4" s="4783">
        <f>SUM('Part VI-Pro Forma'!B15:B17)/12</f>
        <v>0</v>
      </c>
      <c r="M4" s="4783"/>
      <c r="N4" s="1408" t="s">
        <v>3546</v>
      </c>
    </row>
    <row r="5" spans="1:14" ht="1.5" customHeight="1"/>
    <row r="6" spans="1:14" ht="12.75" customHeight="1">
      <c r="B6" s="623" t="s">
        <v>2234</v>
      </c>
      <c r="C6" s="605" t="s">
        <v>2875</v>
      </c>
      <c r="D6" s="605"/>
      <c r="E6" s="605"/>
      <c r="F6" s="605"/>
      <c r="G6" s="605"/>
      <c r="H6" s="605"/>
    </row>
    <row r="7" spans="1:14" ht="12.75" customHeight="1">
      <c r="B7" s="623" t="s">
        <v>2235</v>
      </c>
      <c r="C7" s="4741" t="s">
        <v>2876</v>
      </c>
      <c r="D7" s="4741"/>
      <c r="E7" s="4741"/>
      <c r="F7" s="4741"/>
      <c r="G7" s="4741"/>
      <c r="H7" s="4741"/>
      <c r="I7" s="4741"/>
      <c r="J7" s="4741"/>
      <c r="K7" s="4741"/>
      <c r="L7" s="4741"/>
      <c r="M7" s="4741"/>
    </row>
    <row r="8" spans="1:14" ht="3" customHeight="1"/>
    <row r="9" spans="1:14">
      <c r="A9" s="431" t="s">
        <v>2877</v>
      </c>
    </row>
    <row r="10" spans="1:14" ht="1.5" customHeight="1"/>
    <row r="11" spans="1:14" ht="26.25" customHeight="1">
      <c r="A11" s="624" t="s">
        <v>1836</v>
      </c>
      <c r="B11" s="4741" t="s">
        <v>2909</v>
      </c>
      <c r="C11" s="4741"/>
      <c r="D11" s="4741"/>
      <c r="E11" s="4741"/>
      <c r="F11" s="4741"/>
      <c r="G11" s="4741"/>
      <c r="H11" s="4741"/>
      <c r="I11" s="4741"/>
      <c r="J11" s="4741"/>
      <c r="K11" s="4741"/>
      <c r="L11" s="4742">
        <f>'Part II-Sources of Funds'!I51+'Part II-Sources of Funds'!I52</f>
        <v>0</v>
      </c>
      <c r="M11" s="4742"/>
    </row>
    <row r="12" spans="1:14" ht="1.5" customHeight="1">
      <c r="G12" s="605"/>
      <c r="H12" s="605"/>
    </row>
    <row r="13" spans="1:14" ht="25.9" customHeight="1">
      <c r="A13" s="624" t="s">
        <v>1838</v>
      </c>
      <c r="B13" s="4741" t="s">
        <v>2910</v>
      </c>
      <c r="C13" s="4741"/>
      <c r="D13" s="4741"/>
      <c r="E13" s="4741"/>
      <c r="F13" s="4741"/>
      <c r="G13" s="4741"/>
      <c r="H13" s="4741"/>
      <c r="I13" s="4741"/>
      <c r="J13" s="4741"/>
      <c r="K13" s="4741"/>
      <c r="L13" s="4743" t="s">
        <v>2805</v>
      </c>
      <c r="M13" s="4743"/>
    </row>
    <row r="14" spans="1:14">
      <c r="A14" s="624"/>
      <c r="B14" s="4698"/>
      <c r="C14" s="4698"/>
      <c r="D14" s="4698"/>
      <c r="E14" s="4698"/>
      <c r="F14" s="4698"/>
      <c r="G14" s="4698"/>
      <c r="H14" s="4698"/>
    </row>
    <row r="15" spans="1:14" ht="3" customHeight="1"/>
    <row r="16" spans="1:14">
      <c r="A16" s="624" t="s">
        <v>697</v>
      </c>
      <c r="B16" s="431" t="s">
        <v>2913</v>
      </c>
      <c r="L16" s="4744" t="s">
        <v>2645</v>
      </c>
      <c r="M16" s="4744"/>
    </row>
    <row r="17" spans="1:19" ht="1.5" customHeight="1">
      <c r="L17" s="608"/>
    </row>
    <row r="18" spans="1:19" ht="12" customHeight="1">
      <c r="A18" s="624" t="s">
        <v>1957</v>
      </c>
      <c r="B18" s="605" t="s">
        <v>2911</v>
      </c>
      <c r="C18" s="624"/>
      <c r="D18" s="624"/>
      <c r="E18" s="624"/>
      <c r="L18" s="4698" t="s">
        <v>2508</v>
      </c>
      <c r="M18" s="4698"/>
    </row>
    <row r="19" spans="1:19" ht="12" hidden="1" customHeight="1">
      <c r="B19" s="4698"/>
      <c r="C19" s="4698"/>
      <c r="D19" s="4698"/>
      <c r="E19" s="4698"/>
      <c r="F19" s="4698"/>
      <c r="G19" s="4698"/>
      <c r="H19" s="4698"/>
    </row>
    <row r="20" spans="1:19" ht="13.5" customHeight="1"/>
    <row r="21" spans="1:19" ht="12" customHeight="1">
      <c r="A21" s="549" t="s">
        <v>2878</v>
      </c>
    </row>
    <row r="22" spans="1:19" ht="3" customHeight="1"/>
    <row r="23" spans="1:19" ht="42.65" customHeight="1">
      <c r="A23" s="4745" t="s">
        <v>3954</v>
      </c>
      <c r="B23" s="4745"/>
      <c r="C23" s="4745"/>
      <c r="D23" s="4745"/>
      <c r="E23" s="4745"/>
      <c r="F23" s="4745"/>
      <c r="G23" s="4745"/>
      <c r="H23" s="4745"/>
      <c r="I23" s="4745"/>
      <c r="J23" s="4745"/>
      <c r="K23" s="4745"/>
      <c r="L23" s="4745"/>
      <c r="M23" s="4745"/>
    </row>
    <row r="24" spans="1:19" ht="18" customHeight="1">
      <c r="E24" s="604" t="s">
        <v>525</v>
      </c>
      <c r="F24" s="604" t="s">
        <v>499</v>
      </c>
      <c r="G24" s="604" t="s">
        <v>500</v>
      </c>
      <c r="H24" s="604" t="s">
        <v>501</v>
      </c>
      <c r="I24" s="604" t="s">
        <v>502</v>
      </c>
      <c r="J24" s="604" t="s">
        <v>503</v>
      </c>
      <c r="K24" s="431"/>
      <c r="S24" s="431"/>
    </row>
    <row r="25" spans="1:19" ht="14.25" customHeight="1">
      <c r="C25" s="723" t="s">
        <v>3559</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5">
        <f>'Part V-Revenues &amp; Expenses'!P56</f>
        <v>0</v>
      </c>
      <c r="K25" s="431"/>
      <c r="S25" s="431"/>
    </row>
    <row r="26" spans="1:19" ht="15" customHeight="1">
      <c r="C26" s="723" t="s">
        <v>3560</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6">
        <f>'Part V-Revenues &amp; Expenses'!P57</f>
        <v>0</v>
      </c>
      <c r="K26" s="431"/>
      <c r="S26" s="431"/>
    </row>
    <row r="27" spans="1:19" ht="15" customHeight="1">
      <c r="C27" s="723" t="s">
        <v>1080</v>
      </c>
      <c r="D27" s="438"/>
      <c r="E27" s="1498">
        <f>'Part V-Revenues &amp; Expenses'!K58</f>
        <v>0</v>
      </c>
      <c r="F27" s="1499">
        <f>'Part V-Revenues &amp; Expenses'!L58</f>
        <v>0</v>
      </c>
      <c r="G27" s="1499">
        <f>'Part V-Revenues &amp; Expenses'!M58</f>
        <v>0</v>
      </c>
      <c r="H27" s="1499">
        <f>'Part V-Revenues &amp; Expenses'!N58</f>
        <v>0</v>
      </c>
      <c r="I27" s="1499">
        <f>'Part V-Revenues &amp; Expenses'!O58</f>
        <v>0</v>
      </c>
      <c r="J27" s="2456">
        <f>'Part V-Revenues &amp; Expenses'!P58</f>
        <v>0</v>
      </c>
      <c r="K27" s="431"/>
      <c r="S27" s="431"/>
    </row>
    <row r="28" spans="1:19" ht="15" customHeight="1">
      <c r="C28" s="723" t="s">
        <v>112</v>
      </c>
      <c r="D28" s="438"/>
      <c r="E28" s="1498">
        <f>'Part V-Revenues &amp; Expenses'!K59</f>
        <v>0</v>
      </c>
      <c r="F28" s="1499">
        <f>'Part V-Revenues &amp; Expenses'!L59</f>
        <v>0</v>
      </c>
      <c r="G28" s="1499">
        <f>'Part V-Revenues &amp; Expenses'!M59</f>
        <v>0</v>
      </c>
      <c r="H28" s="1499">
        <f>'Part V-Revenues &amp; Expenses'!N59</f>
        <v>0</v>
      </c>
      <c r="I28" s="1499">
        <f>'Part V-Revenues &amp; Expenses'!O59</f>
        <v>0</v>
      </c>
      <c r="J28" s="2456">
        <f>'Part V-Revenues &amp; Expenses'!P59</f>
        <v>0</v>
      </c>
      <c r="K28" s="431"/>
      <c r="S28" s="431"/>
    </row>
    <row r="29" spans="1:19" ht="13.15" customHeight="1">
      <c r="C29" s="723" t="s">
        <v>3561</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6">
        <f>'Part V-Revenues &amp; Expenses'!P60</f>
        <v>0</v>
      </c>
      <c r="K29" s="431"/>
      <c r="S29" s="431"/>
    </row>
    <row r="30" spans="1:19" ht="13.15" customHeight="1">
      <c r="C30" s="723" t="s">
        <v>3562</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6">
        <f>'Part V-Revenues &amp; Expenses'!P61</f>
        <v>0</v>
      </c>
      <c r="K30" s="431"/>
      <c r="S30" s="431"/>
    </row>
    <row r="31" spans="1:19" ht="13.15" customHeight="1">
      <c r="C31" s="723" t="s">
        <v>3563</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6">
        <f>'Part V-Revenues &amp; Expenses'!P62</f>
        <v>0</v>
      </c>
      <c r="K31" s="431"/>
      <c r="S31" s="431"/>
    </row>
    <row r="32" spans="1:19" ht="13.15" customHeight="1">
      <c r="C32" s="438" t="s">
        <v>503</v>
      </c>
      <c r="D32" s="438"/>
      <c r="E32" s="2457">
        <f>'Part V-Revenues &amp; Expenses'!K63</f>
        <v>0</v>
      </c>
      <c r="F32" s="2458">
        <f>'Part V-Revenues &amp; Expenses'!L63</f>
        <v>0</v>
      </c>
      <c r="G32" s="2458">
        <f>'Part V-Revenues &amp; Expenses'!M63</f>
        <v>0</v>
      </c>
      <c r="H32" s="2458">
        <f>'Part V-Revenues &amp; Expenses'!N63</f>
        <v>0</v>
      </c>
      <c r="I32" s="2458">
        <f>'Part V-Revenues &amp; Expenses'!O63</f>
        <v>0</v>
      </c>
      <c r="J32" s="1500">
        <f>'Part V-Revenues &amp; Expenses'!P63</f>
        <v>0</v>
      </c>
      <c r="K32" s="431"/>
      <c r="S32" s="431"/>
    </row>
    <row r="33" spans="1:12" s="431" customFormat="1" ht="13.15" customHeight="1" thickBot="1">
      <c r="K33" s="1407"/>
    </row>
    <row r="34" spans="1:12" s="431" customFormat="1" ht="14.25" customHeight="1" thickBot="1">
      <c r="A34" s="1407"/>
      <c r="B34" s="4757" t="s">
        <v>4073</v>
      </c>
      <c r="E34" s="4758" t="s">
        <v>3973</v>
      </c>
      <c r="F34" s="4759"/>
      <c r="G34" s="4759"/>
      <c r="H34" s="4759"/>
      <c r="I34" s="4759"/>
      <c r="J34" s="4759"/>
      <c r="K34" s="4759"/>
      <c r="L34" s="4760"/>
    </row>
    <row r="35" spans="1:12" s="431" customFormat="1" ht="14.25" customHeight="1">
      <c r="A35" s="1407"/>
      <c r="B35" s="4757"/>
      <c r="C35" s="4761" t="s">
        <v>4074</v>
      </c>
      <c r="D35" s="4757" t="s">
        <v>4075</v>
      </c>
      <c r="E35" s="4762" t="s">
        <v>3976</v>
      </c>
      <c r="F35" s="4763"/>
      <c r="G35" s="4766" t="s">
        <v>1273</v>
      </c>
      <c r="H35" s="4768" t="s">
        <v>3972</v>
      </c>
      <c r="I35" s="4769"/>
      <c r="J35" s="4769"/>
      <c r="K35" s="4769"/>
      <c r="L35" s="4770"/>
    </row>
    <row r="36" spans="1:12" s="431" customFormat="1" ht="23.25" customHeight="1">
      <c r="A36" s="4761" t="s">
        <v>974</v>
      </c>
      <c r="B36" s="4757"/>
      <c r="C36" s="4761"/>
      <c r="D36" s="4757"/>
      <c r="E36" s="4764"/>
      <c r="F36" s="4765"/>
      <c r="G36" s="4767"/>
      <c r="H36" s="4771" t="s">
        <v>3974</v>
      </c>
      <c r="I36" s="4772"/>
      <c r="J36" s="4775" t="s">
        <v>1273</v>
      </c>
      <c r="K36" s="4772" t="s">
        <v>3975</v>
      </c>
      <c r="L36" s="4777"/>
    </row>
    <row r="37" spans="1:12" s="431" customFormat="1" ht="23.25" customHeight="1">
      <c r="A37" s="4761"/>
      <c r="B37" s="4757"/>
      <c r="C37" s="4761"/>
      <c r="D37" s="4757"/>
      <c r="E37" s="4764"/>
      <c r="F37" s="4765"/>
      <c r="G37" s="4767"/>
      <c r="H37" s="4771"/>
      <c r="I37" s="4772"/>
      <c r="J37" s="4776"/>
      <c r="K37" s="4772"/>
      <c r="L37" s="4777"/>
    </row>
    <row r="38" spans="1:12" s="431" customFormat="1" ht="23.25" customHeight="1">
      <c r="A38" s="4757"/>
      <c r="B38" s="4757"/>
      <c r="C38" s="4757"/>
      <c r="D38" s="4757"/>
      <c r="E38" s="4764"/>
      <c r="F38" s="4765"/>
      <c r="G38" s="4767"/>
      <c r="H38" s="4773"/>
      <c r="I38" s="4774"/>
      <c r="J38" s="4776"/>
      <c r="K38" s="4774"/>
      <c r="L38" s="4778"/>
    </row>
    <row r="39" spans="1:12" s="431" customFormat="1" ht="13.15" customHeight="1">
      <c r="A39" s="1486">
        <f>'Part V-Revenues &amp; Expenses'!B18</f>
        <v>0</v>
      </c>
      <c r="B39" s="1487">
        <f>'Part V-Revenues &amp; Expenses'!E18</f>
        <v>0</v>
      </c>
      <c r="C39" s="1488" t="str">
        <f>_xlfn.CONCAT('Part V-Revenues &amp; Expenses'!C18," / ",'Part V-Revenues &amp; Expenses'!D18)</f>
        <v xml:space="preserve"> / </v>
      </c>
      <c r="D39" s="1487">
        <f>'Part V-Revenues &amp; Expenses'!F18</f>
        <v>0</v>
      </c>
      <c r="E39" s="4781">
        <f>'Part V-Revenues &amp; Expenses'!H18</f>
        <v>0</v>
      </c>
      <c r="F39" s="4782"/>
      <c r="G39" s="438"/>
      <c r="H39" s="4751"/>
      <c r="I39" s="4752"/>
      <c r="J39" s="4752"/>
      <c r="K39" s="4752"/>
      <c r="L39" s="4753"/>
    </row>
    <row r="40" spans="1:12" s="431" customFormat="1" ht="13.15" customHeight="1">
      <c r="A40" s="1489">
        <f>'Part V-Revenues &amp; Expenses'!B19</f>
        <v>0</v>
      </c>
      <c r="B40" s="1490">
        <f>'Part V-Revenues &amp; Expenses'!E19</f>
        <v>0</v>
      </c>
      <c r="C40" s="1491" t="str">
        <f>_xlfn.CONCAT('Part V-Revenues &amp; Expenses'!C19," / ",'Part V-Revenues &amp; Expenses'!D19)</f>
        <v xml:space="preserve"> / </v>
      </c>
      <c r="D40" s="1490">
        <f>'Part V-Revenues &amp; Expenses'!F19</f>
        <v>0</v>
      </c>
      <c r="E40" s="4749">
        <f>'Part V-Revenues &amp; Expenses'!H19</f>
        <v>0</v>
      </c>
      <c r="F40" s="4750"/>
      <c r="G40" s="438"/>
      <c r="H40" s="4746"/>
      <c r="I40" s="4747"/>
      <c r="J40" s="4747"/>
      <c r="K40" s="4747"/>
      <c r="L40" s="4748"/>
    </row>
    <row r="41" spans="1:12" s="431" customFormat="1" ht="13.15" customHeight="1">
      <c r="A41" s="1489">
        <f>'Part V-Revenues &amp; Expenses'!B20</f>
        <v>0</v>
      </c>
      <c r="B41" s="1490">
        <f>'Part V-Revenues &amp; Expenses'!E20</f>
        <v>0</v>
      </c>
      <c r="C41" s="1491" t="str">
        <f>_xlfn.CONCAT('Part V-Revenues &amp; Expenses'!C20," / ",'Part V-Revenues &amp; Expenses'!D20)</f>
        <v xml:space="preserve"> / </v>
      </c>
      <c r="D41" s="1490">
        <f>'Part V-Revenues &amp; Expenses'!F20</f>
        <v>0</v>
      </c>
      <c r="E41" s="4749">
        <f>'Part V-Revenues &amp; Expenses'!H20</f>
        <v>0</v>
      </c>
      <c r="F41" s="4750"/>
      <c r="G41" s="438"/>
      <c r="H41" s="4746"/>
      <c r="I41" s="4747"/>
      <c r="J41" s="4747"/>
      <c r="K41" s="4747"/>
      <c r="L41" s="4748"/>
    </row>
    <row r="42" spans="1:12" s="431" customFormat="1" ht="13.15" customHeight="1">
      <c r="A42" s="1489">
        <f>'Part V-Revenues &amp; Expenses'!B21</f>
        <v>0</v>
      </c>
      <c r="B42" s="1490">
        <f>'Part V-Revenues &amp; Expenses'!E21</f>
        <v>0</v>
      </c>
      <c r="C42" s="1491" t="str">
        <f>_xlfn.CONCAT('Part V-Revenues &amp; Expenses'!C21," / ",'Part V-Revenues &amp; Expenses'!D21)</f>
        <v xml:space="preserve"> / </v>
      </c>
      <c r="D42" s="1490">
        <f>'Part V-Revenues &amp; Expenses'!F21</f>
        <v>0</v>
      </c>
      <c r="E42" s="4749">
        <f>'Part V-Revenues &amp; Expenses'!H21</f>
        <v>0</v>
      </c>
      <c r="F42" s="4750"/>
      <c r="G42" s="438"/>
      <c r="H42" s="4746"/>
      <c r="I42" s="4747"/>
      <c r="J42" s="4747"/>
      <c r="K42" s="4747"/>
      <c r="L42" s="4748"/>
    </row>
    <row r="43" spans="1:12" s="431" customFormat="1" ht="13.15" customHeight="1">
      <c r="A43" s="1489">
        <f>'Part V-Revenues &amp; Expenses'!B22</f>
        <v>0</v>
      </c>
      <c r="B43" s="1490">
        <f>'Part V-Revenues &amp; Expenses'!E22</f>
        <v>0</v>
      </c>
      <c r="C43" s="1491" t="str">
        <f>_xlfn.CONCAT('Part V-Revenues &amp; Expenses'!C22," / ",'Part V-Revenues &amp; Expenses'!D22)</f>
        <v xml:space="preserve"> / </v>
      </c>
      <c r="D43" s="1490">
        <f>'Part V-Revenues &amp; Expenses'!F22</f>
        <v>0</v>
      </c>
      <c r="E43" s="4749">
        <f>'Part V-Revenues &amp; Expenses'!H22</f>
        <v>0</v>
      </c>
      <c r="F43" s="4750"/>
      <c r="G43" s="438"/>
      <c r="H43" s="4746"/>
      <c r="I43" s="4747"/>
      <c r="J43" s="4747"/>
      <c r="K43" s="4747"/>
      <c r="L43" s="4748"/>
    </row>
    <row r="44" spans="1:12" s="431" customFormat="1" ht="13.15" customHeight="1">
      <c r="A44" s="1489">
        <f>'Part V-Revenues &amp; Expenses'!B23</f>
        <v>0</v>
      </c>
      <c r="B44" s="1490">
        <f>'Part V-Revenues &amp; Expenses'!E23</f>
        <v>0</v>
      </c>
      <c r="C44" s="1491" t="str">
        <f>_xlfn.CONCAT('Part V-Revenues &amp; Expenses'!C23," / ",'Part V-Revenues &amp; Expenses'!D23)</f>
        <v xml:space="preserve"> / </v>
      </c>
      <c r="D44" s="1490">
        <f>'Part V-Revenues &amp; Expenses'!F23</f>
        <v>0</v>
      </c>
      <c r="E44" s="4749">
        <f>'Part V-Revenues &amp; Expenses'!H23</f>
        <v>0</v>
      </c>
      <c r="F44" s="4750"/>
      <c r="G44" s="438"/>
      <c r="H44" s="4746"/>
      <c r="I44" s="4747"/>
      <c r="J44" s="4747"/>
      <c r="K44" s="4747"/>
      <c r="L44" s="4748"/>
    </row>
    <row r="45" spans="1:12" s="431" customFormat="1" ht="13.1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49">
        <f>'Part V-Revenues &amp; Expenses'!H24</f>
        <v>0</v>
      </c>
      <c r="F45" s="4750"/>
      <c r="G45" s="438"/>
      <c r="H45" s="4746"/>
      <c r="I45" s="4747"/>
      <c r="J45" s="4747"/>
      <c r="K45" s="4747"/>
      <c r="L45" s="4748"/>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9">
        <f>'Part V-Revenues &amp; Expenses'!H25</f>
        <v>0</v>
      </c>
      <c r="F46" s="4750"/>
      <c r="G46" s="438"/>
      <c r="H46" s="4746"/>
      <c r="I46" s="4747"/>
      <c r="J46" s="4747"/>
      <c r="K46" s="4747"/>
      <c r="L46" s="4748"/>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9">
        <f>'Part V-Revenues &amp; Expenses'!H26</f>
        <v>0</v>
      </c>
      <c r="F47" s="4750"/>
      <c r="G47" s="438"/>
      <c r="H47" s="4746"/>
      <c r="I47" s="4747"/>
      <c r="J47" s="4747"/>
      <c r="K47" s="4747"/>
      <c r="L47" s="4748"/>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9">
        <f>'Part V-Revenues &amp; Expenses'!H27</f>
        <v>0</v>
      </c>
      <c r="F48" s="4750"/>
      <c r="G48" s="438"/>
      <c r="H48" s="4746"/>
      <c r="I48" s="4747"/>
      <c r="J48" s="4747"/>
      <c r="K48" s="4747"/>
      <c r="L48" s="4748"/>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9">
        <f>'Part V-Revenues &amp; Expenses'!H28</f>
        <v>0</v>
      </c>
      <c r="F49" s="4750"/>
      <c r="G49" s="438"/>
      <c r="H49" s="4746"/>
      <c r="I49" s="4747"/>
      <c r="J49" s="4747"/>
      <c r="K49" s="4747"/>
      <c r="L49" s="4748"/>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9">
        <f>'Part V-Revenues &amp; Expenses'!H29</f>
        <v>0</v>
      </c>
      <c r="F50" s="4750"/>
      <c r="G50" s="438"/>
      <c r="H50" s="4746"/>
      <c r="I50" s="4747"/>
      <c r="J50" s="4747"/>
      <c r="K50" s="4747"/>
      <c r="L50" s="4748"/>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9">
        <f>'Part V-Revenues &amp; Expenses'!H30</f>
        <v>0</v>
      </c>
      <c r="F51" s="4750"/>
      <c r="G51" s="438"/>
      <c r="H51" s="4746"/>
      <c r="I51" s="4747"/>
      <c r="J51" s="4747"/>
      <c r="K51" s="4747"/>
      <c r="L51" s="4748"/>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9">
        <f>'Part V-Revenues &amp; Expenses'!H31</f>
        <v>0</v>
      </c>
      <c r="F52" s="4750"/>
      <c r="G52" s="438"/>
      <c r="H52" s="4746"/>
      <c r="I52" s="4747"/>
      <c r="J52" s="4747"/>
      <c r="K52" s="4747"/>
      <c r="L52" s="4748"/>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9">
        <f>'Part V-Revenues &amp; Expenses'!H32</f>
        <v>0</v>
      </c>
      <c r="F53" s="4750"/>
      <c r="G53" s="438"/>
      <c r="H53" s="4746"/>
      <c r="I53" s="4747"/>
      <c r="J53" s="4747"/>
      <c r="K53" s="4747"/>
      <c r="L53" s="4748"/>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9">
        <f>'Part V-Revenues &amp; Expenses'!H33</f>
        <v>0</v>
      </c>
      <c r="F54" s="4750"/>
      <c r="G54" s="438"/>
      <c r="H54" s="4746"/>
      <c r="I54" s="4747"/>
      <c r="J54" s="4747"/>
      <c r="K54" s="4747"/>
      <c r="L54" s="4748"/>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9">
        <f>'Part V-Revenues &amp; Expenses'!H34</f>
        <v>0</v>
      </c>
      <c r="F55" s="4750"/>
      <c r="G55" s="438"/>
      <c r="H55" s="4746"/>
      <c r="I55" s="4747"/>
      <c r="J55" s="4747"/>
      <c r="K55" s="4747"/>
      <c r="L55" s="4748"/>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9">
        <f>'Part V-Revenues &amp; Expenses'!H35</f>
        <v>0</v>
      </c>
      <c r="F56" s="4750"/>
      <c r="G56" s="438"/>
      <c r="H56" s="4746"/>
      <c r="I56" s="4747"/>
      <c r="J56" s="4747"/>
      <c r="K56" s="4747"/>
      <c r="L56" s="4748"/>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9">
        <f>'Part V-Revenues &amp; Expenses'!H36</f>
        <v>0</v>
      </c>
      <c r="F57" s="4750"/>
      <c r="G57" s="438"/>
      <c r="H57" s="4746"/>
      <c r="I57" s="4747"/>
      <c r="J57" s="4747"/>
      <c r="K57" s="4747"/>
      <c r="L57" s="4748"/>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9">
        <f>'Part V-Revenues &amp; Expenses'!H37</f>
        <v>0</v>
      </c>
      <c r="F58" s="4750"/>
      <c r="G58" s="438"/>
      <c r="H58" s="4746"/>
      <c r="I58" s="4747"/>
      <c r="J58" s="4747"/>
      <c r="K58" s="4747"/>
      <c r="L58" s="4748"/>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9">
        <f>'Part V-Revenues &amp; Expenses'!H38</f>
        <v>0</v>
      </c>
      <c r="F59" s="4750"/>
      <c r="G59" s="438"/>
      <c r="H59" s="4746"/>
      <c r="I59" s="4747"/>
      <c r="J59" s="4747"/>
      <c r="K59" s="4747"/>
      <c r="L59" s="4748"/>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9">
        <f>'Part V-Revenues &amp; Expenses'!H39</f>
        <v>0</v>
      </c>
      <c r="F60" s="4750"/>
      <c r="G60" s="438"/>
      <c r="H60" s="4746"/>
      <c r="I60" s="4747"/>
      <c r="J60" s="4747"/>
      <c r="K60" s="4747"/>
      <c r="L60" s="4748"/>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9">
        <f>'Part V-Revenues &amp; Expenses'!H40</f>
        <v>0</v>
      </c>
      <c r="F61" s="4750"/>
      <c r="G61" s="438"/>
      <c r="H61" s="4746"/>
      <c r="I61" s="4747"/>
      <c r="J61" s="4747"/>
      <c r="K61" s="4747"/>
      <c r="L61" s="4748"/>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9">
        <f>'Part V-Revenues &amp; Expenses'!H41</f>
        <v>0</v>
      </c>
      <c r="F62" s="4750"/>
      <c r="G62" s="438"/>
      <c r="H62" s="4746"/>
      <c r="I62" s="4747"/>
      <c r="J62" s="4747"/>
      <c r="K62" s="4747"/>
      <c r="L62" s="4748"/>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9">
        <f>'Part V-Revenues &amp; Expenses'!H42</f>
        <v>0</v>
      </c>
      <c r="F63" s="4750"/>
      <c r="G63" s="438"/>
      <c r="H63" s="4746"/>
      <c r="I63" s="4747"/>
      <c r="J63" s="4747"/>
      <c r="K63" s="4747"/>
      <c r="L63" s="4748"/>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9">
        <f>'Part V-Revenues &amp; Expenses'!H43</f>
        <v>0</v>
      </c>
      <c r="F64" s="4750"/>
      <c r="G64" s="438"/>
      <c r="H64" s="4746"/>
      <c r="I64" s="4747"/>
      <c r="J64" s="4747"/>
      <c r="K64" s="4747"/>
      <c r="L64" s="4748"/>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9">
        <f>'Part V-Revenues &amp; Expenses'!H44</f>
        <v>0</v>
      </c>
      <c r="F65" s="4750"/>
      <c r="G65" s="438"/>
      <c r="H65" s="4746"/>
      <c r="I65" s="4747"/>
      <c r="J65" s="4747"/>
      <c r="K65" s="4747"/>
      <c r="L65" s="4748"/>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9">
        <f>'Part V-Revenues &amp; Expenses'!H45</f>
        <v>0</v>
      </c>
      <c r="F66" s="4750"/>
      <c r="G66" s="438"/>
      <c r="H66" s="4746"/>
      <c r="I66" s="4747"/>
      <c r="J66" s="4747"/>
      <c r="K66" s="4747"/>
      <c r="L66" s="4748"/>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9">
        <f>'Part V-Revenues &amp; Expenses'!H46</f>
        <v>0</v>
      </c>
      <c r="F67" s="4750"/>
      <c r="G67" s="438"/>
      <c r="H67" s="4746"/>
      <c r="I67" s="4747"/>
      <c r="J67" s="4747"/>
      <c r="K67" s="4747"/>
      <c r="L67" s="4748"/>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9">
        <f>'Part V-Revenues &amp; Expenses'!H47</f>
        <v>0</v>
      </c>
      <c r="F68" s="4750"/>
      <c r="G68" s="438"/>
      <c r="H68" s="4746"/>
      <c r="I68" s="4747"/>
      <c r="J68" s="4747"/>
      <c r="K68" s="4747"/>
      <c r="L68" s="4748"/>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9">
        <f>'Part V-Revenues &amp; Expenses'!H48</f>
        <v>0</v>
      </c>
      <c r="F69" s="4780"/>
      <c r="G69" s="1495"/>
      <c r="H69" s="4754"/>
      <c r="I69" s="4755"/>
      <c r="J69" s="4755"/>
      <c r="K69" s="4755"/>
      <c r="L69" s="4756"/>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topLeftCell="A12" workbookViewId="0">
      <selection activeCell="A40" sqref="A40:XFD40"/>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840" t="s">
        <v>673</v>
      </c>
      <c r="B2" s="4841"/>
      <c r="C2" s="4841"/>
      <c r="D2" s="4841"/>
      <c r="E2" s="4841"/>
      <c r="F2" s="4841"/>
      <c r="G2" s="4841"/>
      <c r="H2" s="4841"/>
      <c r="I2" s="4841"/>
      <c r="J2" s="4841"/>
      <c r="K2" s="4841"/>
      <c r="L2" s="4841"/>
      <c r="M2" s="4841"/>
      <c r="N2" s="4841"/>
      <c r="O2" s="4841"/>
      <c r="P2" s="4841"/>
      <c r="Q2" s="4841"/>
      <c r="R2" s="4842"/>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4772</v>
      </c>
      <c r="B7" s="225"/>
      <c r="C7" s="147"/>
      <c r="D7" s="147"/>
      <c r="E7" s="144"/>
      <c r="F7" s="147" t="s">
        <v>4773</v>
      </c>
      <c r="G7" s="147"/>
      <c r="H7" s="144"/>
      <c r="I7" s="144"/>
      <c r="J7" s="147" t="s">
        <v>4774</v>
      </c>
      <c r="K7" s="147"/>
      <c r="L7" s="147" t="s">
        <v>4775</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4771</v>
      </c>
      <c r="B9" s="147"/>
      <c r="C9" s="147"/>
      <c r="D9" s="144"/>
      <c r="E9" s="144"/>
      <c r="F9" s="147" t="s">
        <v>4773</v>
      </c>
      <c r="G9" s="147"/>
      <c r="H9" s="144"/>
      <c r="I9" s="144"/>
      <c r="J9" s="147" t="s">
        <v>4776</v>
      </c>
      <c r="K9" s="147"/>
      <c r="L9" s="147" t="s">
        <v>4784</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4777</v>
      </c>
      <c r="K10" s="147"/>
      <c r="L10" s="147" t="s">
        <v>4784</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4783</v>
      </c>
      <c r="R12" s="2083" t="s">
        <v>4782</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4148</v>
      </c>
      <c r="K13" s="147"/>
      <c r="L13" s="147" t="s">
        <v>4770</v>
      </c>
      <c r="M13" s="147"/>
      <c r="N13" s="147" t="s">
        <v>4778</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4779</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4780</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4781</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4785</v>
      </c>
      <c r="K18" s="147"/>
      <c r="L18" s="147" t="s">
        <v>4787</v>
      </c>
      <c r="M18" s="147"/>
      <c r="N18" s="147"/>
      <c r="O18" s="147"/>
      <c r="P18" s="147"/>
      <c r="Q18" s="2057" t="s">
        <v>4786</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4792</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4793</v>
      </c>
      <c r="O20" s="147"/>
      <c r="Q20" s="823" t="s">
        <v>905</v>
      </c>
      <c r="R20" s="2070">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843" t="s">
        <v>4517</v>
      </c>
      <c r="R24" s="4844"/>
      <c r="S24" s="241"/>
      <c r="T24" s="144"/>
      <c r="U24" s="144"/>
      <c r="V24" s="321"/>
      <c r="W24" s="321"/>
      <c r="X24" s="321"/>
      <c r="AA24" s="68"/>
      <c r="AB24" s="68"/>
    </row>
    <row r="25" spans="1:28" s="145" customFormat="1" ht="11.25" hidden="1" customHeight="1">
      <c r="A25" s="147"/>
      <c r="B25" s="147"/>
      <c r="C25" s="147"/>
      <c r="D25" s="144"/>
      <c r="E25" s="144"/>
      <c r="F25" s="147" t="s">
        <v>3796</v>
      </c>
      <c r="G25" s="147"/>
      <c r="H25" s="144"/>
      <c r="I25" s="144"/>
      <c r="J25" s="441" t="s">
        <v>3058</v>
      </c>
      <c r="K25" s="234"/>
      <c r="M25" s="234"/>
      <c r="N25" s="234"/>
      <c r="O25" s="147"/>
      <c r="Q25" s="4845">
        <v>0.1</v>
      </c>
      <c r="R25" s="4846"/>
      <c r="S25" s="241"/>
      <c r="T25" s="144"/>
      <c r="U25" s="144"/>
      <c r="V25" s="321"/>
      <c r="W25" s="321"/>
      <c r="X25" s="321"/>
      <c r="AA25" s="68"/>
      <c r="AB25" s="68"/>
    </row>
    <row r="26" spans="1:28" s="145" customFormat="1" ht="12.75" hidden="1" customHeight="1">
      <c r="A26" s="147"/>
      <c r="B26" s="147"/>
      <c r="C26" s="147"/>
      <c r="J26" s="1773" t="s">
        <v>2458</v>
      </c>
      <c r="K26" s="236"/>
      <c r="L26" s="236"/>
      <c r="N26" s="234"/>
      <c r="O26" s="147"/>
      <c r="Q26" s="4847" t="s">
        <v>3787</v>
      </c>
      <c r="R26" s="4847"/>
      <c r="S26" s="144"/>
      <c r="T26" s="144"/>
      <c r="U26" s="144"/>
      <c r="AA26" s="68"/>
      <c r="AB26" s="68"/>
    </row>
    <row r="27" spans="1:28" s="145" customFormat="1" ht="12.75" hidden="1" customHeight="1">
      <c r="A27" s="147"/>
      <c r="B27" s="147"/>
      <c r="C27" s="147"/>
      <c r="K27" s="236" t="s">
        <v>3788</v>
      </c>
      <c r="L27" s="236"/>
      <c r="N27" s="234"/>
      <c r="O27" s="147"/>
      <c r="P27" s="144"/>
      <c r="Q27" s="4848">
        <v>0.2</v>
      </c>
      <c r="R27" s="4849"/>
      <c r="S27" s="144"/>
      <c r="T27" s="144"/>
      <c r="U27" s="144"/>
      <c r="AA27" s="68"/>
      <c r="AB27" s="68"/>
    </row>
    <row r="28" spans="1:28" s="145" customFormat="1" ht="12.75" hidden="1" customHeight="1">
      <c r="A28" s="147"/>
      <c r="B28" s="147"/>
      <c r="C28" s="147"/>
      <c r="K28" s="236" t="s">
        <v>3789</v>
      </c>
      <c r="L28" s="236"/>
      <c r="N28" s="234"/>
      <c r="O28" s="147"/>
      <c r="P28" s="144"/>
      <c r="Q28" s="4832">
        <v>0.15</v>
      </c>
      <c r="R28" s="4833"/>
      <c r="S28" s="144"/>
      <c r="T28" s="144"/>
      <c r="U28" s="144"/>
      <c r="AA28" s="68"/>
      <c r="AB28" s="68"/>
    </row>
    <row r="29" spans="1:28" s="145" customFormat="1" ht="12.75" hidden="1" customHeight="1">
      <c r="A29" s="147"/>
      <c r="B29" s="147"/>
      <c r="C29" s="147"/>
      <c r="K29" s="236" t="s">
        <v>3790</v>
      </c>
      <c r="L29" s="236"/>
      <c r="N29" s="234"/>
      <c r="O29" s="147"/>
      <c r="P29" s="144"/>
      <c r="Q29" s="4832">
        <v>0.15</v>
      </c>
      <c r="R29" s="4833"/>
      <c r="S29" s="144"/>
      <c r="T29" s="144"/>
      <c r="U29" s="144"/>
      <c r="AA29" s="68"/>
      <c r="AB29" s="68"/>
    </row>
    <row r="30" spans="1:28" s="145" customFormat="1" ht="12.75" hidden="1" customHeight="1">
      <c r="A30" s="147"/>
      <c r="B30" s="147"/>
      <c r="C30" s="147"/>
      <c r="K30" s="236" t="s">
        <v>3791</v>
      </c>
      <c r="L30" s="236"/>
      <c r="N30" s="234"/>
      <c r="O30" s="147"/>
      <c r="P30" s="144"/>
      <c r="Q30" s="4832">
        <v>0.1</v>
      </c>
      <c r="R30" s="4833"/>
      <c r="S30" s="144"/>
      <c r="T30" s="144"/>
      <c r="U30" s="144"/>
      <c r="AA30" s="68"/>
      <c r="AB30" s="68"/>
    </row>
    <row r="31" spans="1:28" s="145" customFormat="1" ht="12.75" hidden="1" customHeight="1">
      <c r="A31" s="147"/>
      <c r="B31" s="147"/>
      <c r="C31" s="147"/>
      <c r="K31" s="236" t="s">
        <v>3792</v>
      </c>
      <c r="L31" s="236"/>
      <c r="N31" s="234"/>
      <c r="O31" s="147"/>
      <c r="P31" s="144"/>
      <c r="Q31" s="4834">
        <v>0.1</v>
      </c>
      <c r="R31" s="4835"/>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3098</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3097</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3232</v>
      </c>
      <c r="H40" s="144"/>
      <c r="I40" s="144"/>
      <c r="J40" s="147" t="s">
        <v>1430</v>
      </c>
      <c r="K40" s="147"/>
      <c r="L40" s="147"/>
      <c r="M40" s="147"/>
      <c r="N40" s="147"/>
      <c r="O40" s="147"/>
      <c r="P40" s="144"/>
      <c r="Q40" s="2076" t="s">
        <v>2844</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2971</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3207</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4008</v>
      </c>
      <c r="G48" s="147"/>
      <c r="H48" s="144"/>
      <c r="I48" s="144"/>
      <c r="J48" s="147" t="s">
        <v>4009</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3233</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3233</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4788</v>
      </c>
      <c r="G51" s="147"/>
      <c r="H51" s="144"/>
      <c r="I51" s="144"/>
      <c r="J51" s="147" t="s">
        <v>3233</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3234</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3234</v>
      </c>
      <c r="K53" s="147"/>
      <c r="L53" s="147"/>
      <c r="M53" s="147"/>
      <c r="N53" s="147"/>
      <c r="O53" s="147"/>
      <c r="P53" s="144"/>
      <c r="Q53" s="235" t="s">
        <v>1607</v>
      </c>
      <c r="R53" s="2070">
        <v>0.02</v>
      </c>
      <c r="S53" s="236"/>
      <c r="T53" s="236"/>
      <c r="U53" s="236"/>
      <c r="AA53" s="68"/>
      <c r="AB53" s="68"/>
    </row>
    <row r="54" spans="1:28" s="145" customFormat="1" ht="11.65" customHeight="1">
      <c r="A54" s="147"/>
      <c r="B54" s="147" t="s">
        <v>2503</v>
      </c>
      <c r="C54" s="147"/>
      <c r="D54" s="144"/>
      <c r="E54" s="144"/>
      <c r="F54" s="147" t="s">
        <v>1607</v>
      </c>
      <c r="G54" s="147"/>
      <c r="H54" s="144"/>
      <c r="I54" s="144"/>
      <c r="J54" s="147" t="s">
        <v>3234</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3201</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4878</v>
      </c>
      <c r="D57" s="147"/>
      <c r="E57" s="144"/>
      <c r="F57" s="236" t="s">
        <v>4882</v>
      </c>
      <c r="G57" s="147"/>
      <c r="H57" s="144"/>
      <c r="I57" s="144"/>
      <c r="K57" s="147"/>
      <c r="L57" s="147"/>
      <c r="M57" s="147"/>
      <c r="N57" s="147"/>
      <c r="O57" s="147"/>
      <c r="P57" s="144"/>
      <c r="Q57" s="4836">
        <v>2000</v>
      </c>
      <c r="R57" s="4837"/>
      <c r="S57" s="236"/>
      <c r="T57" s="236"/>
      <c r="U57" s="236"/>
      <c r="AA57" s="68"/>
      <c r="AB57" s="68"/>
    </row>
    <row r="58" spans="1:28" s="145" customFormat="1" ht="11.65" customHeight="1">
      <c r="A58" s="147"/>
      <c r="B58" s="147"/>
      <c r="C58" s="236" t="s">
        <v>4879</v>
      </c>
      <c r="D58" s="147"/>
      <c r="E58" s="144"/>
      <c r="F58" s="147" t="s">
        <v>4880</v>
      </c>
      <c r="G58" s="147"/>
      <c r="H58" s="144"/>
      <c r="I58" s="144"/>
      <c r="J58" s="147" t="s">
        <v>4883</v>
      </c>
      <c r="K58" s="147"/>
      <c r="L58" s="147"/>
      <c r="M58" s="147" t="s">
        <v>1125</v>
      </c>
      <c r="N58" s="147"/>
      <c r="O58" s="147"/>
      <c r="P58" s="144"/>
      <c r="Q58" s="4838">
        <v>10000</v>
      </c>
      <c r="R58" s="4839"/>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30">
        <v>8000</v>
      </c>
      <c r="R59" s="4831"/>
      <c r="S59" s="236"/>
      <c r="T59" s="236"/>
      <c r="U59" s="236"/>
      <c r="AA59" s="68"/>
      <c r="AB59" s="68"/>
    </row>
    <row r="60" spans="1:28" s="145" customFormat="1" ht="11.65" customHeight="1">
      <c r="A60" s="147"/>
      <c r="B60" s="147"/>
      <c r="C60" s="147"/>
      <c r="D60" s="147"/>
      <c r="E60" s="144"/>
      <c r="G60" s="147"/>
      <c r="H60" s="144"/>
      <c r="I60" s="144"/>
      <c r="J60" s="236" t="s">
        <v>4881</v>
      </c>
      <c r="K60" s="147"/>
      <c r="L60" s="147"/>
      <c r="M60" s="147" t="s">
        <v>1125</v>
      </c>
      <c r="N60" s="147"/>
      <c r="O60" s="147"/>
      <c r="P60" s="144"/>
      <c r="Q60" s="4830">
        <v>10000</v>
      </c>
      <c r="R60" s="4831"/>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13">
        <v>8000</v>
      </c>
      <c r="R61" s="4814"/>
      <c r="S61" s="236"/>
      <c r="T61" s="236"/>
      <c r="U61" s="236"/>
      <c r="AA61" s="68"/>
      <c r="AB61" s="68"/>
    </row>
    <row r="62" spans="1:28" s="145" customFormat="1" ht="11.65" customHeight="1">
      <c r="A62" s="147"/>
      <c r="B62" s="147"/>
      <c r="C62" s="147" t="s">
        <v>4884</v>
      </c>
      <c r="D62" s="147"/>
      <c r="E62" s="144"/>
      <c r="F62" s="147" t="s">
        <v>3237</v>
      </c>
      <c r="G62" s="147"/>
      <c r="H62" s="144"/>
      <c r="I62" s="144"/>
      <c r="K62" s="147"/>
      <c r="L62" s="147"/>
      <c r="M62" s="147"/>
      <c r="N62" s="147"/>
      <c r="O62" s="147"/>
      <c r="P62" s="144"/>
      <c r="Q62" s="4838">
        <v>2500</v>
      </c>
      <c r="R62" s="4839"/>
      <c r="S62" s="236"/>
      <c r="T62" s="236"/>
      <c r="U62" s="236"/>
      <c r="AA62" s="68"/>
      <c r="AB62" s="68"/>
    </row>
    <row r="63" spans="1:28" s="145" customFormat="1" ht="11.65" customHeight="1">
      <c r="A63" s="147"/>
      <c r="B63" s="147"/>
      <c r="C63" s="147"/>
      <c r="D63" s="147"/>
      <c r="E63" s="144"/>
      <c r="F63" s="147" t="s">
        <v>3236</v>
      </c>
      <c r="G63" s="147"/>
      <c r="H63" s="144"/>
      <c r="I63" s="144"/>
      <c r="K63" s="147"/>
      <c r="L63" s="147"/>
      <c r="M63" s="147"/>
      <c r="N63" s="147"/>
      <c r="O63" s="147"/>
      <c r="P63" s="144"/>
      <c r="Q63" s="4830">
        <v>2500</v>
      </c>
      <c r="R63" s="4831"/>
      <c r="S63" s="236"/>
      <c r="T63" s="236"/>
      <c r="U63" s="236"/>
      <c r="AA63" s="68"/>
      <c r="AB63" s="68"/>
    </row>
    <row r="64" spans="1:28" s="145" customFormat="1" ht="11.65" customHeight="1">
      <c r="A64" s="147"/>
      <c r="B64" s="147"/>
      <c r="C64" s="147"/>
      <c r="D64" s="147"/>
      <c r="E64" s="144"/>
      <c r="F64" s="236" t="s">
        <v>4885</v>
      </c>
      <c r="G64" s="147"/>
      <c r="H64" s="144"/>
      <c r="I64" s="144"/>
      <c r="Q64" s="4830">
        <v>1500</v>
      </c>
      <c r="R64" s="4831"/>
      <c r="S64" s="236"/>
      <c r="T64" s="236"/>
      <c r="U64" s="236"/>
      <c r="AA64" s="68"/>
      <c r="AB64" s="68"/>
    </row>
    <row r="65" spans="1:28" s="145" customFormat="1" ht="11.65" customHeight="1">
      <c r="A65" s="144"/>
      <c r="B65" s="236"/>
      <c r="C65" s="147"/>
      <c r="D65" s="147"/>
      <c r="E65" s="144"/>
      <c r="F65" s="147" t="s">
        <v>4886</v>
      </c>
      <c r="G65" s="147"/>
      <c r="H65" s="144"/>
      <c r="I65" s="144"/>
      <c r="J65" s="147" t="s">
        <v>4887</v>
      </c>
      <c r="K65" s="147"/>
      <c r="L65" s="147"/>
      <c r="M65" s="147"/>
      <c r="N65" s="147"/>
      <c r="O65" s="147"/>
      <c r="P65" s="144"/>
      <c r="Q65" s="4830">
        <v>15000</v>
      </c>
      <c r="R65" s="4831"/>
      <c r="S65" s="236"/>
      <c r="T65" s="236"/>
      <c r="U65" s="236"/>
      <c r="AA65" s="68"/>
      <c r="AB65" s="68"/>
    </row>
    <row r="66" spans="1:28" s="145" customFormat="1" ht="11.65" customHeight="1">
      <c r="A66" s="147"/>
      <c r="B66" s="147"/>
      <c r="C66" s="147"/>
      <c r="D66" s="147"/>
      <c r="E66" s="144"/>
      <c r="F66" s="147" t="s">
        <v>3238</v>
      </c>
      <c r="G66" s="147"/>
      <c r="H66" s="144"/>
      <c r="I66" s="144"/>
      <c r="K66" s="147"/>
      <c r="L66" s="147"/>
      <c r="M66" s="147"/>
      <c r="N66" s="147"/>
      <c r="O66" s="147"/>
      <c r="P66" s="144"/>
      <c r="Q66" s="4822">
        <v>1500</v>
      </c>
      <c r="R66" s="4823"/>
      <c r="S66" s="236"/>
      <c r="T66" s="236"/>
      <c r="U66" s="236"/>
      <c r="AA66" s="68"/>
      <c r="AB66" s="68"/>
    </row>
    <row r="67" spans="1:28" s="145" customFormat="1" ht="11.65" customHeight="1">
      <c r="A67" s="144"/>
      <c r="B67" s="236"/>
      <c r="C67" s="147"/>
      <c r="D67" s="147"/>
      <c r="E67" s="144"/>
      <c r="F67" s="147" t="s">
        <v>4888</v>
      </c>
      <c r="G67" s="147"/>
      <c r="H67" s="144"/>
      <c r="I67" s="144"/>
      <c r="J67" s="147"/>
      <c r="K67" s="147"/>
      <c r="L67" s="147"/>
      <c r="M67" s="147"/>
      <c r="N67" s="147"/>
      <c r="O67" s="147"/>
      <c r="P67" s="144"/>
      <c r="Q67" s="4824" t="s">
        <v>4890</v>
      </c>
      <c r="R67" s="4825"/>
      <c r="S67" s="236"/>
      <c r="T67" s="236"/>
      <c r="U67" s="236"/>
      <c r="AA67" s="68"/>
      <c r="AB67" s="68"/>
    </row>
    <row r="68" spans="1:28" s="145" customFormat="1" ht="11.65" customHeight="1">
      <c r="A68" s="144"/>
      <c r="B68" s="236"/>
      <c r="C68" s="147"/>
      <c r="D68" s="147"/>
      <c r="E68" s="144"/>
      <c r="F68" s="147" t="s">
        <v>4889</v>
      </c>
      <c r="G68" s="147"/>
      <c r="H68" s="144"/>
      <c r="I68" s="144"/>
      <c r="J68" s="147"/>
      <c r="K68" s="147"/>
      <c r="L68" s="147"/>
      <c r="M68" s="147"/>
      <c r="N68" s="147"/>
      <c r="O68" s="147"/>
      <c r="P68" s="144"/>
      <c r="Q68" s="4826" t="s">
        <v>4890</v>
      </c>
      <c r="R68" s="4827"/>
      <c r="S68" s="236"/>
      <c r="T68" s="236"/>
      <c r="U68" s="236"/>
      <c r="AA68" s="68"/>
      <c r="AB68" s="68"/>
    </row>
    <row r="69" spans="1:28" s="145" customFormat="1" ht="11.65" customHeight="1">
      <c r="A69" s="147"/>
      <c r="B69" s="147"/>
      <c r="D69" s="147"/>
      <c r="E69" s="144"/>
      <c r="F69" s="147" t="s">
        <v>3235</v>
      </c>
      <c r="G69" s="147"/>
      <c r="H69" s="144"/>
      <c r="I69" s="144"/>
      <c r="J69" s="147"/>
      <c r="K69" s="147"/>
      <c r="L69" s="147"/>
      <c r="M69" s="147"/>
      <c r="N69" s="147"/>
      <c r="O69" s="147"/>
      <c r="P69" s="144"/>
      <c r="Q69" s="4828">
        <v>1500</v>
      </c>
      <c r="R69" s="4829"/>
      <c r="S69" s="236"/>
      <c r="T69" s="236"/>
      <c r="U69" s="236"/>
      <c r="AA69" s="68"/>
      <c r="AB69" s="68"/>
    </row>
    <row r="70" spans="1:28" s="145" customFormat="1" ht="11.65" customHeight="1">
      <c r="A70" s="147"/>
      <c r="C70" s="147" t="s">
        <v>4891</v>
      </c>
      <c r="D70" s="144"/>
      <c r="E70" s="144"/>
      <c r="F70" s="147" t="s">
        <v>4654</v>
      </c>
      <c r="H70" s="147"/>
      <c r="I70" s="144"/>
      <c r="J70" s="147" t="s">
        <v>888</v>
      </c>
      <c r="K70" s="147"/>
      <c r="L70" s="147"/>
      <c r="M70" s="147"/>
      <c r="N70" s="147"/>
      <c r="O70" s="147"/>
      <c r="P70" s="144"/>
      <c r="Q70" s="4798">
        <v>0.08</v>
      </c>
      <c r="R70" s="4798"/>
      <c r="S70" s="236"/>
      <c r="T70" s="236"/>
      <c r="U70" s="236"/>
      <c r="AA70" s="68"/>
      <c r="AB70" s="68"/>
    </row>
    <row r="71" spans="1:28" s="145" customFormat="1" ht="11.65" customHeight="1">
      <c r="A71" s="147"/>
      <c r="C71" s="147"/>
      <c r="D71" s="144"/>
      <c r="E71" s="144"/>
      <c r="F71" s="147" t="s">
        <v>4007</v>
      </c>
      <c r="H71" s="147"/>
      <c r="I71" s="144"/>
      <c r="J71" s="147" t="s">
        <v>888</v>
      </c>
      <c r="K71" s="147"/>
      <c r="L71" s="147"/>
      <c r="M71" s="147"/>
      <c r="N71" s="147"/>
      <c r="O71" s="147"/>
      <c r="P71" s="144"/>
      <c r="Q71" s="4792">
        <v>0.08</v>
      </c>
      <c r="R71" s="4792"/>
      <c r="S71" s="236"/>
      <c r="T71" s="236"/>
      <c r="U71" s="236"/>
      <c r="AA71" s="68"/>
      <c r="AB71" s="68"/>
    </row>
    <row r="72" spans="1:28" s="145" customFormat="1" ht="11.65" customHeight="1">
      <c r="A72" s="147"/>
      <c r="C72" s="147"/>
      <c r="D72" s="144"/>
      <c r="E72" s="144"/>
      <c r="F72" s="147" t="s">
        <v>4892</v>
      </c>
      <c r="H72" s="147"/>
      <c r="I72" s="144"/>
      <c r="J72" s="147"/>
      <c r="K72" s="147"/>
      <c r="L72" s="147"/>
      <c r="M72" s="147"/>
      <c r="N72" s="147"/>
      <c r="O72" s="147"/>
      <c r="P72" s="144"/>
      <c r="Q72" s="4830">
        <v>2500</v>
      </c>
      <c r="R72" s="4831"/>
      <c r="S72" s="236"/>
      <c r="T72" s="236"/>
      <c r="U72" s="236"/>
      <c r="AA72" s="68"/>
      <c r="AB72" s="68"/>
    </row>
    <row r="73" spans="1:28" s="145" customFormat="1" ht="11.65" customHeight="1">
      <c r="A73" s="147"/>
      <c r="B73" s="147"/>
      <c r="C73" s="147"/>
      <c r="D73" s="144"/>
      <c r="E73" s="144"/>
      <c r="F73" s="147" t="s">
        <v>4655</v>
      </c>
      <c r="I73" s="144"/>
      <c r="J73" s="147" t="s">
        <v>1635</v>
      </c>
      <c r="K73" s="147"/>
      <c r="L73" s="147"/>
      <c r="M73" s="147"/>
      <c r="N73" s="147"/>
      <c r="O73" s="147"/>
      <c r="P73" s="144"/>
      <c r="Q73" s="4830">
        <v>8000</v>
      </c>
      <c r="R73" s="4831"/>
      <c r="S73" s="236"/>
      <c r="T73" s="236"/>
      <c r="U73" s="236"/>
      <c r="AA73" s="68"/>
      <c r="AB73" s="68"/>
    </row>
    <row r="74" spans="1:28" s="145" customFormat="1" ht="11.65" customHeight="1">
      <c r="A74" s="147"/>
      <c r="C74" s="147" t="s">
        <v>4656</v>
      </c>
      <c r="D74" s="144"/>
      <c r="E74" s="144"/>
      <c r="F74" s="147" t="s">
        <v>889</v>
      </c>
      <c r="H74" s="147" t="s">
        <v>1502</v>
      </c>
      <c r="I74" s="144"/>
      <c r="J74" s="147" t="s">
        <v>1430</v>
      </c>
      <c r="K74" s="147"/>
      <c r="L74" s="147"/>
      <c r="M74" s="147"/>
      <c r="N74" s="147"/>
      <c r="O74" s="147"/>
      <c r="P74" s="144"/>
      <c r="Q74" s="4830">
        <v>800</v>
      </c>
      <c r="R74" s="4831"/>
      <c r="S74" s="236"/>
      <c r="T74" s="236"/>
      <c r="U74" s="236"/>
      <c r="AA74" s="68"/>
      <c r="AB74" s="68"/>
    </row>
    <row r="75" spans="1:28" s="145" customFormat="1" ht="11.65" customHeight="1">
      <c r="A75" s="147"/>
      <c r="C75" s="147"/>
      <c r="D75" s="144"/>
      <c r="E75" s="144"/>
      <c r="F75" s="147"/>
      <c r="H75" s="147"/>
      <c r="I75" s="147" t="s">
        <v>3657</v>
      </c>
      <c r="J75" s="147" t="s">
        <v>1430</v>
      </c>
      <c r="K75" s="147"/>
      <c r="L75" s="147"/>
      <c r="M75" s="147"/>
      <c r="N75" s="147"/>
      <c r="O75" s="147"/>
      <c r="P75" s="144"/>
      <c r="Q75" s="4830">
        <v>1000</v>
      </c>
      <c r="R75" s="4831"/>
      <c r="S75" s="236"/>
      <c r="T75" s="236"/>
      <c r="U75" s="236"/>
      <c r="AA75" s="68"/>
      <c r="AB75" s="68"/>
    </row>
    <row r="76" spans="1:28" s="145" customFormat="1" ht="11.65" customHeight="1">
      <c r="A76" s="147"/>
      <c r="B76" s="147"/>
      <c r="C76" s="147"/>
      <c r="D76" s="144"/>
      <c r="E76" s="144"/>
      <c r="H76" s="147" t="s">
        <v>2440</v>
      </c>
      <c r="I76" s="144"/>
      <c r="J76" s="147" t="s">
        <v>1430</v>
      </c>
      <c r="K76" s="147" t="s">
        <v>3216</v>
      </c>
      <c r="L76" s="147"/>
      <c r="M76" s="147"/>
      <c r="N76" s="147"/>
      <c r="O76" s="147"/>
      <c r="P76" s="144"/>
      <c r="Q76" s="4820">
        <v>800</v>
      </c>
      <c r="R76" s="4821"/>
      <c r="S76" s="236"/>
      <c r="T76" s="236"/>
      <c r="U76" s="236"/>
      <c r="AA76" s="68"/>
      <c r="AB76" s="68"/>
    </row>
    <row r="77" spans="1:28" s="145" customFormat="1" ht="11.65" customHeight="1">
      <c r="A77" s="147"/>
      <c r="B77" s="147"/>
      <c r="C77" s="147"/>
      <c r="D77" s="144"/>
      <c r="E77" s="144"/>
      <c r="H77" s="147" t="s">
        <v>2506</v>
      </c>
      <c r="I77" s="144"/>
      <c r="J77" s="147" t="s">
        <v>2439</v>
      </c>
      <c r="K77" s="147"/>
      <c r="L77" s="147"/>
      <c r="M77" s="147"/>
      <c r="N77" s="147"/>
      <c r="O77" s="147"/>
      <c r="P77" s="144"/>
      <c r="Q77" s="4820">
        <v>1500</v>
      </c>
      <c r="R77" s="4821"/>
      <c r="S77" s="236"/>
      <c r="T77" s="236"/>
      <c r="U77" s="236"/>
      <c r="AA77" s="68"/>
      <c r="AB77" s="68"/>
    </row>
    <row r="78" spans="1:28" s="145" customFormat="1" ht="11.65" customHeight="1">
      <c r="A78" s="147"/>
      <c r="B78" s="147"/>
      <c r="C78" s="147"/>
      <c r="D78" s="147"/>
      <c r="E78" s="144"/>
      <c r="F78" s="147" t="s">
        <v>4893</v>
      </c>
      <c r="H78" s="144"/>
      <c r="I78" s="144"/>
      <c r="J78" s="147" t="s">
        <v>3656</v>
      </c>
      <c r="K78" s="147"/>
      <c r="L78" s="147"/>
      <c r="M78" s="147"/>
      <c r="N78" s="147"/>
      <c r="O78" s="147"/>
      <c r="P78" s="144"/>
      <c r="Q78" s="4813">
        <v>1500</v>
      </c>
      <c r="R78" s="4814"/>
      <c r="S78" s="236"/>
      <c r="T78" s="236"/>
      <c r="U78" s="236"/>
      <c r="AA78" s="68"/>
      <c r="AB78" s="68"/>
    </row>
    <row r="79" spans="1:28" s="145" customFormat="1" ht="11.65" customHeight="1">
      <c r="A79" s="147"/>
      <c r="B79" s="147"/>
      <c r="C79" s="147"/>
      <c r="D79" s="144"/>
      <c r="E79" s="144"/>
      <c r="F79" s="147" t="s">
        <v>3327</v>
      </c>
      <c r="I79" s="144"/>
      <c r="J79" s="147" t="s">
        <v>3658</v>
      </c>
      <c r="K79" s="147"/>
      <c r="L79" s="147"/>
      <c r="M79" s="147"/>
      <c r="N79" s="147"/>
      <c r="O79" s="147"/>
      <c r="P79" s="144"/>
      <c r="Q79" s="4815">
        <v>750</v>
      </c>
      <c r="R79" s="4816"/>
      <c r="S79" s="236"/>
      <c r="T79" s="236"/>
      <c r="U79" s="236"/>
      <c r="AA79" s="68"/>
      <c r="AB79" s="68"/>
    </row>
    <row r="80" spans="1:28" s="145" customFormat="1" ht="11.65" customHeight="1">
      <c r="A80" s="147"/>
      <c r="B80" s="147"/>
      <c r="C80" s="147"/>
      <c r="D80" s="144"/>
      <c r="E80" s="144"/>
      <c r="F80" s="147" t="s">
        <v>2973</v>
      </c>
      <c r="I80" s="144"/>
      <c r="J80" s="147" t="s">
        <v>2974</v>
      </c>
      <c r="K80" s="147"/>
      <c r="L80" s="147" t="s">
        <v>2505</v>
      </c>
      <c r="M80" s="147"/>
      <c r="N80" s="147"/>
      <c r="O80" s="147"/>
      <c r="P80" s="144"/>
      <c r="Q80" s="4808">
        <v>75</v>
      </c>
      <c r="R80" s="4809"/>
      <c r="S80" s="236"/>
      <c r="T80" s="236"/>
      <c r="U80" s="236"/>
      <c r="AA80" s="68"/>
      <c r="AB80" s="68"/>
    </row>
    <row r="81" spans="1:28" ht="11.25" customHeight="1">
      <c r="B81" s="147" t="s">
        <v>1721</v>
      </c>
      <c r="F81" s="1231" t="s">
        <v>3793</v>
      </c>
      <c r="G81" s="236"/>
      <c r="H81" s="236"/>
      <c r="J81" s="147" t="s">
        <v>3799</v>
      </c>
      <c r="K81" s="147" t="s">
        <v>3800</v>
      </c>
      <c r="L81" s="44"/>
      <c r="M81" s="44"/>
      <c r="N81" s="44"/>
      <c r="O81" s="1235" t="s">
        <v>3794</v>
      </c>
      <c r="AA81"/>
      <c r="AB81"/>
    </row>
    <row r="82" spans="1:28" ht="11.25" customHeight="1">
      <c r="F82" s="115"/>
      <c r="H82" s="1232">
        <v>0.09</v>
      </c>
      <c r="J82" s="391">
        <v>1</v>
      </c>
      <c r="K82" s="391">
        <v>50</v>
      </c>
      <c r="Q82" s="4817">
        <v>27500</v>
      </c>
      <c r="R82" s="4817"/>
      <c r="AA82"/>
      <c r="AB82"/>
    </row>
    <row r="83" spans="1:28" ht="11.25" customHeight="1">
      <c r="F83" s="115"/>
      <c r="H83" s="686"/>
      <c r="J83" s="391">
        <v>51</v>
      </c>
      <c r="K83" s="391">
        <v>70</v>
      </c>
      <c r="Q83" s="4818">
        <v>22000</v>
      </c>
      <c r="R83" s="4818"/>
      <c r="AA83"/>
      <c r="AB83"/>
    </row>
    <row r="84" spans="1:28" ht="11.25" customHeight="1">
      <c r="F84" s="115"/>
      <c r="H84" s="1434"/>
      <c r="I84" s="165"/>
      <c r="J84" s="1435">
        <v>71</v>
      </c>
      <c r="K84" s="1436"/>
      <c r="L84" s="165"/>
      <c r="M84" s="165"/>
      <c r="N84" s="165"/>
      <c r="O84" s="165"/>
      <c r="P84" s="1437"/>
      <c r="Q84" s="4819">
        <v>16500</v>
      </c>
      <c r="R84" s="4819"/>
      <c r="AA84"/>
      <c r="AB84"/>
    </row>
    <row r="85" spans="1:28" ht="11.25" customHeight="1">
      <c r="H85" s="1438">
        <v>0.04</v>
      </c>
      <c r="I85" s="1439"/>
      <c r="J85" s="1440">
        <v>1</v>
      </c>
      <c r="K85" s="1440">
        <v>50</v>
      </c>
      <c r="L85" s="1439"/>
      <c r="M85" s="1439"/>
      <c r="N85" s="1439"/>
      <c r="O85" s="1439"/>
      <c r="P85" s="1441"/>
      <c r="Q85" s="4817">
        <v>27500</v>
      </c>
      <c r="R85" s="4817"/>
      <c r="AA85"/>
      <c r="AB85"/>
    </row>
    <row r="86" spans="1:28" ht="11.25" customHeight="1">
      <c r="H86" s="1233"/>
      <c r="J86" s="391">
        <v>51</v>
      </c>
      <c r="K86" s="391">
        <v>70</v>
      </c>
      <c r="Q86" s="4818">
        <v>22000</v>
      </c>
      <c r="R86" s="4818"/>
      <c r="AA86"/>
      <c r="AB86"/>
    </row>
    <row r="87" spans="1:28" ht="11.25" customHeight="1">
      <c r="H87" s="1233"/>
      <c r="J87" s="391">
        <v>71</v>
      </c>
      <c r="K87" s="1233"/>
      <c r="Q87" s="4819">
        <v>16500</v>
      </c>
      <c r="R87" s="4819"/>
      <c r="AA87"/>
      <c r="AB87"/>
    </row>
    <row r="88" spans="1:28" ht="11.25" customHeight="1">
      <c r="F88" s="236" t="s">
        <v>3795</v>
      </c>
      <c r="H88" s="369"/>
      <c r="I88" s="44"/>
      <c r="AA88"/>
      <c r="AB88"/>
    </row>
    <row r="89" spans="1:28" ht="11.25" customHeight="1">
      <c r="H89" s="1234">
        <v>0.09</v>
      </c>
      <c r="I89" s="236"/>
      <c r="Q89" s="4817">
        <v>2285000</v>
      </c>
      <c r="R89" s="4817"/>
      <c r="AA89"/>
      <c r="AB89"/>
    </row>
    <row r="90" spans="1:28" ht="11.25" customHeight="1">
      <c r="H90" s="1234">
        <v>0.04</v>
      </c>
      <c r="I90" s="236"/>
      <c r="Q90" s="4819">
        <v>4000000</v>
      </c>
      <c r="R90" s="4819"/>
      <c r="AA90"/>
      <c r="AB90"/>
    </row>
    <row r="91" spans="1:28">
      <c r="AA91"/>
      <c r="AB91"/>
    </row>
    <row r="92" spans="1:28" s="145" customFormat="1" ht="13">
      <c r="A92" s="147"/>
      <c r="B92" s="147"/>
      <c r="C92" s="147"/>
      <c r="D92" s="144"/>
      <c r="E92" s="144"/>
      <c r="F92" s="147"/>
      <c r="G92" s="147"/>
      <c r="H92" s="147"/>
      <c r="I92" s="144"/>
      <c r="J92" s="147" t="s">
        <v>2957</v>
      </c>
      <c r="K92" s="147"/>
      <c r="L92" s="147"/>
      <c r="M92" s="147"/>
      <c r="N92" s="147"/>
      <c r="O92" s="147"/>
      <c r="P92" s="144"/>
      <c r="Q92" s="4811">
        <v>3500000</v>
      </c>
      <c r="R92" s="4812"/>
      <c r="S92" s="236"/>
      <c r="T92" s="236"/>
      <c r="U92" s="236"/>
      <c r="AA92" s="68"/>
      <c r="AB92" s="68"/>
    </row>
    <row r="93" spans="1:28" s="145" customFormat="1" ht="13" hidden="1">
      <c r="A93" s="147"/>
      <c r="B93" s="147"/>
      <c r="C93" s="147"/>
      <c r="D93" s="144"/>
      <c r="E93" s="144"/>
      <c r="F93" s="147" t="s">
        <v>1592</v>
      </c>
      <c r="G93" s="147"/>
      <c r="H93" s="147" t="s">
        <v>2114</v>
      </c>
      <c r="I93" s="144"/>
      <c r="J93" s="147" t="s">
        <v>910</v>
      </c>
      <c r="K93" s="147"/>
      <c r="L93" s="147"/>
      <c r="M93" s="147"/>
      <c r="N93" s="147"/>
      <c r="O93" s="147"/>
      <c r="P93" s="144"/>
      <c r="Q93" s="4806">
        <v>0.15</v>
      </c>
      <c r="R93" s="4807"/>
      <c r="S93" s="236"/>
      <c r="T93" s="236"/>
      <c r="U93" s="236"/>
      <c r="AA93" s="68"/>
      <c r="AB93" s="68"/>
    </row>
    <row r="94" spans="1:28" s="145" customFormat="1" ht="13" hidden="1">
      <c r="A94" s="147"/>
      <c r="B94" s="314"/>
      <c r="C94" s="147"/>
      <c r="D94" s="144"/>
      <c r="E94" s="144"/>
      <c r="F94" s="147"/>
      <c r="G94" s="147"/>
      <c r="H94" s="147" t="s">
        <v>3079</v>
      </c>
      <c r="I94" s="147" t="s">
        <v>907</v>
      </c>
      <c r="J94" s="147" t="s">
        <v>909</v>
      </c>
      <c r="K94" s="147"/>
      <c r="L94" s="147"/>
      <c r="M94" s="147"/>
      <c r="N94" s="147"/>
      <c r="O94" s="147"/>
      <c r="P94" s="144"/>
      <c r="Q94" s="4806">
        <v>0.15</v>
      </c>
      <c r="R94" s="4807"/>
      <c r="S94" s="236"/>
      <c r="T94" s="236"/>
      <c r="U94" s="236"/>
      <c r="AA94" s="68"/>
      <c r="AB94" s="68"/>
    </row>
    <row r="95" spans="1:28" s="145" customFormat="1" ht="13" hidden="1">
      <c r="A95" s="147"/>
      <c r="B95" s="314"/>
      <c r="C95" s="147"/>
      <c r="D95" s="144"/>
      <c r="E95" s="144"/>
      <c r="F95" s="147"/>
      <c r="G95" s="147"/>
      <c r="H95" s="147"/>
      <c r="I95" s="147" t="s">
        <v>908</v>
      </c>
      <c r="J95" s="147" t="s">
        <v>911</v>
      </c>
      <c r="K95" s="147"/>
      <c r="L95" s="147"/>
      <c r="M95" s="147"/>
      <c r="N95" s="147"/>
      <c r="O95" s="147"/>
      <c r="P95" s="144"/>
      <c r="Q95" s="4806">
        <v>0.15</v>
      </c>
      <c r="R95" s="4807"/>
      <c r="S95" s="236"/>
      <c r="T95" s="236"/>
      <c r="U95" s="236"/>
      <c r="AA95" s="68"/>
      <c r="AB95" s="68"/>
    </row>
    <row r="96" spans="1:28" s="145" customFormat="1" ht="13" hidden="1">
      <c r="A96" s="147"/>
      <c r="B96" s="314"/>
      <c r="C96" s="147"/>
      <c r="D96" s="144"/>
      <c r="E96" s="144"/>
      <c r="F96" s="147"/>
      <c r="G96" s="147"/>
      <c r="H96" s="147" t="s">
        <v>906</v>
      </c>
      <c r="I96" s="144"/>
      <c r="J96" s="147" t="s">
        <v>911</v>
      </c>
      <c r="K96" s="147"/>
      <c r="L96" s="147"/>
      <c r="M96" s="147"/>
      <c r="N96" s="147"/>
      <c r="O96" s="147"/>
      <c r="P96" s="144"/>
      <c r="Q96" s="4806">
        <v>0.15</v>
      </c>
      <c r="R96" s="4807"/>
      <c r="S96" s="236"/>
      <c r="T96" s="236"/>
      <c r="U96" s="236"/>
      <c r="AA96" s="68"/>
      <c r="AB96" s="68"/>
    </row>
    <row r="97" spans="1:28" s="145" customFormat="1" ht="13" hidden="1">
      <c r="A97" s="147"/>
      <c r="B97" s="314"/>
      <c r="C97" s="147"/>
      <c r="D97" s="144"/>
      <c r="E97" s="144"/>
      <c r="F97" s="147"/>
      <c r="G97" s="147"/>
      <c r="H97" s="147"/>
      <c r="I97" s="147" t="s">
        <v>912</v>
      </c>
      <c r="J97" s="147" t="s">
        <v>913</v>
      </c>
      <c r="K97" s="147"/>
      <c r="L97" s="147"/>
      <c r="M97" s="147"/>
      <c r="N97" s="147"/>
      <c r="O97" s="147"/>
      <c r="P97" s="144"/>
      <c r="Q97" s="4806">
        <v>0.15</v>
      </c>
      <c r="R97" s="4807"/>
      <c r="S97" s="236"/>
      <c r="T97" s="236"/>
      <c r="U97" s="236"/>
      <c r="AA97" s="68"/>
      <c r="AB97" s="68"/>
    </row>
    <row r="98" spans="1:28" s="145" customFormat="1" ht="13" hidden="1">
      <c r="A98" s="147"/>
      <c r="B98" s="314"/>
      <c r="C98" s="147"/>
      <c r="D98" s="144"/>
      <c r="E98" s="144"/>
      <c r="F98" s="147" t="s">
        <v>1631</v>
      </c>
      <c r="G98" s="147"/>
      <c r="H98" s="147"/>
      <c r="I98" s="144"/>
      <c r="J98" s="147" t="s">
        <v>2182</v>
      </c>
      <c r="K98" s="147"/>
      <c r="L98" s="147"/>
      <c r="M98" s="147"/>
      <c r="N98" s="147"/>
      <c r="O98" s="147"/>
      <c r="P98" s="144"/>
      <c r="Q98" s="4806">
        <v>0.15</v>
      </c>
      <c r="R98" s="4807"/>
      <c r="S98" s="236"/>
      <c r="T98" s="236"/>
      <c r="U98" s="236"/>
      <c r="AA98" s="68"/>
      <c r="AB98" s="68"/>
    </row>
    <row r="99" spans="1:28" s="145" customFormat="1" ht="13" hidden="1">
      <c r="A99" s="147"/>
      <c r="B99" s="314"/>
      <c r="C99" s="147"/>
      <c r="D99" s="144"/>
      <c r="E99" s="144"/>
      <c r="G99" s="147"/>
      <c r="H99" s="147"/>
      <c r="I99" s="144"/>
      <c r="J99" s="147" t="s">
        <v>2183</v>
      </c>
      <c r="K99" s="147"/>
      <c r="L99" s="147"/>
      <c r="M99" s="147"/>
      <c r="N99" s="147"/>
      <c r="O99" s="147"/>
      <c r="P99" s="144"/>
      <c r="Q99" s="4806" t="s">
        <v>2184</v>
      </c>
      <c r="R99" s="4807"/>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3000</v>
      </c>
      <c r="C105" s="147"/>
      <c r="D105" s="144"/>
      <c r="E105" s="147"/>
      <c r="F105" s="147"/>
      <c r="G105" s="147"/>
      <c r="H105" s="144"/>
      <c r="I105" s="144"/>
      <c r="J105" s="147" t="s">
        <v>1635</v>
      </c>
      <c r="K105" s="147"/>
      <c r="L105" s="147"/>
      <c r="M105" s="147"/>
      <c r="N105" s="147"/>
      <c r="O105" s="147"/>
      <c r="P105" s="144"/>
      <c r="Q105" s="4808">
        <v>3000</v>
      </c>
      <c r="R105" s="4809"/>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5"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4653</v>
      </c>
      <c r="K113" s="147"/>
      <c r="L113" s="147"/>
      <c r="M113" s="147"/>
      <c r="N113" s="147"/>
      <c r="O113" s="147"/>
      <c r="P113" s="144"/>
      <c r="Q113" s="4810">
        <v>0.02</v>
      </c>
      <c r="R113" s="4810"/>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798">
        <v>0.02</v>
      </c>
      <c r="R114" s="4798"/>
      <c r="AA114" s="68"/>
      <c r="AB114" s="68"/>
    </row>
    <row r="115" spans="1:28" s="236" customFormat="1" ht="11.65" customHeight="1">
      <c r="A115" s="147"/>
      <c r="B115" s="147" t="s">
        <v>4791</v>
      </c>
      <c r="C115" s="147"/>
      <c r="D115" s="147"/>
      <c r="E115" s="147"/>
      <c r="F115" s="147" t="s">
        <v>4789</v>
      </c>
      <c r="G115" s="147"/>
      <c r="H115" s="147"/>
      <c r="J115" s="147" t="s">
        <v>1638</v>
      </c>
      <c r="K115" s="147"/>
      <c r="L115" s="147"/>
      <c r="M115" s="147"/>
      <c r="N115" s="147"/>
      <c r="O115" s="147"/>
      <c r="Q115" s="2071">
        <v>7.0000000000000007E-2</v>
      </c>
      <c r="R115" s="2072" t="s">
        <v>2844</v>
      </c>
      <c r="AA115" s="68"/>
      <c r="AB115" s="68"/>
    </row>
    <row r="116" spans="1:28" s="236" customFormat="1" ht="11.65" customHeight="1">
      <c r="A116" s="147"/>
      <c r="B116" s="147"/>
      <c r="C116" s="147"/>
      <c r="D116" s="147"/>
      <c r="E116" s="147"/>
      <c r="F116" s="147" t="s">
        <v>4790</v>
      </c>
      <c r="G116" s="147"/>
      <c r="H116" s="147"/>
      <c r="J116" s="147" t="s">
        <v>1638</v>
      </c>
      <c r="K116" s="147"/>
      <c r="L116" s="147"/>
      <c r="M116" s="147"/>
      <c r="N116" s="147"/>
      <c r="O116" s="147"/>
      <c r="Q116" s="2071">
        <v>7.0000000000000007E-2</v>
      </c>
      <c r="R116" s="2072" t="s">
        <v>2844</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92">
        <v>0.03</v>
      </c>
      <c r="R117" s="4792"/>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92">
        <v>0.03</v>
      </c>
      <c r="R118" s="4792"/>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93">
        <v>0</v>
      </c>
      <c r="R119" s="4793"/>
      <c r="S119" s="236"/>
      <c r="T119" s="236"/>
      <c r="U119" s="236"/>
      <c r="AA119" s="68"/>
      <c r="AB119" s="68"/>
    </row>
    <row r="120" spans="1:28" s="145" customFormat="1" ht="11.5" customHeight="1">
      <c r="A120" s="144"/>
      <c r="B120" s="147" t="s">
        <v>4794</v>
      </c>
      <c r="C120" s="147"/>
      <c r="D120" s="147"/>
      <c r="E120" s="144"/>
      <c r="F120" s="147" t="s">
        <v>4795</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5" customHeight="1">
      <c r="A122" s="144"/>
      <c r="B122" s="147" t="s">
        <v>4796</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4000000000000004"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4765</v>
      </c>
      <c r="G125" s="147" t="s">
        <v>3225</v>
      </c>
      <c r="I125" s="144"/>
      <c r="J125" s="241" t="s">
        <v>4844</v>
      </c>
      <c r="K125" s="147"/>
      <c r="L125" s="147"/>
      <c r="M125" s="147"/>
      <c r="N125" s="147"/>
      <c r="P125" s="144"/>
      <c r="Q125" s="4794"/>
      <c r="R125" s="4794"/>
      <c r="S125" s="4794"/>
      <c r="T125" s="4794"/>
      <c r="U125" s="144"/>
      <c r="V125" s="702"/>
      <c r="W125" s="702"/>
      <c r="X125" s="148"/>
      <c r="AA125" s="68"/>
      <c r="AB125" s="68"/>
    </row>
    <row r="126" spans="1:28" s="145" customFormat="1" ht="11.65" customHeight="1">
      <c r="A126" s="229"/>
      <c r="B126" s="147"/>
      <c r="C126" s="147"/>
      <c r="D126" s="144"/>
      <c r="F126" s="147"/>
      <c r="G126" s="147" t="s">
        <v>3655</v>
      </c>
      <c r="I126" s="144"/>
      <c r="J126" s="241" t="s">
        <v>4845</v>
      </c>
      <c r="K126" s="147"/>
      <c r="L126" s="147"/>
      <c r="M126" s="147"/>
      <c r="P126" s="144"/>
      <c r="Q126" s="4794"/>
      <c r="R126" s="4794"/>
      <c r="S126" s="4794"/>
      <c r="T126" s="4794"/>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4764</v>
      </c>
      <c r="F128" s="147" t="s">
        <v>477</v>
      </c>
      <c r="G128" s="147" t="s">
        <v>2387</v>
      </c>
      <c r="I128" s="144"/>
      <c r="J128" s="147" t="s">
        <v>2438</v>
      </c>
      <c r="K128" s="147"/>
      <c r="L128" s="147"/>
      <c r="M128" s="147"/>
      <c r="N128" s="147"/>
      <c r="O128" s="147"/>
      <c r="P128" s="144"/>
      <c r="Q128" s="4804">
        <v>0.15</v>
      </c>
      <c r="R128" s="4804"/>
      <c r="S128" s="144"/>
      <c r="T128" s="144"/>
      <c r="U128" s="144"/>
      <c r="V128" s="702"/>
      <c r="W128" s="702"/>
      <c r="X128" s="148"/>
      <c r="AA128" s="68"/>
      <c r="AB128" s="68"/>
    </row>
    <row r="129" spans="1:28" s="145" customFormat="1" ht="11.65" customHeight="1">
      <c r="A129" s="147"/>
      <c r="B129" s="147"/>
      <c r="C129" s="147"/>
      <c r="D129" s="144"/>
      <c r="E129" s="144"/>
      <c r="F129" s="147"/>
      <c r="G129" s="147" t="s">
        <v>4407</v>
      </c>
      <c r="H129" s="147" t="s">
        <v>4759</v>
      </c>
      <c r="J129" s="147" t="s">
        <v>4414</v>
      </c>
      <c r="K129" s="147"/>
      <c r="L129" s="147"/>
      <c r="M129" s="147"/>
      <c r="O129" s="231" t="s">
        <v>4846</v>
      </c>
      <c r="P129" s="144"/>
      <c r="Q129" s="4805">
        <v>1105000</v>
      </c>
      <c r="R129" s="4805"/>
      <c r="S129" s="230"/>
      <c r="T129" s="230"/>
      <c r="U129" s="144"/>
      <c r="V129" s="321"/>
      <c r="W129" s="321"/>
      <c r="X129" s="321"/>
      <c r="AA129" s="68"/>
      <c r="AB129" s="68"/>
    </row>
    <row r="130" spans="1:28" s="145" customFormat="1" ht="11.65" customHeight="1">
      <c r="A130" s="147"/>
      <c r="B130" s="147"/>
      <c r="C130" s="147"/>
      <c r="D130" s="144"/>
      <c r="E130" s="144"/>
      <c r="F130" s="147"/>
      <c r="G130" s="147"/>
      <c r="H130" s="147" t="s">
        <v>4005</v>
      </c>
      <c r="J130" s="147" t="s">
        <v>4414</v>
      </c>
      <c r="K130" s="147"/>
      <c r="L130" s="147"/>
      <c r="M130" s="147"/>
      <c r="O130" s="231" t="s">
        <v>4847</v>
      </c>
      <c r="P130" s="144"/>
      <c r="Q130" s="4795">
        <v>1225000</v>
      </c>
      <c r="R130" s="4795"/>
      <c r="S130" s="230"/>
      <c r="T130" s="230"/>
      <c r="U130" s="144"/>
      <c r="V130" s="321"/>
      <c r="W130" s="321"/>
      <c r="X130" s="321"/>
      <c r="AA130" s="68"/>
      <c r="AB130" s="68"/>
    </row>
    <row r="131" spans="1:28" s="145" customFormat="1" ht="11.65" customHeight="1">
      <c r="A131" s="147"/>
      <c r="B131" s="147"/>
      <c r="C131" s="147"/>
      <c r="D131" s="144"/>
      <c r="E131" s="144"/>
      <c r="F131" s="147"/>
      <c r="G131" s="147"/>
      <c r="H131" s="147" t="s">
        <v>4409</v>
      </c>
      <c r="I131" s="144"/>
      <c r="J131" s="147" t="s">
        <v>4414</v>
      </c>
      <c r="K131" s="147"/>
      <c r="O131" s="231" t="s">
        <v>4848</v>
      </c>
      <c r="Q131" s="4795">
        <v>1105000</v>
      </c>
      <c r="R131" s="4795"/>
      <c r="S131" s="230"/>
      <c r="T131" s="230"/>
      <c r="U131" s="144"/>
      <c r="V131" s="321"/>
      <c r="W131" s="321"/>
      <c r="X131" s="321"/>
      <c r="AA131" s="68"/>
      <c r="AB131" s="68"/>
    </row>
    <row r="132" spans="1:28" s="145" customFormat="1" ht="11.65" customHeight="1">
      <c r="A132" s="147"/>
      <c r="B132" s="147"/>
      <c r="C132" s="147"/>
      <c r="D132" s="144"/>
      <c r="E132" s="144"/>
      <c r="F132" s="147"/>
      <c r="G132" s="147"/>
      <c r="H132" s="147" t="s">
        <v>4408</v>
      </c>
      <c r="I132" s="144"/>
      <c r="J132" s="147" t="s">
        <v>4414</v>
      </c>
      <c r="K132" s="147"/>
      <c r="O132" s="231" t="s">
        <v>4847</v>
      </c>
      <c r="Q132" s="4796">
        <v>1105000</v>
      </c>
      <c r="R132" s="4797"/>
      <c r="S132" s="230"/>
      <c r="T132" s="230"/>
      <c r="U132" s="144"/>
      <c r="V132" s="321"/>
      <c r="W132" s="321"/>
      <c r="X132" s="321"/>
      <c r="AA132" s="68"/>
      <c r="AB132" s="68"/>
    </row>
    <row r="133" spans="1:28" s="145" customFormat="1" ht="11.65" customHeight="1">
      <c r="A133" s="147"/>
      <c r="B133" s="147"/>
      <c r="C133" s="147"/>
      <c r="D133" s="144"/>
      <c r="E133" s="144"/>
      <c r="F133" s="147"/>
      <c r="G133" s="147" t="s">
        <v>4770</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98">
        <v>0.35</v>
      </c>
      <c r="K134" s="4798"/>
      <c r="L134" s="147"/>
      <c r="M134" s="147"/>
      <c r="N134" s="147"/>
      <c r="O134" s="147"/>
      <c r="P134" s="147"/>
      <c r="Q134" s="147"/>
      <c r="R134" s="147"/>
    </row>
    <row r="135" spans="1:28" ht="11.25" customHeight="1">
      <c r="G135" s="147"/>
      <c r="H135" s="147" t="s">
        <v>4006</v>
      </c>
      <c r="I135" s="144"/>
      <c r="J135" s="4792">
        <v>0.35</v>
      </c>
      <c r="K135" s="4792"/>
      <c r="L135" s="147"/>
      <c r="M135" s="147"/>
      <c r="N135" s="147"/>
      <c r="O135" s="147"/>
      <c r="P135" s="147"/>
      <c r="Q135" s="147"/>
      <c r="R135" s="147"/>
    </row>
    <row r="136" spans="1:28" ht="11.25" customHeight="1">
      <c r="A136" s="229"/>
      <c r="G136" s="147"/>
      <c r="H136" s="147" t="s">
        <v>2939</v>
      </c>
      <c r="I136" s="144"/>
      <c r="J136" s="4789">
        <v>0.3</v>
      </c>
      <c r="K136" s="4789"/>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4766</v>
      </c>
      <c r="E138" s="144"/>
      <c r="G138" s="147" t="s">
        <v>4760</v>
      </c>
      <c r="I138" s="144"/>
      <c r="J138" s="147" t="s">
        <v>4761</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4763</v>
      </c>
      <c r="I139" s="144"/>
      <c r="J139" s="147" t="s">
        <v>4762</v>
      </c>
      <c r="P139" s="646" t="s">
        <v>4849</v>
      </c>
      <c r="Q139" s="4799">
        <v>30000000</v>
      </c>
      <c r="R139" s="4799"/>
      <c r="S139" s="144"/>
      <c r="T139" s="144"/>
      <c r="U139" s="144"/>
      <c r="V139" s="702"/>
      <c r="W139" s="702"/>
      <c r="X139" s="148"/>
      <c r="AA139" s="68"/>
      <c r="AB139" s="68"/>
    </row>
    <row r="140" spans="1:28" s="145" customFormat="1" ht="11.25" customHeight="1">
      <c r="A140" s="229"/>
      <c r="B140" s="147"/>
      <c r="C140" s="147"/>
      <c r="D140" s="144"/>
      <c r="E140" s="144"/>
      <c r="G140" s="147" t="s">
        <v>4767</v>
      </c>
      <c r="I140" s="144"/>
      <c r="J140" s="147" t="s">
        <v>4768</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4769</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4413</v>
      </c>
      <c r="H143" s="147"/>
      <c r="I143" s="144"/>
      <c r="J143" s="147" t="s">
        <v>4415</v>
      </c>
      <c r="K143" s="147"/>
      <c r="L143" s="147"/>
      <c r="M143" s="147"/>
      <c r="N143" s="147"/>
      <c r="O143" s="147"/>
      <c r="P143" s="144"/>
      <c r="Q143" s="4800"/>
      <c r="R143" s="4801"/>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3231</v>
      </c>
      <c r="K144" s="147"/>
      <c r="L144" s="147"/>
      <c r="M144" s="147"/>
      <c r="N144" s="147"/>
      <c r="O144" s="147"/>
      <c r="P144" s="144"/>
      <c r="Q144" s="4802">
        <v>4000000</v>
      </c>
      <c r="R144" s="4802"/>
      <c r="S144" s="230"/>
      <c r="T144" s="230"/>
      <c r="U144" s="144"/>
      <c r="V144" s="321"/>
      <c r="W144" s="321"/>
      <c r="X144" s="321"/>
      <c r="AA144" s="68"/>
      <c r="AB144" s="68"/>
    </row>
    <row r="145" spans="1:28" s="145" customFormat="1" ht="11.65" customHeight="1">
      <c r="A145" s="147"/>
      <c r="B145" s="147"/>
      <c r="C145" s="147"/>
      <c r="D145" s="144"/>
      <c r="E145" s="144"/>
      <c r="F145" s="147"/>
      <c r="G145" s="147" t="s">
        <v>4412</v>
      </c>
      <c r="H145" s="144"/>
      <c r="I145" s="144"/>
      <c r="J145" s="147" t="s">
        <v>4414</v>
      </c>
      <c r="K145" s="147"/>
      <c r="O145" s="147" t="s">
        <v>4410</v>
      </c>
      <c r="Q145" s="4796">
        <v>1035000</v>
      </c>
      <c r="R145" s="4797"/>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3112</v>
      </c>
      <c r="B147" s="147"/>
      <c r="C147" s="147"/>
      <c r="D147" s="144"/>
      <c r="E147" s="144"/>
      <c r="F147" s="147" t="s">
        <v>3115</v>
      </c>
      <c r="G147" s="147"/>
      <c r="H147" s="144"/>
      <c r="I147" s="144"/>
      <c r="J147" s="147" t="s">
        <v>3116</v>
      </c>
      <c r="K147" s="147"/>
      <c r="L147" s="147"/>
      <c r="M147" s="147"/>
      <c r="N147" s="147"/>
      <c r="O147" s="147"/>
      <c r="P147" s="144"/>
      <c r="Q147" s="4803">
        <v>0.05</v>
      </c>
      <c r="R147" s="4803"/>
      <c r="S147" s="144"/>
      <c r="T147" s="144"/>
      <c r="U147" s="144"/>
      <c r="V147" s="702"/>
      <c r="W147" s="702"/>
      <c r="X147" s="148"/>
      <c r="AA147" s="68"/>
      <c r="AB147" s="68"/>
    </row>
    <row r="148" spans="1:28" s="145" customFormat="1" ht="12.75" customHeight="1">
      <c r="A148" s="229"/>
      <c r="B148" s="147"/>
      <c r="C148" s="147"/>
      <c r="D148" s="144"/>
      <c r="E148" s="144"/>
      <c r="F148" s="147"/>
      <c r="G148" s="147" t="s">
        <v>3113</v>
      </c>
      <c r="H148" s="144"/>
      <c r="I148" s="144"/>
      <c r="J148" s="147" t="s">
        <v>3117</v>
      </c>
      <c r="K148" s="147"/>
      <c r="L148" s="147"/>
      <c r="M148" s="147"/>
      <c r="N148" s="147"/>
      <c r="O148" s="147"/>
      <c r="P148" s="144"/>
      <c r="Q148" s="4790">
        <v>0.4</v>
      </c>
      <c r="R148" s="4790"/>
      <c r="S148" s="144"/>
      <c r="T148" s="144"/>
      <c r="U148" s="144"/>
      <c r="V148" s="702"/>
      <c r="W148" s="702"/>
      <c r="X148" s="148"/>
      <c r="AA148" s="68"/>
      <c r="AB148" s="68"/>
    </row>
    <row r="149" spans="1:28" s="145" customFormat="1" ht="12.75" customHeight="1">
      <c r="A149" s="229"/>
      <c r="B149" s="147"/>
      <c r="C149" s="147"/>
      <c r="E149" s="144"/>
      <c r="F149" s="147" t="s">
        <v>3114</v>
      </c>
      <c r="G149" s="147"/>
      <c r="H149" s="144"/>
      <c r="I149" s="144"/>
      <c r="J149" s="147" t="s">
        <v>3116</v>
      </c>
      <c r="K149" s="147"/>
      <c r="L149" s="147"/>
      <c r="M149" s="147"/>
      <c r="N149" s="147"/>
      <c r="O149" s="147"/>
      <c r="P149" s="144"/>
      <c r="Q149" s="4791">
        <v>0.02</v>
      </c>
      <c r="R149" s="4791"/>
      <c r="S149" s="144"/>
      <c r="T149" s="144"/>
      <c r="U149" s="144"/>
      <c r="V149" s="702"/>
      <c r="W149" s="702"/>
      <c r="X149" s="148"/>
      <c r="AA149" s="68"/>
      <c r="AB149" s="68"/>
    </row>
    <row r="150" spans="1:28" s="145" customFormat="1" ht="12.75" customHeight="1">
      <c r="A150" s="4784" t="s">
        <v>4651</v>
      </c>
      <c r="B150" s="4784"/>
      <c r="C150" s="1910"/>
      <c r="D150" s="4785" t="s">
        <v>4650</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4" customHeight="1">
      <c r="A151" s="4784"/>
      <c r="B151" s="4784"/>
      <c r="C151" s="2067">
        <v>2024</v>
      </c>
      <c r="D151" s="4786"/>
      <c r="E151" s="239"/>
      <c r="F151" s="239"/>
      <c r="G151" s="239"/>
      <c r="H151" s="239"/>
      <c r="I151" s="239"/>
    </row>
    <row r="152" spans="1:28">
      <c r="A152" s="4784"/>
      <c r="B152" s="4784"/>
      <c r="C152" s="147"/>
      <c r="D152" s="4786"/>
      <c r="H152" s="4787" t="s">
        <v>4649</v>
      </c>
      <c r="J152" s="142" t="s">
        <v>747</v>
      </c>
      <c r="K152" s="142"/>
      <c r="L152" s="223"/>
    </row>
    <row r="153" spans="1:28">
      <c r="A153" s="4784"/>
      <c r="B153" s="4784"/>
      <c r="C153" s="702" t="s">
        <v>750</v>
      </c>
      <c r="D153" s="1241" t="s">
        <v>2924</v>
      </c>
      <c r="F153" s="702" t="s">
        <v>4647</v>
      </c>
      <c r="H153" s="4788"/>
      <c r="J153" s="312" t="s">
        <v>750</v>
      </c>
      <c r="K153" s="312" t="s">
        <v>748</v>
      </c>
      <c r="L153" s="313" t="s">
        <v>749</v>
      </c>
    </row>
    <row r="154" spans="1:28" ht="10.5" customHeight="1">
      <c r="C154" s="321">
        <v>0</v>
      </c>
      <c r="D154" s="650">
        <v>72088</v>
      </c>
      <c r="E154" s="1243" t="s">
        <v>4648</v>
      </c>
      <c r="F154" s="1909">
        <v>2.4</v>
      </c>
      <c r="G154" s="878" t="s">
        <v>1210</v>
      </c>
      <c r="H154" s="1911">
        <f>D154*F154</f>
        <v>173011.19999999998</v>
      </c>
      <c r="J154" s="321">
        <v>0</v>
      </c>
      <c r="K154" s="321">
        <v>0.7</v>
      </c>
      <c r="L154" s="321">
        <v>1</v>
      </c>
    </row>
    <row r="155" spans="1:28" ht="10.5" customHeight="1">
      <c r="C155" s="321">
        <v>1</v>
      </c>
      <c r="D155" s="650">
        <v>82638</v>
      </c>
      <c r="E155" s="1243" t="s">
        <v>4648</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4648</v>
      </c>
      <c r="F156" s="1909">
        <v>2.4</v>
      </c>
      <c r="G156" s="878" t="s">
        <v>1210</v>
      </c>
      <c r="H156" s="1911">
        <f t="shared" si="0"/>
        <v>241176</v>
      </c>
      <c r="J156" s="321">
        <v>2</v>
      </c>
      <c r="K156" s="321">
        <v>0.9</v>
      </c>
      <c r="L156" s="321">
        <v>3</v>
      </c>
    </row>
    <row r="157" spans="1:28" ht="10.5" customHeight="1">
      <c r="C157" s="321">
        <v>3</v>
      </c>
      <c r="D157" s="650">
        <v>130002</v>
      </c>
      <c r="E157" s="1243" t="s">
        <v>4648</v>
      </c>
      <c r="F157" s="1909">
        <v>2.4</v>
      </c>
      <c r="G157" s="878" t="s">
        <v>1210</v>
      </c>
      <c r="H157" s="1911">
        <f t="shared" si="0"/>
        <v>312004.8</v>
      </c>
      <c r="J157" s="321">
        <v>3</v>
      </c>
      <c r="K157" s="321">
        <v>1.04</v>
      </c>
      <c r="L157" s="321">
        <v>4.5</v>
      </c>
    </row>
    <row r="158" spans="1:28" ht="10.5" customHeight="1">
      <c r="C158" s="321" t="s">
        <v>2925</v>
      </c>
      <c r="D158" s="650">
        <v>142701</v>
      </c>
      <c r="E158" s="1243" t="s">
        <v>4648</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4" t="s">
        <v>3316</v>
      </c>
      <c r="E162" s="236"/>
      <c r="F162" s="236"/>
    </row>
    <row r="163" spans="2:37" ht="10.5" customHeight="1">
      <c r="C163" s="3354"/>
      <c r="E163" s="236"/>
      <c r="F163" s="236"/>
    </row>
    <row r="164" spans="2:37" ht="10.5" customHeight="1">
      <c r="C164" s="3354"/>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2484</v>
      </c>
      <c r="N165" s="433" t="s">
        <v>3221</v>
      </c>
      <c r="O165" s="433" t="s">
        <v>3380</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3381</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3382</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3383</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4623</v>
      </c>
      <c r="J169" s="777" t="s">
        <v>2394</v>
      </c>
      <c r="K169" s="775" t="s">
        <v>4624</v>
      </c>
      <c r="L169" s="776" t="s">
        <v>398</v>
      </c>
      <c r="M169" s="1871" t="s">
        <v>1121</v>
      </c>
      <c r="N169" s="776" t="s">
        <v>1652</v>
      </c>
      <c r="O169" s="982" t="s">
        <v>3384</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3385</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3386</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4625</v>
      </c>
      <c r="L172" s="776" t="s">
        <v>398</v>
      </c>
      <c r="M172" s="1871" t="s">
        <v>1121</v>
      </c>
      <c r="N172" s="776" t="s">
        <v>1130</v>
      </c>
      <c r="O172" s="982" t="s">
        <v>3387</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4625</v>
      </c>
      <c r="L173" s="776" t="s">
        <v>398</v>
      </c>
      <c r="M173" s="1871" t="s">
        <v>1121</v>
      </c>
      <c r="N173" s="776" t="s">
        <v>1130</v>
      </c>
      <c r="O173" s="982" t="s">
        <v>3388</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3389</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3390</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4626</v>
      </c>
      <c r="L176" s="776" t="s">
        <v>398</v>
      </c>
      <c r="M176" s="1871" t="s">
        <v>1121</v>
      </c>
      <c r="N176" s="776" t="s">
        <v>1240</v>
      </c>
      <c r="O176" s="982" t="s">
        <v>3391</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3392</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3393</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3394</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3395</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3396</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4627</v>
      </c>
      <c r="L182" s="776" t="s">
        <v>398</v>
      </c>
      <c r="M182" s="1871" t="s">
        <v>2386</v>
      </c>
      <c r="N182" s="776" t="s">
        <v>1250</v>
      </c>
      <c r="O182" s="982" t="s">
        <v>3397</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3398</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3399</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3400</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3401</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4625</v>
      </c>
      <c r="L187" s="776" t="s">
        <v>398</v>
      </c>
      <c r="M187" s="1871" t="s">
        <v>1121</v>
      </c>
      <c r="N187" s="776" t="s">
        <v>1130</v>
      </c>
      <c r="O187" s="982" t="s">
        <v>3402</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3403</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3404</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3405</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4628</v>
      </c>
      <c r="L191" s="776" t="s">
        <v>398</v>
      </c>
      <c r="M191" s="1871" t="s">
        <v>2386</v>
      </c>
      <c r="N191" s="776" t="s">
        <v>154</v>
      </c>
      <c r="O191" s="982" t="s">
        <v>3406</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3407</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4625</v>
      </c>
      <c r="L193" s="776" t="s">
        <v>398</v>
      </c>
      <c r="M193" s="1871" t="s">
        <v>1121</v>
      </c>
      <c r="N193" s="776" t="s">
        <v>1130</v>
      </c>
      <c r="O193" s="982" t="s">
        <v>3408</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3409</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3410</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4625</v>
      </c>
      <c r="L196" s="776" t="s">
        <v>398</v>
      </c>
      <c r="M196" s="1871" t="s">
        <v>1121</v>
      </c>
      <c r="N196" s="776" t="s">
        <v>1130</v>
      </c>
      <c r="O196" s="982" t="s">
        <v>3411</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3412</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4625</v>
      </c>
      <c r="L198" s="776" t="s">
        <v>398</v>
      </c>
      <c r="M198" s="1871" t="s">
        <v>1121</v>
      </c>
      <c r="N198" s="776" t="s">
        <v>1130</v>
      </c>
      <c r="O198" s="982" t="s">
        <v>3413</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3414</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3415</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4627</v>
      </c>
      <c r="L201" s="776" t="s">
        <v>398</v>
      </c>
      <c r="M201" s="1871" t="s">
        <v>2386</v>
      </c>
      <c r="N201" s="776" t="s">
        <v>1250</v>
      </c>
      <c r="O201" s="982" t="s">
        <v>3416</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3417</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4625</v>
      </c>
      <c r="L203" s="776" t="s">
        <v>398</v>
      </c>
      <c r="M203" s="1871" t="s">
        <v>1121</v>
      </c>
      <c r="N203" s="776" t="s">
        <v>1130</v>
      </c>
      <c r="O203" s="982" t="s">
        <v>3418</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4626</v>
      </c>
      <c r="L204" s="776" t="s">
        <v>398</v>
      </c>
      <c r="M204" s="1871" t="s">
        <v>2386</v>
      </c>
      <c r="N204" s="776" t="s">
        <v>1240</v>
      </c>
      <c r="O204" s="982" t="s">
        <v>3419</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3420</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3421</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4625</v>
      </c>
      <c r="L207" s="776" t="s">
        <v>398</v>
      </c>
      <c r="M207" s="1871" t="s">
        <v>1121</v>
      </c>
      <c r="N207" s="776" t="s">
        <v>1130</v>
      </c>
      <c r="O207" s="982" t="s">
        <v>3422</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3423</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4625</v>
      </c>
      <c r="L209" s="776" t="s">
        <v>398</v>
      </c>
      <c r="M209" s="1871" t="s">
        <v>1121</v>
      </c>
      <c r="N209" s="776" t="s">
        <v>1130</v>
      </c>
      <c r="O209" s="982" t="s">
        <v>3424</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3425</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3426</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3427</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4625</v>
      </c>
      <c r="L213" s="776" t="s">
        <v>398</v>
      </c>
      <c r="M213" s="1871" t="s">
        <v>1121</v>
      </c>
      <c r="N213" s="776" t="s">
        <v>1130</v>
      </c>
      <c r="O213" s="982" t="s">
        <v>3428</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3429</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3430</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3431</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3432</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3433</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3434</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3435</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4625</v>
      </c>
      <c r="L221" s="776" t="s">
        <v>398</v>
      </c>
      <c r="M221" s="1871" t="s">
        <v>1121</v>
      </c>
      <c r="N221" s="776" t="s">
        <v>1130</v>
      </c>
      <c r="O221" s="982" t="s">
        <v>3436</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3437</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4625</v>
      </c>
      <c r="L223" s="776" t="s">
        <v>398</v>
      </c>
      <c r="M223" s="1871" t="s">
        <v>1121</v>
      </c>
      <c r="N223" s="776" t="s">
        <v>1130</v>
      </c>
      <c r="O223" s="982" t="s">
        <v>3438</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3439</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4625</v>
      </c>
      <c r="L225" s="776" t="s">
        <v>398</v>
      </c>
      <c r="M225" s="1871" t="s">
        <v>1121</v>
      </c>
      <c r="N225" s="776" t="s">
        <v>1130</v>
      </c>
      <c r="O225" s="982" t="s">
        <v>3440</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3441</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3442</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3443</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3444</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3445</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3446</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4625</v>
      </c>
      <c r="L232" s="776" t="s">
        <v>398</v>
      </c>
      <c r="M232" s="1871" t="s">
        <v>1121</v>
      </c>
      <c r="N232" s="776" t="s">
        <v>1130</v>
      </c>
      <c r="O232" s="982" t="s">
        <v>3447</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3448</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3449</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3450</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3451</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4628</v>
      </c>
      <c r="L237" s="776" t="s">
        <v>398</v>
      </c>
      <c r="M237" s="1871" t="s">
        <v>2386</v>
      </c>
      <c r="N237" s="776" t="s">
        <v>154</v>
      </c>
      <c r="O237" s="982" t="s">
        <v>3452</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3453</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4625</v>
      </c>
      <c r="L239" s="776" t="s">
        <v>398</v>
      </c>
      <c r="M239" s="1871" t="s">
        <v>1121</v>
      </c>
      <c r="N239" s="776" t="s">
        <v>1130</v>
      </c>
      <c r="O239" s="982" t="s">
        <v>3454</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4625</v>
      </c>
      <c r="L240" s="776" t="s">
        <v>398</v>
      </c>
      <c r="M240" s="1871" t="s">
        <v>1121</v>
      </c>
      <c r="N240" s="776" t="s">
        <v>1130</v>
      </c>
      <c r="O240" s="982" t="s">
        <v>3455</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4629</v>
      </c>
      <c r="L241" s="776" t="s">
        <v>398</v>
      </c>
      <c r="M241" s="1871" t="s">
        <v>1121</v>
      </c>
      <c r="N241" s="776" t="s">
        <v>1240</v>
      </c>
      <c r="O241" s="982" t="s">
        <v>3456</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3457</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3458</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4625</v>
      </c>
      <c r="L244" s="776" t="s">
        <v>398</v>
      </c>
      <c r="M244" s="1871" t="s">
        <v>1121</v>
      </c>
      <c r="N244" s="776" t="s">
        <v>1130</v>
      </c>
      <c r="O244" s="982" t="s">
        <v>3459</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3460</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3461</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3462</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3463</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4626</v>
      </c>
      <c r="L249" s="776" t="s">
        <v>398</v>
      </c>
      <c r="M249" s="1871" t="s">
        <v>2386</v>
      </c>
      <c r="N249" s="776" t="s">
        <v>1240</v>
      </c>
      <c r="O249" s="982" t="s">
        <v>3464</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3465</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3466</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3467</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3468</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4630</v>
      </c>
      <c r="L254" s="776" t="s">
        <v>398</v>
      </c>
      <c r="M254" s="1871" t="s">
        <v>1121</v>
      </c>
      <c r="N254" s="776" t="s">
        <v>1246</v>
      </c>
      <c r="O254" s="982" t="s">
        <v>3469</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3150</v>
      </c>
      <c r="L255" s="776" t="s">
        <v>398</v>
      </c>
      <c r="M255" s="1871" t="s">
        <v>2386</v>
      </c>
      <c r="N255" s="776" t="s">
        <v>1250</v>
      </c>
      <c r="O255" s="982" t="s">
        <v>3470</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3471</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3472</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3473</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3474</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3475</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4628</v>
      </c>
      <c r="L261" s="776" t="s">
        <v>398</v>
      </c>
      <c r="M261" s="1871" t="s">
        <v>2386</v>
      </c>
      <c r="N261" s="776" t="s">
        <v>154</v>
      </c>
      <c r="O261" s="982" t="s">
        <v>3476</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4627</v>
      </c>
      <c r="L262" s="776" t="s">
        <v>398</v>
      </c>
      <c r="M262" s="1871" t="s">
        <v>2386</v>
      </c>
      <c r="N262" s="776" t="s">
        <v>1250</v>
      </c>
      <c r="O262" s="982" t="s">
        <v>3477</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3478</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3479</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3480</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3481</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3482</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3483</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3149</v>
      </c>
      <c r="L269" s="776" t="s">
        <v>398</v>
      </c>
      <c r="M269" s="1871" t="s">
        <v>2386</v>
      </c>
      <c r="N269" s="776" t="s">
        <v>1130</v>
      </c>
      <c r="O269" s="982" t="s">
        <v>3484</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3485</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4628</v>
      </c>
      <c r="L271" s="776" t="s">
        <v>398</v>
      </c>
      <c r="M271" s="1871" t="s">
        <v>1121</v>
      </c>
      <c r="N271" s="776" t="s">
        <v>154</v>
      </c>
      <c r="O271" s="982" t="s">
        <v>3486</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4625</v>
      </c>
      <c r="L272" s="776" t="s">
        <v>398</v>
      </c>
      <c r="M272" s="1871" t="s">
        <v>1121</v>
      </c>
      <c r="N272" s="776" t="s">
        <v>1130</v>
      </c>
      <c r="O272" s="982" t="s">
        <v>3487</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3488</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3489</v>
      </c>
      <c r="P274" s="241" t="s">
        <v>2143</v>
      </c>
      <c r="Q274" s="241"/>
      <c r="R274" s="147"/>
      <c r="S274" s="236"/>
      <c r="T274" s="391" t="s">
        <v>3659</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4625</v>
      </c>
      <c r="L275" s="776" t="s">
        <v>398</v>
      </c>
      <c r="M275" s="1871" t="s">
        <v>1121</v>
      </c>
      <c r="N275" s="776" t="s">
        <v>1130</v>
      </c>
      <c r="O275" s="982" t="s">
        <v>3490</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4631</v>
      </c>
      <c r="L276" s="776" t="s">
        <v>398</v>
      </c>
      <c r="M276" s="1871" t="s">
        <v>2386</v>
      </c>
      <c r="N276" s="776" t="s">
        <v>1240</v>
      </c>
      <c r="O276" s="982" t="s">
        <v>3491</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4625</v>
      </c>
      <c r="L277" s="776" t="s">
        <v>398</v>
      </c>
      <c r="M277" s="1871" t="s">
        <v>1121</v>
      </c>
      <c r="N277" s="776" t="s">
        <v>1130</v>
      </c>
      <c r="O277" s="982" t="s">
        <v>3492</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3493</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4625</v>
      </c>
      <c r="L279" s="776" t="s">
        <v>398</v>
      </c>
      <c r="M279" s="1871" t="s">
        <v>1121</v>
      </c>
      <c r="N279" s="776" t="s">
        <v>1130</v>
      </c>
      <c r="O279" s="982" t="s">
        <v>3494</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3495</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3496</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3497</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3498</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3499</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3500</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4627</v>
      </c>
      <c r="L286" s="776" t="s">
        <v>398</v>
      </c>
      <c r="M286" s="1871" t="s">
        <v>1121</v>
      </c>
      <c r="N286" s="776" t="s">
        <v>1250</v>
      </c>
      <c r="O286" s="982" t="s">
        <v>3501</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4625</v>
      </c>
      <c r="L287" s="776" t="s">
        <v>398</v>
      </c>
      <c r="M287" s="1871" t="s">
        <v>1121</v>
      </c>
      <c r="N287" s="776" t="s">
        <v>1130</v>
      </c>
      <c r="O287" s="982" t="s">
        <v>3502</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3503</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3504</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3505</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3506</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4625</v>
      </c>
      <c r="L292" s="776" t="s">
        <v>398</v>
      </c>
      <c r="M292" s="1871" t="s">
        <v>1121</v>
      </c>
      <c r="N292" s="776" t="s">
        <v>1130</v>
      </c>
      <c r="O292" s="982" t="s">
        <v>3507</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3508</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4632</v>
      </c>
      <c r="L294" s="776" t="s">
        <v>397</v>
      </c>
      <c r="M294" s="1871" t="s">
        <v>2386</v>
      </c>
      <c r="N294" s="776" t="s">
        <v>154</v>
      </c>
      <c r="O294" s="982" t="s">
        <v>3509</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3510</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4633</v>
      </c>
      <c r="L296" s="776" t="s">
        <v>397</v>
      </c>
      <c r="M296" s="1871" t="s">
        <v>2386</v>
      </c>
      <c r="N296" s="776" t="s">
        <v>154</v>
      </c>
      <c r="O296" s="982" t="s">
        <v>3511</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3512</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3513</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3514</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3515</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3516</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3517</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3518</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3519</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3520</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3521</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3522</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3523</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4626</v>
      </c>
      <c r="L309" s="776" t="s">
        <v>398</v>
      </c>
      <c r="M309" s="1871" t="s">
        <v>2386</v>
      </c>
      <c r="N309" s="776" t="s">
        <v>1240</v>
      </c>
      <c r="O309" s="982" t="s">
        <v>3524</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3525</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3526</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3527</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4625</v>
      </c>
      <c r="L313" s="776" t="s">
        <v>398</v>
      </c>
      <c r="M313" s="1871" t="s">
        <v>1121</v>
      </c>
      <c r="N313" s="776" t="s">
        <v>1130</v>
      </c>
      <c r="O313" s="982" t="s">
        <v>3528</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3529</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3530</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3531</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3532</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3533</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3534</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3535</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3536</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3537</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3538</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3539</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3540</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3660</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3995</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3138</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3260</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3661</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3662</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
      <c r="P770" s="145"/>
      <c r="Q770" s="145"/>
      <c r="R770" s="145"/>
      <c r="S770" s="145"/>
      <c r="T770" s="391" t="s">
        <v>285</v>
      </c>
      <c r="U770" s="236" t="s">
        <v>1249</v>
      </c>
      <c r="AA770"/>
      <c r="AB770"/>
      <c r="AC770" s="379"/>
      <c r="AD770" s="68"/>
    </row>
    <row r="771" spans="16:30" ht="13">
      <c r="P771" s="145"/>
      <c r="Q771" s="145"/>
      <c r="R771" s="145"/>
      <c r="S771" s="145"/>
      <c r="T771" s="236" t="s">
        <v>286</v>
      </c>
      <c r="U771" s="236" t="s">
        <v>1771</v>
      </c>
      <c r="AA771"/>
      <c r="AB771"/>
      <c r="AC771" s="68"/>
      <c r="AD771" s="68"/>
    </row>
    <row r="772" spans="16:30" ht="13">
      <c r="P772" s="145"/>
      <c r="Q772" s="145"/>
      <c r="R772" s="145"/>
      <c r="S772" s="145"/>
      <c r="T772" s="236" t="s">
        <v>287</v>
      </c>
      <c r="U772" s="236" t="s">
        <v>104</v>
      </c>
      <c r="AA772"/>
      <c r="AB772"/>
      <c r="AC772" s="68"/>
      <c r="AD772" s="68"/>
    </row>
    <row r="773" spans="16:30" ht="13">
      <c r="P773" s="145"/>
      <c r="Q773" s="145"/>
      <c r="R773" s="145"/>
      <c r="S773" s="145"/>
      <c r="T773" s="236" t="s">
        <v>288</v>
      </c>
      <c r="U773" s="236" t="s">
        <v>622</v>
      </c>
      <c r="AA773"/>
      <c r="AB773"/>
      <c r="AC773" s="68"/>
      <c r="AD773" s="68"/>
    </row>
    <row r="774" spans="16:30" ht="13">
      <c r="P774" s="145"/>
      <c r="Q774" s="145"/>
      <c r="R774" s="145"/>
      <c r="S774" s="145"/>
      <c r="T774" s="236" t="s">
        <v>108</v>
      </c>
      <c r="U774" s="236" t="s">
        <v>1234</v>
      </c>
      <c r="AA774"/>
      <c r="AB774"/>
      <c r="AC774" s="68"/>
      <c r="AD774" s="68"/>
    </row>
    <row r="775" spans="16:30" ht="13">
      <c r="P775" s="145"/>
      <c r="Q775" s="145"/>
      <c r="R775" s="145"/>
      <c r="S775" s="145"/>
      <c r="T775" s="236" t="s">
        <v>1436</v>
      </c>
      <c r="U775" s="236" t="s">
        <v>624</v>
      </c>
      <c r="AA775"/>
      <c r="AB775"/>
      <c r="AC775" s="68"/>
      <c r="AD775" s="68"/>
    </row>
    <row r="776" spans="16:30" ht="13">
      <c r="P776" s="145"/>
      <c r="Q776" s="145"/>
      <c r="R776" s="145"/>
      <c r="S776" s="145"/>
      <c r="T776" s="236" t="s">
        <v>1014</v>
      </c>
      <c r="U776" s="236" t="s">
        <v>152</v>
      </c>
      <c r="AA776"/>
      <c r="AB776"/>
      <c r="AC776" s="68"/>
      <c r="AD776" s="68"/>
    </row>
    <row r="777" spans="16:30" ht="13">
      <c r="P777" s="145"/>
      <c r="Q777" s="145"/>
      <c r="R777" s="145"/>
      <c r="S777" s="145"/>
      <c r="T777" s="236" t="s">
        <v>1437</v>
      </c>
      <c r="U777" s="236" t="s">
        <v>685</v>
      </c>
      <c r="AA777"/>
      <c r="AB777"/>
      <c r="AC777" s="68"/>
      <c r="AD777" s="68"/>
    </row>
    <row r="778" spans="16:30" ht="13">
      <c r="P778" s="145"/>
      <c r="Q778" s="145"/>
      <c r="R778" s="145"/>
      <c r="S778" s="145"/>
      <c r="T778" s="236" t="s">
        <v>1438</v>
      </c>
      <c r="U778" s="236" t="s">
        <v>1647</v>
      </c>
      <c r="AA778"/>
      <c r="AB778"/>
      <c r="AC778" s="68"/>
      <c r="AD778" s="68"/>
    </row>
    <row r="779" spans="16:30" ht="13">
      <c r="P779" s="145"/>
      <c r="Q779" s="145"/>
      <c r="R779" s="145"/>
      <c r="S779" s="145"/>
      <c r="T779" s="236" t="s">
        <v>1439</v>
      </c>
      <c r="U779" s="236" t="s">
        <v>1030</v>
      </c>
      <c r="AA779"/>
      <c r="AB779"/>
      <c r="AC779" s="68"/>
      <c r="AD779" s="68"/>
    </row>
    <row r="780" spans="16:30" ht="13">
      <c r="P780" s="145"/>
      <c r="Q780" s="145"/>
      <c r="R780" s="145"/>
      <c r="S780" s="145"/>
      <c r="T780" s="236" t="s">
        <v>1015</v>
      </c>
      <c r="U780" s="236" t="s">
        <v>152</v>
      </c>
      <c r="AA780"/>
      <c r="AB780"/>
      <c r="AC780" s="68"/>
      <c r="AD780" s="68"/>
    </row>
    <row r="781" spans="16:30" ht="13">
      <c r="P781" s="145"/>
      <c r="Q781" s="145"/>
      <c r="R781" s="145"/>
      <c r="S781" s="145"/>
      <c r="T781" s="236" t="s">
        <v>1440</v>
      </c>
      <c r="U781" s="236" t="s">
        <v>1233</v>
      </c>
      <c r="AA781"/>
      <c r="AB781"/>
      <c r="AC781" s="68"/>
      <c r="AD781" s="68"/>
    </row>
    <row r="782" spans="16:30" ht="13">
      <c r="P782" s="145"/>
      <c r="Q782" s="145"/>
      <c r="R782" s="145"/>
      <c r="S782" s="145"/>
      <c r="T782" s="236" t="s">
        <v>1441</v>
      </c>
      <c r="U782" s="236" t="s">
        <v>158</v>
      </c>
      <c r="AA782"/>
      <c r="AB782"/>
      <c r="AC782" s="68"/>
      <c r="AD782" s="68"/>
    </row>
    <row r="783" spans="16:30" ht="13">
      <c r="P783" s="145"/>
      <c r="Q783" s="145"/>
      <c r="R783" s="145"/>
      <c r="S783" s="145"/>
      <c r="T783" s="236" t="s">
        <v>1442</v>
      </c>
      <c r="U783" s="236" t="s">
        <v>1254</v>
      </c>
      <c r="AA783"/>
      <c r="AB783"/>
      <c r="AC783" s="68"/>
      <c r="AD783" s="68"/>
    </row>
    <row r="784" spans="16:30" ht="13">
      <c r="P784" s="145"/>
      <c r="Q784" s="145"/>
      <c r="R784" s="145"/>
      <c r="S784" s="145"/>
      <c r="T784" s="236" t="s">
        <v>1443</v>
      </c>
      <c r="U784" s="236" t="s">
        <v>1735</v>
      </c>
      <c r="AA784"/>
      <c r="AB784"/>
      <c r="AC784" s="68"/>
      <c r="AD784" s="68"/>
    </row>
    <row r="785" spans="16:30" ht="13">
      <c r="P785" s="145"/>
      <c r="Q785" s="145"/>
      <c r="R785" s="145"/>
      <c r="S785" s="145"/>
      <c r="T785" s="236" t="s">
        <v>1444</v>
      </c>
      <c r="U785" s="236" t="s">
        <v>2017</v>
      </c>
      <c r="AA785"/>
      <c r="AB785"/>
      <c r="AC785" s="68"/>
      <c r="AD785" s="68"/>
    </row>
    <row r="786" spans="16:30" ht="13">
      <c r="P786" s="145"/>
      <c r="Q786" s="145"/>
      <c r="R786" s="145"/>
      <c r="S786" s="145"/>
      <c r="T786" s="236" t="s">
        <v>1445</v>
      </c>
      <c r="U786" s="236" t="s">
        <v>157</v>
      </c>
      <c r="AA786"/>
      <c r="AB786"/>
      <c r="AC786" s="68"/>
      <c r="AD786" s="68"/>
    </row>
    <row r="787" spans="16:30" ht="13">
      <c r="P787" s="145"/>
      <c r="Q787" s="145"/>
      <c r="R787" s="145"/>
      <c r="S787" s="145"/>
      <c r="T787" s="236" t="s">
        <v>2190</v>
      </c>
      <c r="U787" s="236" t="s">
        <v>624</v>
      </c>
      <c r="AA787"/>
      <c r="AB787"/>
      <c r="AC787" s="68"/>
      <c r="AD787" s="68"/>
    </row>
    <row r="788" spans="16:30" ht="13">
      <c r="P788" s="145"/>
      <c r="Q788" s="145"/>
      <c r="R788" s="145"/>
      <c r="S788" s="145"/>
      <c r="T788" s="236" t="s">
        <v>2191</v>
      </c>
      <c r="U788" s="236" t="s">
        <v>610</v>
      </c>
      <c r="AA788"/>
      <c r="AB788"/>
      <c r="AC788" s="68"/>
      <c r="AD788" s="68"/>
    </row>
    <row r="789" spans="16:30" ht="13">
      <c r="P789" s="145"/>
      <c r="Q789" s="145"/>
      <c r="R789" s="145"/>
      <c r="S789" s="145"/>
      <c r="T789" s="236" t="s">
        <v>2192</v>
      </c>
      <c r="U789" s="236" t="s">
        <v>315</v>
      </c>
      <c r="AA789"/>
      <c r="AB789"/>
      <c r="AC789" s="68"/>
      <c r="AD789" s="68"/>
    </row>
    <row r="790" spans="16:30" ht="13">
      <c r="P790" s="145"/>
      <c r="Q790" s="145"/>
      <c r="R790" s="145"/>
      <c r="S790" s="145"/>
      <c r="T790" s="236" t="s">
        <v>776</v>
      </c>
      <c r="U790" s="236" t="s">
        <v>319</v>
      </c>
      <c r="AA790"/>
      <c r="AB790"/>
      <c r="AC790" s="68"/>
      <c r="AD790" s="68"/>
    </row>
    <row r="791" spans="16:30" ht="13">
      <c r="P791" s="145"/>
      <c r="Q791" s="145"/>
      <c r="R791" s="145"/>
      <c r="S791" s="145"/>
      <c r="T791" s="236" t="s">
        <v>777</v>
      </c>
      <c r="U791" s="236" t="s">
        <v>1855</v>
      </c>
      <c r="AA791"/>
      <c r="AB791"/>
      <c r="AC791" s="68"/>
      <c r="AD791" s="68"/>
    </row>
    <row r="792" spans="16:30" ht="13">
      <c r="P792" s="145"/>
      <c r="Q792" s="145"/>
      <c r="R792" s="145"/>
      <c r="S792" s="145"/>
      <c r="T792" s="236" t="s">
        <v>2549</v>
      </c>
      <c r="U792" s="236" t="s">
        <v>108</v>
      </c>
      <c r="AA792"/>
      <c r="AB792"/>
      <c r="AC792" s="68"/>
      <c r="AD792" s="68"/>
    </row>
    <row r="793" spans="16:30" ht="13">
      <c r="P793" s="145"/>
      <c r="Q793" s="145"/>
      <c r="R793" s="145"/>
      <c r="S793" s="145"/>
      <c r="T793" s="236" t="s">
        <v>778</v>
      </c>
      <c r="U793" s="236" t="s">
        <v>1767</v>
      </c>
      <c r="AA793"/>
      <c r="AB793"/>
      <c r="AC793" s="68"/>
      <c r="AD793" s="68"/>
    </row>
    <row r="794" spans="16:30" ht="13">
      <c r="P794" s="145"/>
      <c r="Q794" s="145"/>
      <c r="R794" s="145"/>
      <c r="S794" s="145"/>
      <c r="T794" s="236" t="s">
        <v>779</v>
      </c>
      <c r="U794" s="236" t="s">
        <v>1030</v>
      </c>
      <c r="AA794"/>
      <c r="AB794"/>
      <c r="AC794" s="68"/>
      <c r="AD794" s="68"/>
    </row>
    <row r="795" spans="16:30" ht="13">
      <c r="P795" s="145"/>
      <c r="Q795" s="145"/>
      <c r="R795" s="145"/>
      <c r="S795" s="145"/>
      <c r="T795" s="236"/>
      <c r="U795" s="236"/>
      <c r="AA795"/>
      <c r="AB795"/>
      <c r="AC795" s="68"/>
      <c r="AD795" s="68"/>
    </row>
    <row r="796" spans="16:30" ht="13">
      <c r="P796" s="145"/>
      <c r="Q796" s="145"/>
      <c r="R796" s="145"/>
      <c r="S796" s="145"/>
      <c r="T796" s="236"/>
      <c r="U796" s="236"/>
      <c r="AA796"/>
      <c r="AB796"/>
      <c r="AC796" s="68"/>
      <c r="AD796" s="68"/>
    </row>
    <row r="797" spans="16:30" ht="13">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kalAbNxSbyUiGC74h5gP4XsthYZzox5eSY1r3ytrhVMyoMGZPvNFhAuREsIA+f0T9ENFR7BlHCYWqWln3Q3s/Q==" saltValue="eod1vZexJFMYGHrfu53BWg=="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2024-07-22T19:30:07Z</cp:lastPrinted>
  <dcterms:created xsi:type="dcterms:W3CDTF">2005-09-15T20:51:37Z</dcterms:created>
  <dcterms:modified xsi:type="dcterms:W3CDTF">2024-09-26T18:46:34Z</dcterms:modified>
</cp:coreProperties>
</file>